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субсидий'!$A$1:$Y$350</definedName>
    <definedName name="_xlnm.Print_Titles" localSheetId="1">'Плюсы и минусы'!$3:$5</definedName>
    <definedName name="_xlnm.Print_Titles" localSheetId="0">'Расчет субсидий'!$A:$A,'Расчет субсидий'!$3:$5</definedName>
    <definedName name="_xlnm.Print_Area" localSheetId="0">'Расчет субсидий'!$A$1:$AJ$377</definedName>
  </definedNames>
  <calcPr calcId="125725"/>
</workbook>
</file>

<file path=xl/calcChain.xml><?xml version="1.0" encoding="utf-8"?>
<calcChain xmlns="http://schemas.openxmlformats.org/spreadsheetml/2006/main">
  <c r="T140" i="8"/>
  <c r="Q140"/>
  <c r="N140"/>
  <c r="E140"/>
  <c r="T362"/>
  <c r="Q362"/>
  <c r="N362"/>
  <c r="E362"/>
  <c r="U362"/>
  <c r="U365"/>
  <c r="U47"/>
  <c r="U18"/>
  <c r="U7"/>
  <c r="N7"/>
  <c r="L7"/>
  <c r="AJ376" i="7"/>
  <c r="AJ375"/>
  <c r="AJ374"/>
  <c r="AJ373"/>
  <c r="AJ372"/>
  <c r="AJ371"/>
  <c r="AJ370"/>
  <c r="AJ369"/>
  <c r="AJ368"/>
  <c r="AJ367"/>
  <c r="AJ366"/>
  <c r="AJ365"/>
  <c r="AJ363"/>
  <c r="AJ362"/>
  <c r="AJ361"/>
  <c r="AJ360"/>
  <c r="AJ359"/>
  <c r="AJ358"/>
  <c r="AJ357"/>
  <c r="AJ356"/>
  <c r="AJ355"/>
  <c r="AJ354"/>
  <c r="AJ353"/>
  <c r="AJ351"/>
  <c r="AJ350"/>
  <c r="AJ349"/>
  <c r="AJ348"/>
  <c r="AJ347"/>
  <c r="AJ346"/>
  <c r="AJ345"/>
  <c r="AJ344"/>
  <c r="AJ343"/>
  <c r="AJ342"/>
  <c r="AJ341"/>
  <c r="AJ339"/>
  <c r="AJ338"/>
  <c r="AJ337"/>
  <c r="AJ336"/>
  <c r="AJ335"/>
  <c r="AJ334"/>
  <c r="AJ333"/>
  <c r="AJ332"/>
  <c r="AJ331"/>
  <c r="AJ330"/>
  <c r="AJ329"/>
  <c r="AJ327"/>
  <c r="AJ326"/>
  <c r="AJ325"/>
  <c r="AJ324"/>
  <c r="AJ323"/>
  <c r="AJ322"/>
  <c r="AJ321"/>
  <c r="AJ320"/>
  <c r="AJ319"/>
  <c r="AJ318"/>
  <c r="AJ317"/>
  <c r="AJ316"/>
  <c r="AJ315"/>
  <c r="AJ314"/>
  <c r="AJ313"/>
  <c r="AJ311"/>
  <c r="AJ310"/>
  <c r="AJ309"/>
  <c r="AJ308"/>
  <c r="AJ307"/>
  <c r="AJ306"/>
  <c r="AJ305"/>
  <c r="AJ304"/>
  <c r="AJ303"/>
  <c r="AJ302"/>
  <c r="AJ301"/>
  <c r="AJ300"/>
  <c r="AJ299"/>
  <c r="AJ298"/>
  <c r="AJ297"/>
  <c r="AJ296"/>
  <c r="AJ295"/>
  <c r="AJ294"/>
  <c r="AJ293"/>
  <c r="AJ292"/>
  <c r="AJ291"/>
  <c r="AJ290"/>
  <c r="AJ289"/>
  <c r="AJ288"/>
  <c r="AJ286"/>
  <c r="AJ285"/>
  <c r="AJ284"/>
  <c r="AJ283"/>
  <c r="AJ282"/>
  <c r="AJ281"/>
  <c r="AJ280"/>
  <c r="AJ279"/>
  <c r="AJ278"/>
  <c r="AJ277"/>
  <c r="AJ276"/>
  <c r="AJ275"/>
  <c r="AJ274"/>
  <c r="AJ273"/>
  <c r="AJ272"/>
  <c r="AJ271"/>
  <c r="AJ270"/>
  <c r="AJ268"/>
  <c r="AJ267"/>
  <c r="AJ266"/>
  <c r="AJ265"/>
  <c r="AJ264"/>
  <c r="AJ263"/>
  <c r="AJ262"/>
  <c r="AJ260"/>
  <c r="AJ259"/>
  <c r="AJ258"/>
  <c r="AJ257"/>
  <c r="AJ256"/>
  <c r="AJ255"/>
  <c r="AJ254"/>
  <c r="AJ253"/>
  <c r="AJ252"/>
  <c r="AJ251"/>
  <c r="AJ250"/>
  <c r="AJ249"/>
  <c r="AJ248"/>
  <c r="AJ247"/>
  <c r="AJ246"/>
  <c r="AJ244"/>
  <c r="AJ243"/>
  <c r="AJ242"/>
  <c r="AJ241"/>
  <c r="AJ240"/>
  <c r="AJ239"/>
  <c r="AJ238"/>
  <c r="AJ237"/>
  <c r="AJ235"/>
  <c r="AJ234"/>
  <c r="AJ233"/>
  <c r="AJ232"/>
  <c r="AJ231"/>
  <c r="AJ230"/>
  <c r="AJ229"/>
  <c r="AJ228"/>
  <c r="AJ227"/>
  <c r="AJ225"/>
  <c r="AJ224"/>
  <c r="AJ223"/>
  <c r="AJ222"/>
  <c r="AJ221"/>
  <c r="AJ220"/>
  <c r="AJ219"/>
  <c r="AJ218"/>
  <c r="AJ217"/>
  <c r="AJ216"/>
  <c r="AJ215"/>
  <c r="AJ214"/>
  <c r="AJ213"/>
  <c r="AJ211"/>
  <c r="AJ210"/>
  <c r="AJ209"/>
  <c r="AJ208"/>
  <c r="AJ207"/>
  <c r="AJ206"/>
  <c r="AJ205"/>
  <c r="AJ204"/>
  <c r="AJ203"/>
  <c r="AJ202"/>
  <c r="AJ201"/>
  <c r="AJ200"/>
  <c r="AJ198"/>
  <c r="AJ197"/>
  <c r="AJ196"/>
  <c r="AJ195"/>
  <c r="AJ194"/>
  <c r="AJ193"/>
  <c r="AJ192"/>
  <c r="AJ191"/>
  <c r="AJ190"/>
  <c r="AJ189"/>
  <c r="AJ188"/>
  <c r="AJ187"/>
  <c r="AJ186"/>
  <c r="AJ184"/>
  <c r="AJ183"/>
  <c r="AJ182"/>
  <c r="AJ181"/>
  <c r="AJ180"/>
  <c r="AJ179"/>
  <c r="AJ178"/>
  <c r="AJ177"/>
  <c r="AJ176"/>
  <c r="AJ175"/>
  <c r="AJ174"/>
  <c r="AJ172"/>
  <c r="AJ171"/>
  <c r="AJ170"/>
  <c r="AJ169"/>
  <c r="AJ168"/>
  <c r="AJ167"/>
  <c r="AJ166"/>
  <c r="AJ165"/>
  <c r="AJ164"/>
  <c r="AJ163"/>
  <c r="AJ162"/>
  <c r="AJ161"/>
  <c r="AJ160"/>
  <c r="AJ158"/>
  <c r="AJ157"/>
  <c r="AJ156"/>
  <c r="AJ155"/>
  <c r="AJ154"/>
  <c r="AJ153"/>
  <c r="AJ152"/>
  <c r="AJ151"/>
  <c r="AJ150"/>
  <c r="AJ149"/>
  <c r="AJ148"/>
  <c r="AJ147"/>
  <c r="AJ145"/>
  <c r="AJ144"/>
  <c r="AJ143"/>
  <c r="AJ142"/>
  <c r="AJ141"/>
  <c r="AJ140"/>
  <c r="AJ138"/>
  <c r="AJ137"/>
  <c r="AJ136"/>
  <c r="AJ135"/>
  <c r="AJ134"/>
  <c r="AJ133"/>
  <c r="AJ132"/>
  <c r="AJ131"/>
  <c r="AJ130"/>
  <c r="AJ128"/>
  <c r="AJ127"/>
  <c r="AJ126"/>
  <c r="AJ125"/>
  <c r="AJ124"/>
  <c r="AJ123"/>
  <c r="AJ122"/>
  <c r="AJ120"/>
  <c r="AJ119"/>
  <c r="AJ118"/>
  <c r="AJ117"/>
  <c r="AJ116"/>
  <c r="AJ115"/>
  <c r="AJ114"/>
  <c r="AJ113"/>
  <c r="AJ112"/>
  <c r="AJ111"/>
  <c r="AJ110"/>
  <c r="AJ109"/>
  <c r="AJ108"/>
  <c r="AJ107"/>
  <c r="AJ106"/>
  <c r="AJ104"/>
  <c r="AJ103"/>
  <c r="AJ102"/>
  <c r="AJ101"/>
  <c r="AJ100"/>
  <c r="AJ99"/>
  <c r="AJ98"/>
  <c r="AJ97"/>
  <c r="AJ96"/>
  <c r="AJ95"/>
  <c r="AJ94"/>
  <c r="AJ93"/>
  <c r="AJ92"/>
  <c r="AJ90"/>
  <c r="AJ89"/>
  <c r="AJ88"/>
  <c r="AJ87"/>
  <c r="AJ86"/>
  <c r="AJ85"/>
  <c r="AJ84"/>
  <c r="AJ83"/>
  <c r="AJ82"/>
  <c r="AJ80"/>
  <c r="AJ79"/>
  <c r="AJ78"/>
  <c r="AJ77"/>
  <c r="AJ76"/>
  <c r="AJ75"/>
  <c r="AJ74"/>
  <c r="AJ73"/>
  <c r="AJ71"/>
  <c r="AJ70"/>
  <c r="AJ69"/>
  <c r="AJ68"/>
  <c r="AJ67"/>
  <c r="AJ65"/>
  <c r="AJ64"/>
  <c r="AJ63"/>
  <c r="AJ62"/>
  <c r="AJ61"/>
  <c r="AJ60"/>
  <c r="AJ59"/>
  <c r="AJ58"/>
  <c r="AJ57"/>
  <c r="AJ56"/>
  <c r="AJ55"/>
  <c r="AJ54"/>
  <c r="AJ53"/>
  <c r="AJ51"/>
  <c r="AJ50"/>
  <c r="AJ49"/>
  <c r="AJ48"/>
  <c r="AJ47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6"/>
  <c r="AJ15"/>
  <c r="AJ14"/>
  <c r="AJ13"/>
  <c r="AJ12"/>
  <c r="AJ11"/>
  <c r="AJ10"/>
  <c r="AJ9"/>
  <c r="AJ8"/>
  <c r="AJ7"/>
  <c r="AJ6" s="1"/>
  <c r="AH7"/>
  <c r="AI45"/>
  <c r="AJ45"/>
  <c r="AI17"/>
  <c r="AI377" s="1"/>
  <c r="AJ17"/>
  <c r="AI6"/>
  <c r="AJ377" l="1"/>
  <c r="AG376" l="1"/>
  <c r="AG369"/>
  <c r="AG368"/>
  <c r="AG367"/>
  <c r="AG355"/>
  <c r="AH355"/>
  <c r="AG342"/>
  <c r="AH342"/>
  <c r="AG327"/>
  <c r="AG315"/>
  <c r="AH315"/>
  <c r="AG273"/>
  <c r="AG265"/>
  <c r="AG255"/>
  <c r="AG230"/>
  <c r="AG229"/>
  <c r="AG216"/>
  <c r="AG215"/>
  <c r="AG213"/>
  <c r="AG211"/>
  <c r="AG201"/>
  <c r="AG179"/>
  <c r="AG174"/>
  <c r="AG170"/>
  <c r="AG128"/>
  <c r="AG127"/>
  <c r="AG123"/>
  <c r="AG120"/>
  <c r="AH120"/>
  <c r="AG119"/>
  <c r="AG118"/>
  <c r="AG116"/>
  <c r="AG107"/>
  <c r="AG90"/>
  <c r="AG59"/>
  <c r="AG56"/>
  <c r="AG10"/>
  <c r="AH376"/>
  <c r="AH375"/>
  <c r="AH374"/>
  <c r="AH373"/>
  <c r="AH372"/>
  <c r="AH371"/>
  <c r="AH370"/>
  <c r="AH369"/>
  <c r="AH368"/>
  <c r="AH367"/>
  <c r="AH366"/>
  <c r="AH365"/>
  <c r="AH363"/>
  <c r="AH362"/>
  <c r="AH361"/>
  <c r="AH360"/>
  <c r="AH359"/>
  <c r="AH358"/>
  <c r="AH357"/>
  <c r="AH356"/>
  <c r="AH354"/>
  <c r="AH353"/>
  <c r="AH351"/>
  <c r="AH350"/>
  <c r="AH349"/>
  <c r="AH348"/>
  <c r="AH347"/>
  <c r="AH346"/>
  <c r="AH345"/>
  <c r="AH344"/>
  <c r="AH343"/>
  <c r="AH341"/>
  <c r="AH339"/>
  <c r="AH338"/>
  <c r="AH337"/>
  <c r="AH336"/>
  <c r="AH335"/>
  <c r="AH334"/>
  <c r="AH333"/>
  <c r="AH332"/>
  <c r="AH331"/>
  <c r="AH330"/>
  <c r="AH329"/>
  <c r="AH327"/>
  <c r="AH326"/>
  <c r="AH325"/>
  <c r="AH324"/>
  <c r="AH323"/>
  <c r="AH322"/>
  <c r="AH321"/>
  <c r="AH320"/>
  <c r="AH319"/>
  <c r="AH318"/>
  <c r="AH317"/>
  <c r="AH316"/>
  <c r="AH314"/>
  <c r="AH313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8"/>
  <c r="AH267"/>
  <c r="AH266"/>
  <c r="AH265"/>
  <c r="AH264"/>
  <c r="AH263"/>
  <c r="AH262"/>
  <c r="AH260"/>
  <c r="AH259"/>
  <c r="AH258"/>
  <c r="AH257"/>
  <c r="AH256"/>
  <c r="AH255"/>
  <c r="AH254"/>
  <c r="AH253"/>
  <c r="AH252"/>
  <c r="AH251"/>
  <c r="AH250"/>
  <c r="AH249"/>
  <c r="AH248"/>
  <c r="AH247"/>
  <c r="AH246"/>
  <c r="AH244"/>
  <c r="AH243"/>
  <c r="AH242"/>
  <c r="AH241"/>
  <c r="AH240"/>
  <c r="AH239"/>
  <c r="AH238"/>
  <c r="AH237"/>
  <c r="AH235"/>
  <c r="AH234"/>
  <c r="AH233"/>
  <c r="AH232"/>
  <c r="AH231"/>
  <c r="AH230"/>
  <c r="AH229"/>
  <c r="AH228"/>
  <c r="AH227"/>
  <c r="AH225"/>
  <c r="AH224"/>
  <c r="AH223"/>
  <c r="AH222"/>
  <c r="AH221"/>
  <c r="AH220"/>
  <c r="AH219"/>
  <c r="AH218"/>
  <c r="AH217"/>
  <c r="AH216"/>
  <c r="AH215"/>
  <c r="AH214"/>
  <c r="AH213"/>
  <c r="AH211"/>
  <c r="AH210"/>
  <c r="AH209"/>
  <c r="AH208"/>
  <c r="AH207"/>
  <c r="AH206"/>
  <c r="AH205"/>
  <c r="AH204"/>
  <c r="AH203"/>
  <c r="AH202"/>
  <c r="AH201"/>
  <c r="AH200"/>
  <c r="AH198"/>
  <c r="AH197"/>
  <c r="AH196"/>
  <c r="AH195"/>
  <c r="AH194"/>
  <c r="AH193"/>
  <c r="AH192"/>
  <c r="AH191"/>
  <c r="AH190"/>
  <c r="AH189"/>
  <c r="AH188"/>
  <c r="AH187"/>
  <c r="AH186"/>
  <c r="AH184"/>
  <c r="AH183"/>
  <c r="AH182"/>
  <c r="AH181"/>
  <c r="AH180"/>
  <c r="AH179"/>
  <c r="AH178"/>
  <c r="AH177"/>
  <c r="AH176"/>
  <c r="AH175"/>
  <c r="AH174"/>
  <c r="AH172"/>
  <c r="AH171"/>
  <c r="AH170"/>
  <c r="AH169"/>
  <c r="AH168"/>
  <c r="AH167"/>
  <c r="AH166"/>
  <c r="AH165"/>
  <c r="AH164"/>
  <c r="AH163"/>
  <c r="AH162"/>
  <c r="AH161"/>
  <c r="AH160"/>
  <c r="AH158"/>
  <c r="AH157"/>
  <c r="AH156"/>
  <c r="AH155"/>
  <c r="AH154"/>
  <c r="AH153"/>
  <c r="AH152"/>
  <c r="AH151"/>
  <c r="AH150"/>
  <c r="AH149"/>
  <c r="AH148"/>
  <c r="AH147"/>
  <c r="AH145"/>
  <c r="AH144"/>
  <c r="AH143"/>
  <c r="AH142"/>
  <c r="AH141"/>
  <c r="AH140"/>
  <c r="AH138"/>
  <c r="AH137"/>
  <c r="AH136"/>
  <c r="AH135"/>
  <c r="AH134"/>
  <c r="AH133"/>
  <c r="AH132"/>
  <c r="AH131"/>
  <c r="AH130"/>
  <c r="AH128"/>
  <c r="AH127"/>
  <c r="AH126"/>
  <c r="AH125"/>
  <c r="AH124"/>
  <c r="AH123"/>
  <c r="AH122"/>
  <c r="AH119"/>
  <c r="AH118"/>
  <c r="AH117"/>
  <c r="AH116"/>
  <c r="AH115"/>
  <c r="AH114"/>
  <c r="AH113"/>
  <c r="AH112"/>
  <c r="AH111"/>
  <c r="AH110"/>
  <c r="AH109"/>
  <c r="AH108"/>
  <c r="AH107"/>
  <c r="AH106"/>
  <c r="AH104"/>
  <c r="AH103"/>
  <c r="AH102"/>
  <c r="AH101"/>
  <c r="AH100"/>
  <c r="AH99"/>
  <c r="AH98"/>
  <c r="AH97"/>
  <c r="AH96"/>
  <c r="AH95"/>
  <c r="AH94"/>
  <c r="AH93"/>
  <c r="AH92"/>
  <c r="AH90"/>
  <c r="AH89"/>
  <c r="AH88"/>
  <c r="AH87"/>
  <c r="AH86"/>
  <c r="AH85"/>
  <c r="AH84"/>
  <c r="AH83"/>
  <c r="AH82"/>
  <c r="AH80"/>
  <c r="AH79"/>
  <c r="AH78"/>
  <c r="AH77"/>
  <c r="AH76"/>
  <c r="AH75"/>
  <c r="AH74"/>
  <c r="AH73"/>
  <c r="AH71"/>
  <c r="AH70"/>
  <c r="AH69"/>
  <c r="AH68"/>
  <c r="AH67"/>
  <c r="AH65"/>
  <c r="AH64"/>
  <c r="AH63"/>
  <c r="AH62"/>
  <c r="AH61"/>
  <c r="AH60"/>
  <c r="AH59"/>
  <c r="AH58"/>
  <c r="AH57"/>
  <c r="AH56"/>
  <c r="AH55"/>
  <c r="AH54"/>
  <c r="AH53"/>
  <c r="AH51"/>
  <c r="AH50"/>
  <c r="AH49"/>
  <c r="AH48"/>
  <c r="AH47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6"/>
  <c r="AH15"/>
  <c r="AH14"/>
  <c r="AH13"/>
  <c r="AH12"/>
  <c r="AH11"/>
  <c r="AH10"/>
  <c r="AH9"/>
  <c r="AH8"/>
  <c r="AG45" l="1"/>
  <c r="AH45"/>
  <c r="AG17"/>
  <c r="AH17"/>
  <c r="AH377" s="1"/>
  <c r="AG6"/>
  <c r="AH6"/>
  <c r="AF376"/>
  <c r="AF375"/>
  <c r="AF374"/>
  <c r="AF373"/>
  <c r="AF372"/>
  <c r="AF371"/>
  <c r="AF370"/>
  <c r="AF369"/>
  <c r="AF368"/>
  <c r="AF367"/>
  <c r="AF366"/>
  <c r="AF365"/>
  <c r="AF363"/>
  <c r="AF362"/>
  <c r="AF361"/>
  <c r="AF360"/>
  <c r="AF359"/>
  <c r="AF358"/>
  <c r="AF357"/>
  <c r="AF356"/>
  <c r="AF355"/>
  <c r="AF354"/>
  <c r="AF353"/>
  <c r="AF351"/>
  <c r="AF350"/>
  <c r="AF349"/>
  <c r="AF348"/>
  <c r="AF347"/>
  <c r="AF346"/>
  <c r="AF345"/>
  <c r="AF344"/>
  <c r="AF343"/>
  <c r="AF342"/>
  <c r="AF341"/>
  <c r="AF339"/>
  <c r="AF338"/>
  <c r="AF337"/>
  <c r="AF336"/>
  <c r="AF335"/>
  <c r="AF334"/>
  <c r="AF333"/>
  <c r="AF332"/>
  <c r="AF331"/>
  <c r="AF330"/>
  <c r="AF329"/>
  <c r="AF327"/>
  <c r="AF326"/>
  <c r="AF325"/>
  <c r="AF324"/>
  <c r="AF323"/>
  <c r="AF322"/>
  <c r="AF321"/>
  <c r="AF320"/>
  <c r="AF319"/>
  <c r="AF318"/>
  <c r="AF317"/>
  <c r="AF316"/>
  <c r="AF315"/>
  <c r="AF314"/>
  <c r="AF313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8"/>
  <c r="AF267"/>
  <c r="AF266"/>
  <c r="AF265"/>
  <c r="AF264"/>
  <c r="AF263"/>
  <c r="AF262"/>
  <c r="AF260"/>
  <c r="AF259"/>
  <c r="AF258"/>
  <c r="AF257"/>
  <c r="AF256"/>
  <c r="AF255"/>
  <c r="AF254"/>
  <c r="AF253"/>
  <c r="AF252"/>
  <c r="AF251"/>
  <c r="AF250"/>
  <c r="AF249"/>
  <c r="AF248"/>
  <c r="AF247"/>
  <c r="AF246"/>
  <c r="AF244"/>
  <c r="AF243"/>
  <c r="AF242"/>
  <c r="AF241"/>
  <c r="AF240"/>
  <c r="AF239"/>
  <c r="AF238"/>
  <c r="AF237"/>
  <c r="AF235"/>
  <c r="AF234"/>
  <c r="AF233"/>
  <c r="AF232"/>
  <c r="AF231"/>
  <c r="AF230"/>
  <c r="AF229"/>
  <c r="AF228"/>
  <c r="AF227"/>
  <c r="AF225"/>
  <c r="AF224"/>
  <c r="AF223"/>
  <c r="AF222"/>
  <c r="AF221"/>
  <c r="AF220"/>
  <c r="AF219"/>
  <c r="AF218"/>
  <c r="AF217"/>
  <c r="AF216"/>
  <c r="AF215"/>
  <c r="AF214"/>
  <c r="AF213"/>
  <c r="AF211"/>
  <c r="AF210"/>
  <c r="AF209"/>
  <c r="AF208"/>
  <c r="AF207"/>
  <c r="AF206"/>
  <c r="AF205"/>
  <c r="AF204"/>
  <c r="AF203"/>
  <c r="AF202"/>
  <c r="AF201"/>
  <c r="AF200"/>
  <c r="AF198"/>
  <c r="AF197"/>
  <c r="AF196"/>
  <c r="AF195"/>
  <c r="AF194"/>
  <c r="AF193"/>
  <c r="AF192"/>
  <c r="AF191"/>
  <c r="AF190"/>
  <c r="AF189"/>
  <c r="AF188"/>
  <c r="AF187"/>
  <c r="AF186"/>
  <c r="AF184"/>
  <c r="AF183"/>
  <c r="AF182"/>
  <c r="AF181"/>
  <c r="AF180"/>
  <c r="AF179"/>
  <c r="AF178"/>
  <c r="AF177"/>
  <c r="AF176"/>
  <c r="AF175"/>
  <c r="AF174"/>
  <c r="AF172"/>
  <c r="AF171"/>
  <c r="AF170"/>
  <c r="AF169"/>
  <c r="AF168"/>
  <c r="AF167"/>
  <c r="AF166"/>
  <c r="AF165"/>
  <c r="AF164"/>
  <c r="AF163"/>
  <c r="AF162"/>
  <c r="AF161"/>
  <c r="AF160"/>
  <c r="AF158"/>
  <c r="AF157"/>
  <c r="AF156"/>
  <c r="AF155"/>
  <c r="AF154"/>
  <c r="AF153"/>
  <c r="AF152"/>
  <c r="AF151"/>
  <c r="AF150"/>
  <c r="AF149"/>
  <c r="AF148"/>
  <c r="AF147"/>
  <c r="AF145"/>
  <c r="AF144"/>
  <c r="AF143"/>
  <c r="AF142"/>
  <c r="AF141"/>
  <c r="AF140"/>
  <c r="AF138"/>
  <c r="AF137"/>
  <c r="AF136"/>
  <c r="AF135"/>
  <c r="AF134"/>
  <c r="AF133"/>
  <c r="AF132"/>
  <c r="AF131"/>
  <c r="AF130"/>
  <c r="AF128"/>
  <c r="AF127"/>
  <c r="AF126"/>
  <c r="AF125"/>
  <c r="AF124"/>
  <c r="AF123"/>
  <c r="AF122"/>
  <c r="AF120"/>
  <c r="AF119"/>
  <c r="AF118"/>
  <c r="AF117"/>
  <c r="AF116"/>
  <c r="AF115"/>
  <c r="AF114"/>
  <c r="AF113"/>
  <c r="AF112"/>
  <c r="AF111"/>
  <c r="AF110"/>
  <c r="AF109"/>
  <c r="AF108"/>
  <c r="AF107"/>
  <c r="AF106"/>
  <c r="AF104"/>
  <c r="AF103"/>
  <c r="AF102"/>
  <c r="AF101"/>
  <c r="AF100"/>
  <c r="AF99"/>
  <c r="AF98"/>
  <c r="AF97"/>
  <c r="AF96"/>
  <c r="AF95"/>
  <c r="AF94"/>
  <c r="AF93"/>
  <c r="AF92"/>
  <c r="AF90"/>
  <c r="AF89"/>
  <c r="AF88"/>
  <c r="AF87"/>
  <c r="AF86"/>
  <c r="AF85"/>
  <c r="AF84"/>
  <c r="AF83"/>
  <c r="AF82"/>
  <c r="AF80"/>
  <c r="AF79"/>
  <c r="AF78"/>
  <c r="AF77"/>
  <c r="AF76"/>
  <c r="AF75"/>
  <c r="AF74"/>
  <c r="AF73"/>
  <c r="AF71"/>
  <c r="AF70"/>
  <c r="AF69"/>
  <c r="AF68"/>
  <c r="AF67"/>
  <c r="AF65"/>
  <c r="AF64"/>
  <c r="AF63"/>
  <c r="AF62"/>
  <c r="AF61"/>
  <c r="AF60"/>
  <c r="AF59"/>
  <c r="AF58"/>
  <c r="AF57"/>
  <c r="AF56"/>
  <c r="AF55"/>
  <c r="AF54"/>
  <c r="AF53"/>
  <c r="AF51"/>
  <c r="AF50"/>
  <c r="AF49"/>
  <c r="AF48"/>
  <c r="AF47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6"/>
  <c r="AF15"/>
  <c r="AF14"/>
  <c r="AF13"/>
  <c r="AF12"/>
  <c r="AF11"/>
  <c r="AF10"/>
  <c r="AF9"/>
  <c r="AF8"/>
  <c r="AF7"/>
  <c r="AG377" l="1"/>
  <c r="AD376"/>
  <c r="AD375"/>
  <c r="AD374"/>
  <c r="AD373"/>
  <c r="AD372"/>
  <c r="AD371"/>
  <c r="AD370"/>
  <c r="AD369"/>
  <c r="AD368"/>
  <c r="AD367"/>
  <c r="AD366"/>
  <c r="AD365"/>
  <c r="AD363"/>
  <c r="AD362"/>
  <c r="AD361"/>
  <c r="AD360"/>
  <c r="AD359"/>
  <c r="AD358"/>
  <c r="AD357"/>
  <c r="AD356"/>
  <c r="AD355"/>
  <c r="AD354"/>
  <c r="AD353"/>
  <c r="AD351"/>
  <c r="AD350"/>
  <c r="AD349"/>
  <c r="AD348"/>
  <c r="AD347"/>
  <c r="AD346"/>
  <c r="AD345"/>
  <c r="AD344"/>
  <c r="AD343"/>
  <c r="AD342"/>
  <c r="AD341"/>
  <c r="AD339"/>
  <c r="AD338"/>
  <c r="AD337"/>
  <c r="AD336"/>
  <c r="AD335"/>
  <c r="AD334"/>
  <c r="AD333"/>
  <c r="AD332"/>
  <c r="AD331"/>
  <c r="AD330"/>
  <c r="AD329"/>
  <c r="AD327"/>
  <c r="AD326"/>
  <c r="AD325"/>
  <c r="AD324"/>
  <c r="AD323"/>
  <c r="AD322"/>
  <c r="AD321"/>
  <c r="AD320"/>
  <c r="AD319"/>
  <c r="AD318"/>
  <c r="AD317"/>
  <c r="AD316"/>
  <c r="AD315"/>
  <c r="AD314"/>
  <c r="AD313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8"/>
  <c r="AD267"/>
  <c r="AD266"/>
  <c r="AD265"/>
  <c r="AD264"/>
  <c r="AD263"/>
  <c r="AD262"/>
  <c r="AD260"/>
  <c r="AD259"/>
  <c r="AD258"/>
  <c r="AD257"/>
  <c r="AD256"/>
  <c r="AD255"/>
  <c r="AD254"/>
  <c r="AD253"/>
  <c r="AD252"/>
  <c r="AD251"/>
  <c r="AD250"/>
  <c r="AD249"/>
  <c r="AD248"/>
  <c r="AD247"/>
  <c r="AD246"/>
  <c r="AD244"/>
  <c r="AD243"/>
  <c r="AD242"/>
  <c r="AD241"/>
  <c r="AD240"/>
  <c r="AD239"/>
  <c r="AD238"/>
  <c r="AD237"/>
  <c r="AD235"/>
  <c r="AD234"/>
  <c r="AD233"/>
  <c r="AD232"/>
  <c r="AD231"/>
  <c r="AD230"/>
  <c r="AD229"/>
  <c r="AD228"/>
  <c r="AD227"/>
  <c r="AD225"/>
  <c r="AD224"/>
  <c r="AD223"/>
  <c r="AD222"/>
  <c r="AD221"/>
  <c r="AD220"/>
  <c r="AD219"/>
  <c r="AD218"/>
  <c r="AD217"/>
  <c r="AD216"/>
  <c r="AD215"/>
  <c r="AD214"/>
  <c r="AD213"/>
  <c r="AD211"/>
  <c r="AD210"/>
  <c r="AD209"/>
  <c r="AD208"/>
  <c r="AD207"/>
  <c r="AD206"/>
  <c r="AD205"/>
  <c r="AD204"/>
  <c r="AD203"/>
  <c r="AD202"/>
  <c r="AD201"/>
  <c r="AD200"/>
  <c r="AD198"/>
  <c r="AD197"/>
  <c r="AD196"/>
  <c r="AD195"/>
  <c r="AD194"/>
  <c r="AD193"/>
  <c r="AD192"/>
  <c r="AD191"/>
  <c r="AD190"/>
  <c r="AD189"/>
  <c r="AD188"/>
  <c r="AD187"/>
  <c r="AD186"/>
  <c r="AD184"/>
  <c r="AD183"/>
  <c r="AD182"/>
  <c r="AD181"/>
  <c r="AD180"/>
  <c r="AD179"/>
  <c r="AD178"/>
  <c r="AD177"/>
  <c r="AD176"/>
  <c r="AD175"/>
  <c r="AD174"/>
  <c r="AD172"/>
  <c r="AD171"/>
  <c r="AD170"/>
  <c r="AD169"/>
  <c r="AD168"/>
  <c r="AD167"/>
  <c r="AD166"/>
  <c r="AD165"/>
  <c r="AD164"/>
  <c r="AD163"/>
  <c r="AD162"/>
  <c r="AD161"/>
  <c r="AD160"/>
  <c r="AD158"/>
  <c r="AD157"/>
  <c r="AD156"/>
  <c r="AD155"/>
  <c r="AD154"/>
  <c r="AD153"/>
  <c r="AD152"/>
  <c r="AD151"/>
  <c r="AD150"/>
  <c r="AD149"/>
  <c r="AD148"/>
  <c r="AD147"/>
  <c r="AD145"/>
  <c r="AD144"/>
  <c r="AD143"/>
  <c r="AD142"/>
  <c r="AD141"/>
  <c r="AD140"/>
  <c r="AD138"/>
  <c r="AD137"/>
  <c r="AD136"/>
  <c r="AD135"/>
  <c r="AD134"/>
  <c r="AD133"/>
  <c r="AD132"/>
  <c r="AD131"/>
  <c r="AD130"/>
  <c r="AD128"/>
  <c r="AD127"/>
  <c r="AD126"/>
  <c r="AD125"/>
  <c r="AD124"/>
  <c r="AD123"/>
  <c r="AD122"/>
  <c r="AD120"/>
  <c r="AD119"/>
  <c r="AD118"/>
  <c r="AD117"/>
  <c r="AD116"/>
  <c r="AD115"/>
  <c r="AD114"/>
  <c r="AD113"/>
  <c r="AD112"/>
  <c r="AD111"/>
  <c r="AD110"/>
  <c r="AD109"/>
  <c r="AD108"/>
  <c r="AD107"/>
  <c r="AD106"/>
  <c r="AD104"/>
  <c r="AD103"/>
  <c r="AD102"/>
  <c r="AD101"/>
  <c r="AD100"/>
  <c r="AD99"/>
  <c r="AD98"/>
  <c r="AD97"/>
  <c r="AD96"/>
  <c r="AD95"/>
  <c r="AD94"/>
  <c r="AD93"/>
  <c r="AD92"/>
  <c r="AD90"/>
  <c r="AD89"/>
  <c r="AD88"/>
  <c r="AD87"/>
  <c r="AD86"/>
  <c r="AD85"/>
  <c r="AD84"/>
  <c r="AD83"/>
  <c r="AD82"/>
  <c r="AD80"/>
  <c r="AD79"/>
  <c r="AD78"/>
  <c r="AD77"/>
  <c r="AD76"/>
  <c r="AD75"/>
  <c r="AD74"/>
  <c r="AD73"/>
  <c r="AD71"/>
  <c r="AD70"/>
  <c r="AD69"/>
  <c r="AD68"/>
  <c r="AD67"/>
  <c r="AD65"/>
  <c r="AD64"/>
  <c r="AD63"/>
  <c r="AD62"/>
  <c r="AD61"/>
  <c r="AD60"/>
  <c r="AD59"/>
  <c r="AD58"/>
  <c r="AD57"/>
  <c r="AD56"/>
  <c r="AD55"/>
  <c r="AD54"/>
  <c r="AD53"/>
  <c r="AD51"/>
  <c r="AD50"/>
  <c r="AD49"/>
  <c r="AD48"/>
  <c r="AD47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6"/>
  <c r="AD15"/>
  <c r="AD14"/>
  <c r="AD13"/>
  <c r="AD12"/>
  <c r="AD11"/>
  <c r="AD10"/>
  <c r="AD9"/>
  <c r="AD8"/>
  <c r="AD7"/>
  <c r="AC376"/>
  <c r="AC375"/>
  <c r="AC374"/>
  <c r="AC373"/>
  <c r="AC372"/>
  <c r="AC371"/>
  <c r="AC370"/>
  <c r="AC369"/>
  <c r="AC368"/>
  <c r="AC367"/>
  <c r="AC366"/>
  <c r="AC365"/>
  <c r="AC363"/>
  <c r="AC362"/>
  <c r="AC361"/>
  <c r="AC360"/>
  <c r="AC359"/>
  <c r="AC358"/>
  <c r="AC357"/>
  <c r="AC356"/>
  <c r="AC355"/>
  <c r="AC354"/>
  <c r="AC353"/>
  <c r="AC351"/>
  <c r="AC350"/>
  <c r="AC349"/>
  <c r="AC348"/>
  <c r="AC347"/>
  <c r="AC346"/>
  <c r="AC345"/>
  <c r="AC344"/>
  <c r="AC343"/>
  <c r="AC342"/>
  <c r="AC341"/>
  <c r="AC339"/>
  <c r="AC338"/>
  <c r="AC337"/>
  <c r="AC336"/>
  <c r="AC335"/>
  <c r="AC334"/>
  <c r="AC333"/>
  <c r="AC332"/>
  <c r="AC331"/>
  <c r="AC330"/>
  <c r="AC329"/>
  <c r="AC327"/>
  <c r="AC326"/>
  <c r="AC325"/>
  <c r="AC324"/>
  <c r="AC323"/>
  <c r="AC322"/>
  <c r="AC321"/>
  <c r="AC320"/>
  <c r="AC319"/>
  <c r="AC318"/>
  <c r="AC317"/>
  <c r="AC316"/>
  <c r="AC315"/>
  <c r="AC314"/>
  <c r="AC313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8"/>
  <c r="AC267"/>
  <c r="AC266"/>
  <c r="AC265"/>
  <c r="AC264"/>
  <c r="AC263"/>
  <c r="AC262"/>
  <c r="AC260"/>
  <c r="AC259"/>
  <c r="AC258"/>
  <c r="AC257"/>
  <c r="AC256"/>
  <c r="AC255"/>
  <c r="AC254"/>
  <c r="AC253"/>
  <c r="AC252"/>
  <c r="AC251"/>
  <c r="AC250"/>
  <c r="AC249"/>
  <c r="AC248"/>
  <c r="AC247"/>
  <c r="AC246"/>
  <c r="AC244"/>
  <c r="AC243"/>
  <c r="AC242"/>
  <c r="AC241"/>
  <c r="AC240"/>
  <c r="AC239"/>
  <c r="AC238"/>
  <c r="AC237"/>
  <c r="AC235"/>
  <c r="AC234"/>
  <c r="AC233"/>
  <c r="AC232"/>
  <c r="AC231"/>
  <c r="AC230"/>
  <c r="AC229"/>
  <c r="AC228"/>
  <c r="AC227"/>
  <c r="AC225"/>
  <c r="AC224"/>
  <c r="AC223"/>
  <c r="AC222"/>
  <c r="AC221"/>
  <c r="AC220"/>
  <c r="AC219"/>
  <c r="AC218"/>
  <c r="AC217"/>
  <c r="AC216"/>
  <c r="AC215"/>
  <c r="AC214"/>
  <c r="AC213"/>
  <c r="AC211"/>
  <c r="AC210"/>
  <c r="AC209"/>
  <c r="AC208"/>
  <c r="AC207"/>
  <c r="AC206"/>
  <c r="AC205"/>
  <c r="AC204"/>
  <c r="AC203"/>
  <c r="AC202"/>
  <c r="AC201"/>
  <c r="AC200"/>
  <c r="AC198"/>
  <c r="AC197"/>
  <c r="AC196"/>
  <c r="AC195"/>
  <c r="AC194"/>
  <c r="AC193"/>
  <c r="AC192"/>
  <c r="AC191"/>
  <c r="AC190"/>
  <c r="AC189"/>
  <c r="AC188"/>
  <c r="AC187"/>
  <c r="AC186"/>
  <c r="AC184"/>
  <c r="AC183"/>
  <c r="AC182"/>
  <c r="AC181"/>
  <c r="AC180"/>
  <c r="AC179"/>
  <c r="AC178"/>
  <c r="AC177"/>
  <c r="AC176"/>
  <c r="AC175"/>
  <c r="AC174"/>
  <c r="AC172"/>
  <c r="AC171"/>
  <c r="AC170"/>
  <c r="AC169"/>
  <c r="AC168"/>
  <c r="AC167"/>
  <c r="AC166"/>
  <c r="AC165"/>
  <c r="AC164"/>
  <c r="AC163"/>
  <c r="AC162"/>
  <c r="AC161"/>
  <c r="AC160"/>
  <c r="AC158"/>
  <c r="AC157"/>
  <c r="AC156"/>
  <c r="AC155"/>
  <c r="AC154"/>
  <c r="AC153"/>
  <c r="AC152"/>
  <c r="AC151"/>
  <c r="AC150"/>
  <c r="AC149"/>
  <c r="AC148"/>
  <c r="AC147"/>
  <c r="AC145"/>
  <c r="AC144"/>
  <c r="AC143"/>
  <c r="AC142"/>
  <c r="AC141"/>
  <c r="AC140"/>
  <c r="AC138"/>
  <c r="AC137"/>
  <c r="AC136"/>
  <c r="AC135"/>
  <c r="AC134"/>
  <c r="AC133"/>
  <c r="AC132"/>
  <c r="AC131"/>
  <c r="AC130"/>
  <c r="AC128"/>
  <c r="AC127"/>
  <c r="AC126"/>
  <c r="AC125"/>
  <c r="AC124"/>
  <c r="AC123"/>
  <c r="AC122"/>
  <c r="AC120"/>
  <c r="AC119"/>
  <c r="AC118"/>
  <c r="AC117"/>
  <c r="AC116"/>
  <c r="AC115"/>
  <c r="AC114"/>
  <c r="AC113"/>
  <c r="AC112"/>
  <c r="AC111"/>
  <c r="AC110"/>
  <c r="AC109"/>
  <c r="AC108"/>
  <c r="AC107"/>
  <c r="AC106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0"/>
  <c r="AC79"/>
  <c r="AC78"/>
  <c r="AC77"/>
  <c r="AC76"/>
  <c r="AC75"/>
  <c r="AC74"/>
  <c r="AC73"/>
  <c r="AC71"/>
  <c r="AC70"/>
  <c r="AC69"/>
  <c r="AC68"/>
  <c r="AC67"/>
  <c r="AC65"/>
  <c r="AC64"/>
  <c r="AC63"/>
  <c r="AC62"/>
  <c r="AC61"/>
  <c r="AC60"/>
  <c r="AC59"/>
  <c r="AC58"/>
  <c r="AC57"/>
  <c r="AC56"/>
  <c r="AC55"/>
  <c r="AC54"/>
  <c r="AC53"/>
  <c r="AC51"/>
  <c r="AC50"/>
  <c r="AC49"/>
  <c r="AC48"/>
  <c r="AC47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6"/>
  <c r="AC15"/>
  <c r="AC14"/>
  <c r="AC13"/>
  <c r="AC12"/>
  <c r="AC11"/>
  <c r="AC10"/>
  <c r="AC9"/>
  <c r="AC8"/>
  <c r="AC7"/>
  <c r="AB376"/>
  <c r="AB375"/>
  <c r="AB374"/>
  <c r="AB373"/>
  <c r="AB372"/>
  <c r="AB371"/>
  <c r="AB370"/>
  <c r="AB369"/>
  <c r="AB368"/>
  <c r="AB367"/>
  <c r="AB366"/>
  <c r="AB365"/>
  <c r="AB363"/>
  <c r="AB362"/>
  <c r="AB361"/>
  <c r="AB360"/>
  <c r="AB359"/>
  <c r="AB358"/>
  <c r="AB357"/>
  <c r="AB356"/>
  <c r="AB355"/>
  <c r="AB354"/>
  <c r="AB353"/>
  <c r="AB351"/>
  <c r="AB350"/>
  <c r="AB349"/>
  <c r="AB348"/>
  <c r="AB347"/>
  <c r="AB346"/>
  <c r="AB345"/>
  <c r="AB344"/>
  <c r="AB343"/>
  <c r="AB342"/>
  <c r="AB341"/>
  <c r="AB339"/>
  <c r="AB338"/>
  <c r="AB337"/>
  <c r="AB336"/>
  <c r="AB335"/>
  <c r="AB334"/>
  <c r="AB333"/>
  <c r="AB332"/>
  <c r="AB331"/>
  <c r="AB330"/>
  <c r="AB329"/>
  <c r="AB327"/>
  <c r="AB326"/>
  <c r="AB325"/>
  <c r="AB324"/>
  <c r="AB323"/>
  <c r="AB322"/>
  <c r="AB321"/>
  <c r="AB320"/>
  <c r="AB319"/>
  <c r="AB318"/>
  <c r="AB317"/>
  <c r="AB316"/>
  <c r="AB315"/>
  <c r="AB314"/>
  <c r="AB313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8"/>
  <c r="AB267"/>
  <c r="AB266"/>
  <c r="AB265"/>
  <c r="AB264"/>
  <c r="AB263"/>
  <c r="AB262"/>
  <c r="AB260"/>
  <c r="AB259"/>
  <c r="AB258"/>
  <c r="AB257"/>
  <c r="AB256"/>
  <c r="AB255"/>
  <c r="AB254"/>
  <c r="AB253"/>
  <c r="AB252"/>
  <c r="AB251"/>
  <c r="AB250"/>
  <c r="AB249"/>
  <c r="AB248"/>
  <c r="AB247"/>
  <c r="AB246"/>
  <c r="AB244"/>
  <c r="AB243"/>
  <c r="AB242"/>
  <c r="AB241"/>
  <c r="AB240"/>
  <c r="AB239"/>
  <c r="AB238"/>
  <c r="AB237"/>
  <c r="AB235"/>
  <c r="AB234"/>
  <c r="AB233"/>
  <c r="AB232"/>
  <c r="AB231"/>
  <c r="AB230"/>
  <c r="AB229"/>
  <c r="AB228"/>
  <c r="AB227"/>
  <c r="AB225"/>
  <c r="AB224"/>
  <c r="AB223"/>
  <c r="AB222"/>
  <c r="AB221"/>
  <c r="AB220"/>
  <c r="AB219"/>
  <c r="AB218"/>
  <c r="AB217"/>
  <c r="AB216"/>
  <c r="AB215"/>
  <c r="AB214"/>
  <c r="AB213"/>
  <c r="AB211"/>
  <c r="AB210"/>
  <c r="AB209"/>
  <c r="AB208"/>
  <c r="AB207"/>
  <c r="AB206"/>
  <c r="AB205"/>
  <c r="AB204"/>
  <c r="AB203"/>
  <c r="AB202"/>
  <c r="AB201"/>
  <c r="AB200"/>
  <c r="AB198"/>
  <c r="AB197"/>
  <c r="AB196"/>
  <c r="AB195"/>
  <c r="AB194"/>
  <c r="AB193"/>
  <c r="AB192"/>
  <c r="AB191"/>
  <c r="AB190"/>
  <c r="AB189"/>
  <c r="AB188"/>
  <c r="AB187"/>
  <c r="AB186"/>
  <c r="AB184"/>
  <c r="AB183"/>
  <c r="AB182"/>
  <c r="AB181"/>
  <c r="AB180"/>
  <c r="AB179"/>
  <c r="AB178"/>
  <c r="AB177"/>
  <c r="AB176"/>
  <c r="AB175"/>
  <c r="AB174"/>
  <c r="AB172"/>
  <c r="AB171"/>
  <c r="AB170"/>
  <c r="AB169"/>
  <c r="AB168"/>
  <c r="AB167"/>
  <c r="AB166"/>
  <c r="AB165"/>
  <c r="AB164"/>
  <c r="AB163"/>
  <c r="AB162"/>
  <c r="AB161"/>
  <c r="AB160"/>
  <c r="AB158"/>
  <c r="AB157"/>
  <c r="AB156"/>
  <c r="AB155"/>
  <c r="AB154"/>
  <c r="AB153"/>
  <c r="AB152"/>
  <c r="AB151"/>
  <c r="AB150"/>
  <c r="AB149"/>
  <c r="AB148"/>
  <c r="AB147"/>
  <c r="AB145"/>
  <c r="AB144"/>
  <c r="AB143"/>
  <c r="AB142"/>
  <c r="AB141"/>
  <c r="AB140"/>
  <c r="AB138"/>
  <c r="AB137"/>
  <c r="AB136"/>
  <c r="AB135"/>
  <c r="AB134"/>
  <c r="AB133"/>
  <c r="AB132"/>
  <c r="AB131"/>
  <c r="AB130"/>
  <c r="AB128"/>
  <c r="AB127"/>
  <c r="AB126"/>
  <c r="AB125"/>
  <c r="AB124"/>
  <c r="AB123"/>
  <c r="AB122"/>
  <c r="AB120"/>
  <c r="AB119"/>
  <c r="AB118"/>
  <c r="AB117"/>
  <c r="AB116"/>
  <c r="AB115"/>
  <c r="AB114"/>
  <c r="AB113"/>
  <c r="AB112"/>
  <c r="AB111"/>
  <c r="AB110"/>
  <c r="AB109"/>
  <c r="AB108"/>
  <c r="AB107"/>
  <c r="AB106"/>
  <c r="AB104"/>
  <c r="AB103"/>
  <c r="AB102"/>
  <c r="AB101"/>
  <c r="AB100"/>
  <c r="AB99"/>
  <c r="AB98"/>
  <c r="AB97"/>
  <c r="AB96"/>
  <c r="AB95"/>
  <c r="AB94"/>
  <c r="AB93"/>
  <c r="AB92"/>
  <c r="AB90"/>
  <c r="AB89"/>
  <c r="AB88"/>
  <c r="AB87"/>
  <c r="AB86"/>
  <c r="AB85"/>
  <c r="AB84"/>
  <c r="AB83"/>
  <c r="AB82"/>
  <c r="AB80"/>
  <c r="AB79"/>
  <c r="AB78"/>
  <c r="AB77"/>
  <c r="AB76"/>
  <c r="AB75"/>
  <c r="AB74"/>
  <c r="AB73"/>
  <c r="AB71"/>
  <c r="AB70"/>
  <c r="AB69"/>
  <c r="AB68"/>
  <c r="AB67"/>
  <c r="AB65"/>
  <c r="AB64"/>
  <c r="AB63"/>
  <c r="AB62"/>
  <c r="AB61"/>
  <c r="AB60"/>
  <c r="AB59"/>
  <c r="AB58"/>
  <c r="AB57"/>
  <c r="AB56"/>
  <c r="AB55"/>
  <c r="AB54"/>
  <c r="AB53"/>
  <c r="AB51"/>
  <c r="AB50"/>
  <c r="AB49"/>
  <c r="AB48"/>
  <c r="AB47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6"/>
  <c r="AB15"/>
  <c r="AB14"/>
  <c r="AB13"/>
  <c r="AB12"/>
  <c r="AB11"/>
  <c r="AB10"/>
  <c r="AB9"/>
  <c r="AB8"/>
  <c r="AB7"/>
  <c r="Z48"/>
  <c r="Z49"/>
  <c r="Z50"/>
  <c r="Z51"/>
  <c r="Z53"/>
  <c r="Z54"/>
  <c r="Z55"/>
  <c r="Z56"/>
  <c r="Z57"/>
  <c r="Z58"/>
  <c r="Z59"/>
  <c r="Z60"/>
  <c r="Z61"/>
  <c r="Z62"/>
  <c r="Z63"/>
  <c r="Z64"/>
  <c r="Z65"/>
  <c r="Z67"/>
  <c r="Z68"/>
  <c r="Z69"/>
  <c r="Z70"/>
  <c r="Z71"/>
  <c r="Z73"/>
  <c r="Z74"/>
  <c r="Z75"/>
  <c r="Z76"/>
  <c r="Z77"/>
  <c r="Z78"/>
  <c r="Z79"/>
  <c r="Z80"/>
  <c r="Z82"/>
  <c r="Z83"/>
  <c r="Z84"/>
  <c r="Z85"/>
  <c r="Z86"/>
  <c r="Z87"/>
  <c r="Z88"/>
  <c r="Z89"/>
  <c r="Z90"/>
  <c r="Z92"/>
  <c r="Z93"/>
  <c r="Z94"/>
  <c r="Z95"/>
  <c r="Z96"/>
  <c r="Z97"/>
  <c r="Z98"/>
  <c r="Z99"/>
  <c r="Z100"/>
  <c r="Z101"/>
  <c r="Z102"/>
  <c r="Z103"/>
  <c r="Z104"/>
  <c r="Z106"/>
  <c r="Z107"/>
  <c r="Z108"/>
  <c r="Z109"/>
  <c r="Z110"/>
  <c r="Z111"/>
  <c r="Z112"/>
  <c r="Z113"/>
  <c r="Z114"/>
  <c r="Z115"/>
  <c r="Z116"/>
  <c r="Z117"/>
  <c r="Z118"/>
  <c r="Z119"/>
  <c r="Z120"/>
  <c r="Z122"/>
  <c r="Z123"/>
  <c r="Z124"/>
  <c r="Z125"/>
  <c r="Z126"/>
  <c r="Z127"/>
  <c r="Z128"/>
  <c r="Z130"/>
  <c r="Z131"/>
  <c r="Z132"/>
  <c r="Z133"/>
  <c r="Z134"/>
  <c r="Z135"/>
  <c r="Z136"/>
  <c r="Z137"/>
  <c r="Z138"/>
  <c r="Z140"/>
  <c r="Z141"/>
  <c r="Z142"/>
  <c r="Z143"/>
  <c r="Z144"/>
  <c r="Z145"/>
  <c r="Z147"/>
  <c r="Z148"/>
  <c r="Z149"/>
  <c r="Z150"/>
  <c r="Z151"/>
  <c r="Z152"/>
  <c r="Z153"/>
  <c r="Z154"/>
  <c r="Z155"/>
  <c r="Z156"/>
  <c r="Z157"/>
  <c r="Z158"/>
  <c r="Z160"/>
  <c r="Z161"/>
  <c r="Z162"/>
  <c r="Z163"/>
  <c r="Z164"/>
  <c r="Z165"/>
  <c r="Z166"/>
  <c r="Z167"/>
  <c r="Z168"/>
  <c r="Z169"/>
  <c r="Z170"/>
  <c r="Z171"/>
  <c r="Z172"/>
  <c r="Z174"/>
  <c r="Z175"/>
  <c r="Z176"/>
  <c r="Z177"/>
  <c r="Z178"/>
  <c r="Z179"/>
  <c r="Z180"/>
  <c r="Z181"/>
  <c r="Z182"/>
  <c r="Z183"/>
  <c r="Z184"/>
  <c r="Z186"/>
  <c r="Z187"/>
  <c r="Z188"/>
  <c r="Z189"/>
  <c r="Z190"/>
  <c r="Z191"/>
  <c r="Z192"/>
  <c r="Z193"/>
  <c r="Z194"/>
  <c r="Z195"/>
  <c r="Z196"/>
  <c r="Z197"/>
  <c r="Z198"/>
  <c r="Z200"/>
  <c r="Z201"/>
  <c r="Z202"/>
  <c r="Z203"/>
  <c r="Z204"/>
  <c r="Z205"/>
  <c r="Z206"/>
  <c r="Z207"/>
  <c r="Z208"/>
  <c r="Z209"/>
  <c r="Z210"/>
  <c r="Z211"/>
  <c r="Z213"/>
  <c r="Z214"/>
  <c r="Z215"/>
  <c r="Z216"/>
  <c r="Z217"/>
  <c r="Z218"/>
  <c r="Z219"/>
  <c r="Z220"/>
  <c r="Z221"/>
  <c r="Z222"/>
  <c r="Z223"/>
  <c r="Z224"/>
  <c r="Z225"/>
  <c r="Z227"/>
  <c r="Z228"/>
  <c r="Z229"/>
  <c r="Z230"/>
  <c r="Z231"/>
  <c r="Z232"/>
  <c r="Z233"/>
  <c r="Z234"/>
  <c r="Z235"/>
  <c r="Z237"/>
  <c r="Z238"/>
  <c r="Z239"/>
  <c r="Z240"/>
  <c r="Z241"/>
  <c r="Z242"/>
  <c r="Z243"/>
  <c r="Z244"/>
  <c r="Z246"/>
  <c r="Z247"/>
  <c r="Z248"/>
  <c r="Z249"/>
  <c r="Z250"/>
  <c r="Z251"/>
  <c r="Z252"/>
  <c r="Z253"/>
  <c r="Z254"/>
  <c r="Z255"/>
  <c r="Z256"/>
  <c r="Z257"/>
  <c r="Z258"/>
  <c r="Z259"/>
  <c r="Z260"/>
  <c r="Z262"/>
  <c r="Z263"/>
  <c r="Z264"/>
  <c r="Z265"/>
  <c r="Z266"/>
  <c r="Z267"/>
  <c r="Z268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3"/>
  <c r="Z314"/>
  <c r="Z315"/>
  <c r="Z316"/>
  <c r="Z317"/>
  <c r="Z318"/>
  <c r="Z319"/>
  <c r="Z320"/>
  <c r="Z321"/>
  <c r="Z322"/>
  <c r="Z323"/>
  <c r="Z324"/>
  <c r="Z325"/>
  <c r="Z326"/>
  <c r="Z327"/>
  <c r="Z329"/>
  <c r="Z330"/>
  <c r="Z331"/>
  <c r="Z332"/>
  <c r="Z333"/>
  <c r="Z334"/>
  <c r="Z335"/>
  <c r="Z336"/>
  <c r="Z337"/>
  <c r="Z338"/>
  <c r="Z339"/>
  <c r="Z341"/>
  <c r="Z342"/>
  <c r="Z343"/>
  <c r="Z344"/>
  <c r="Z345"/>
  <c r="Z346"/>
  <c r="Z347"/>
  <c r="Z348"/>
  <c r="Z349"/>
  <c r="Z350"/>
  <c r="Z351"/>
  <c r="Z353"/>
  <c r="Z354"/>
  <c r="Z355"/>
  <c r="Z356"/>
  <c r="Z357"/>
  <c r="Z358"/>
  <c r="Z359"/>
  <c r="Z360"/>
  <c r="Z361"/>
  <c r="Z362"/>
  <c r="Z363"/>
  <c r="Z365"/>
  <c r="Z366"/>
  <c r="Z367"/>
  <c r="Z368"/>
  <c r="Z369"/>
  <c r="Z370"/>
  <c r="Z371"/>
  <c r="Z372"/>
  <c r="Z373"/>
  <c r="Z374"/>
  <c r="Z375"/>
  <c r="Z376"/>
  <c r="Z4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8"/>
  <c r="Z9"/>
  <c r="Z10"/>
  <c r="Z11"/>
  <c r="Z12"/>
  <c r="Z13"/>
  <c r="Z14"/>
  <c r="Z15"/>
  <c r="Z16"/>
  <c r="Z7"/>
  <c r="X377" l="1"/>
  <c r="T377"/>
  <c r="P377"/>
  <c r="D377"/>
  <c r="X17"/>
  <c r="T17"/>
  <c r="P17"/>
  <c r="P6"/>
  <c r="D17"/>
  <c r="D6"/>
  <c r="D7"/>
  <c r="X376"/>
  <c r="X375"/>
  <c r="X374"/>
  <c r="X373"/>
  <c r="X372"/>
  <c r="X371"/>
  <c r="X370"/>
  <c r="X369"/>
  <c r="X368"/>
  <c r="X367"/>
  <c r="X366"/>
  <c r="X365"/>
  <c r="X363"/>
  <c r="X362"/>
  <c r="X361"/>
  <c r="X360"/>
  <c r="X359"/>
  <c r="X358"/>
  <c r="X357"/>
  <c r="X356"/>
  <c r="X355"/>
  <c r="X354"/>
  <c r="X353"/>
  <c r="X351"/>
  <c r="X350"/>
  <c r="X349"/>
  <c r="X348"/>
  <c r="X347"/>
  <c r="X346"/>
  <c r="X345"/>
  <c r="X344"/>
  <c r="X343"/>
  <c r="X342"/>
  <c r="X341"/>
  <c r="X339"/>
  <c r="X338"/>
  <c r="X337"/>
  <c r="X336"/>
  <c r="X335"/>
  <c r="X334"/>
  <c r="X333"/>
  <c r="X332"/>
  <c r="X331"/>
  <c r="X330"/>
  <c r="X329"/>
  <c r="X327"/>
  <c r="X326"/>
  <c r="X325"/>
  <c r="X324"/>
  <c r="X323"/>
  <c r="X322"/>
  <c r="X321"/>
  <c r="X320"/>
  <c r="X319"/>
  <c r="X318"/>
  <c r="X317"/>
  <c r="X316"/>
  <c r="X315"/>
  <c r="X314"/>
  <c r="X313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8"/>
  <c r="X267"/>
  <c r="X266"/>
  <c r="X265"/>
  <c r="X264"/>
  <c r="X263"/>
  <c r="X262"/>
  <c r="X260"/>
  <c r="X259"/>
  <c r="X258"/>
  <c r="X257"/>
  <c r="X256"/>
  <c r="X255"/>
  <c r="X254"/>
  <c r="X253"/>
  <c r="X252"/>
  <c r="X251"/>
  <c r="X250"/>
  <c r="X249"/>
  <c r="X248"/>
  <c r="X247"/>
  <c r="X246"/>
  <c r="X244"/>
  <c r="X243"/>
  <c r="X242"/>
  <c r="X241"/>
  <c r="X240"/>
  <c r="X239"/>
  <c r="X238"/>
  <c r="X237"/>
  <c r="X235"/>
  <c r="X234"/>
  <c r="X233"/>
  <c r="X232"/>
  <c r="X231"/>
  <c r="X230"/>
  <c r="X229"/>
  <c r="X228"/>
  <c r="X227"/>
  <c r="X225"/>
  <c r="X224"/>
  <c r="X223"/>
  <c r="X222"/>
  <c r="X221"/>
  <c r="X220"/>
  <c r="X219"/>
  <c r="X218"/>
  <c r="X217"/>
  <c r="X216"/>
  <c r="X215"/>
  <c r="X214"/>
  <c r="X213"/>
  <c r="X211"/>
  <c r="X210"/>
  <c r="X209"/>
  <c r="X208"/>
  <c r="X207"/>
  <c r="X206"/>
  <c r="X205"/>
  <c r="X204"/>
  <c r="X203"/>
  <c r="X202"/>
  <c r="X201"/>
  <c r="X200"/>
  <c r="X198"/>
  <c r="X197"/>
  <c r="X196"/>
  <c r="X195"/>
  <c r="X194"/>
  <c r="X193"/>
  <c r="X192"/>
  <c r="X191"/>
  <c r="X190"/>
  <c r="X189"/>
  <c r="X188"/>
  <c r="X187"/>
  <c r="X186"/>
  <c r="X184"/>
  <c r="X183"/>
  <c r="X182"/>
  <c r="X181"/>
  <c r="X180"/>
  <c r="X179"/>
  <c r="X178"/>
  <c r="X177"/>
  <c r="X176"/>
  <c r="X175"/>
  <c r="X174"/>
  <c r="X172"/>
  <c r="X171"/>
  <c r="X170"/>
  <c r="X169"/>
  <c r="X168"/>
  <c r="X167"/>
  <c r="X166"/>
  <c r="X165"/>
  <c r="X164"/>
  <c r="X163"/>
  <c r="X162"/>
  <c r="X161"/>
  <c r="X160"/>
  <c r="X158"/>
  <c r="X157"/>
  <c r="X156"/>
  <c r="X155"/>
  <c r="X154"/>
  <c r="X153"/>
  <c r="X152"/>
  <c r="X151"/>
  <c r="X150"/>
  <c r="X149"/>
  <c r="X148"/>
  <c r="X147"/>
  <c r="X145"/>
  <c r="X144"/>
  <c r="X143"/>
  <c r="X142"/>
  <c r="X141"/>
  <c r="X140"/>
  <c r="X138"/>
  <c r="X137"/>
  <c r="X136"/>
  <c r="X135"/>
  <c r="X134"/>
  <c r="X133"/>
  <c r="X132"/>
  <c r="X131"/>
  <c r="X130"/>
  <c r="X128"/>
  <c r="X127"/>
  <c r="X126"/>
  <c r="X125"/>
  <c r="X124"/>
  <c r="X123"/>
  <c r="X122"/>
  <c r="X120"/>
  <c r="X119"/>
  <c r="X118"/>
  <c r="X117"/>
  <c r="X116"/>
  <c r="X115"/>
  <c r="X114"/>
  <c r="X113"/>
  <c r="X112"/>
  <c r="X111"/>
  <c r="X110"/>
  <c r="X109"/>
  <c r="X108"/>
  <c r="X107"/>
  <c r="X106"/>
  <c r="X104"/>
  <c r="X103"/>
  <c r="X102"/>
  <c r="X101"/>
  <c r="X100"/>
  <c r="X99"/>
  <c r="X98"/>
  <c r="X97"/>
  <c r="X96"/>
  <c r="X95"/>
  <c r="X94"/>
  <c r="X93"/>
  <c r="X92"/>
  <c r="X90"/>
  <c r="X89"/>
  <c r="X88"/>
  <c r="X87"/>
  <c r="X86"/>
  <c r="X85"/>
  <c r="X84"/>
  <c r="X83"/>
  <c r="X82"/>
  <c r="X80"/>
  <c r="X79"/>
  <c r="X78"/>
  <c r="X77"/>
  <c r="X76"/>
  <c r="X75"/>
  <c r="X74"/>
  <c r="X73"/>
  <c r="X71"/>
  <c r="X70"/>
  <c r="X69"/>
  <c r="X68"/>
  <c r="X67"/>
  <c r="X65"/>
  <c r="X64"/>
  <c r="X63"/>
  <c r="X62"/>
  <c r="X61"/>
  <c r="X60"/>
  <c r="X59"/>
  <c r="X58"/>
  <c r="X57"/>
  <c r="X56"/>
  <c r="X55"/>
  <c r="X54"/>
  <c r="X53"/>
  <c r="X51"/>
  <c r="X50"/>
  <c r="X49"/>
  <c r="X48"/>
  <c r="X47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T376" l="1"/>
  <c r="T375"/>
  <c r="T374"/>
  <c r="T373"/>
  <c r="T372"/>
  <c r="T371"/>
  <c r="T370"/>
  <c r="T369"/>
  <c r="T368"/>
  <c r="T367"/>
  <c r="T366"/>
  <c r="T365"/>
  <c r="T363"/>
  <c r="T362"/>
  <c r="T361"/>
  <c r="T360"/>
  <c r="T359"/>
  <c r="T358"/>
  <c r="T357"/>
  <c r="T356"/>
  <c r="T355"/>
  <c r="T354"/>
  <c r="T353"/>
  <c r="T351"/>
  <c r="T350"/>
  <c r="T349"/>
  <c r="T348"/>
  <c r="T347"/>
  <c r="T346"/>
  <c r="T345"/>
  <c r="T344"/>
  <c r="T343"/>
  <c r="T342"/>
  <c r="T341"/>
  <c r="T339"/>
  <c r="T338"/>
  <c r="T337"/>
  <c r="T336"/>
  <c r="T335"/>
  <c r="T334"/>
  <c r="T333"/>
  <c r="T332"/>
  <c r="T331"/>
  <c r="T330"/>
  <c r="T329"/>
  <c r="T327"/>
  <c r="T326"/>
  <c r="T325"/>
  <c r="T324"/>
  <c r="T323"/>
  <c r="T322"/>
  <c r="T321"/>
  <c r="T320"/>
  <c r="T319"/>
  <c r="T318"/>
  <c r="T317"/>
  <c r="T316"/>
  <c r="T315"/>
  <c r="T314"/>
  <c r="T313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8"/>
  <c r="T267"/>
  <c r="T266"/>
  <c r="T265"/>
  <c r="T264"/>
  <c r="T263"/>
  <c r="T262"/>
  <c r="T260"/>
  <c r="T259"/>
  <c r="T258"/>
  <c r="T257"/>
  <c r="T256"/>
  <c r="T255"/>
  <c r="T254"/>
  <c r="T253"/>
  <c r="T252"/>
  <c r="T251"/>
  <c r="T250"/>
  <c r="T249"/>
  <c r="T248"/>
  <c r="T247"/>
  <c r="T246"/>
  <c r="T244"/>
  <c r="T243"/>
  <c r="T242"/>
  <c r="T241"/>
  <c r="T240"/>
  <c r="T239"/>
  <c r="T238"/>
  <c r="T237"/>
  <c r="T235"/>
  <c r="T234"/>
  <c r="T233"/>
  <c r="T232"/>
  <c r="T231"/>
  <c r="T230"/>
  <c r="T229"/>
  <c r="T228"/>
  <c r="T227"/>
  <c r="T225"/>
  <c r="T224"/>
  <c r="T223"/>
  <c r="T222"/>
  <c r="T221"/>
  <c r="T220"/>
  <c r="T219"/>
  <c r="T218"/>
  <c r="T217"/>
  <c r="T216"/>
  <c r="T215"/>
  <c r="T214"/>
  <c r="T213"/>
  <c r="T211"/>
  <c r="T210"/>
  <c r="T209"/>
  <c r="T208"/>
  <c r="T207"/>
  <c r="T206"/>
  <c r="T205"/>
  <c r="T204"/>
  <c r="T203"/>
  <c r="T202"/>
  <c r="T201"/>
  <c r="T200"/>
  <c r="T198"/>
  <c r="T197"/>
  <c r="T196"/>
  <c r="T195"/>
  <c r="T194"/>
  <c r="T193"/>
  <c r="T192"/>
  <c r="T191"/>
  <c r="T190"/>
  <c r="T189"/>
  <c r="T188"/>
  <c r="T187"/>
  <c r="T186"/>
  <c r="T184"/>
  <c r="T183"/>
  <c r="T182"/>
  <c r="T181"/>
  <c r="T180"/>
  <c r="T179"/>
  <c r="T178"/>
  <c r="T177"/>
  <c r="T176"/>
  <c r="T175"/>
  <c r="T174"/>
  <c r="T172"/>
  <c r="T171"/>
  <c r="T170"/>
  <c r="T169"/>
  <c r="T168"/>
  <c r="T167"/>
  <c r="T166"/>
  <c r="T165"/>
  <c r="T164"/>
  <c r="T163"/>
  <c r="T162"/>
  <c r="T161"/>
  <c r="T160"/>
  <c r="T158"/>
  <c r="T157"/>
  <c r="T156"/>
  <c r="T155"/>
  <c r="T154"/>
  <c r="T153"/>
  <c r="T152"/>
  <c r="T151"/>
  <c r="T150"/>
  <c r="T149"/>
  <c r="T148"/>
  <c r="T147"/>
  <c r="T145"/>
  <c r="T144"/>
  <c r="T143"/>
  <c r="T142"/>
  <c r="T141"/>
  <c r="T140"/>
  <c r="T138"/>
  <c r="T137"/>
  <c r="T136"/>
  <c r="T135"/>
  <c r="T134"/>
  <c r="T133"/>
  <c r="T132"/>
  <c r="T131"/>
  <c r="T130"/>
  <c r="T128"/>
  <c r="T127"/>
  <c r="T126"/>
  <c r="T125"/>
  <c r="T124"/>
  <c r="T123"/>
  <c r="T122"/>
  <c r="T120"/>
  <c r="T119"/>
  <c r="T118"/>
  <c r="T117"/>
  <c r="T116"/>
  <c r="T115"/>
  <c r="T114"/>
  <c r="T113"/>
  <c r="T112"/>
  <c r="T111"/>
  <c r="T110"/>
  <c r="T109"/>
  <c r="T108"/>
  <c r="T107"/>
  <c r="T106"/>
  <c r="T104"/>
  <c r="T103"/>
  <c r="T102"/>
  <c r="T101"/>
  <c r="T100"/>
  <c r="T99"/>
  <c r="T98"/>
  <c r="T97"/>
  <c r="T96"/>
  <c r="T95"/>
  <c r="T94"/>
  <c r="T93"/>
  <c r="T92"/>
  <c r="T90"/>
  <c r="T89"/>
  <c r="T88"/>
  <c r="T87"/>
  <c r="T86"/>
  <c r="T85"/>
  <c r="T84"/>
  <c r="T83"/>
  <c r="T82"/>
  <c r="T80"/>
  <c r="T79"/>
  <c r="T78"/>
  <c r="T77"/>
  <c r="T76"/>
  <c r="T75"/>
  <c r="T74"/>
  <c r="T73"/>
  <c r="T71"/>
  <c r="T70"/>
  <c r="T69"/>
  <c r="T68"/>
  <c r="T67"/>
  <c r="T65"/>
  <c r="T64"/>
  <c r="T63"/>
  <c r="T62"/>
  <c r="T61"/>
  <c r="T60"/>
  <c r="T59"/>
  <c r="T58"/>
  <c r="T57"/>
  <c r="T56"/>
  <c r="T55"/>
  <c r="T54"/>
  <c r="T53"/>
  <c r="T51"/>
  <c r="T50"/>
  <c r="T49"/>
  <c r="T48"/>
  <c r="T47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P376" l="1"/>
  <c r="P375"/>
  <c r="P374"/>
  <c r="P373"/>
  <c r="P372"/>
  <c r="P371"/>
  <c r="P370"/>
  <c r="P369"/>
  <c r="P368"/>
  <c r="P367"/>
  <c r="P366"/>
  <c r="P365"/>
  <c r="P363"/>
  <c r="P362"/>
  <c r="P361"/>
  <c r="P360"/>
  <c r="P359"/>
  <c r="P358"/>
  <c r="P357"/>
  <c r="P356"/>
  <c r="P355"/>
  <c r="P354"/>
  <c r="P353"/>
  <c r="P351"/>
  <c r="P350"/>
  <c r="P349"/>
  <c r="P348"/>
  <c r="P347"/>
  <c r="P346"/>
  <c r="P345"/>
  <c r="P344"/>
  <c r="P343"/>
  <c r="P342"/>
  <c r="P341"/>
  <c r="P339"/>
  <c r="P338"/>
  <c r="P337"/>
  <c r="P336"/>
  <c r="P335"/>
  <c r="P334"/>
  <c r="P333"/>
  <c r="P332"/>
  <c r="P331"/>
  <c r="P330"/>
  <c r="P329"/>
  <c r="P327"/>
  <c r="P326"/>
  <c r="P325"/>
  <c r="P324"/>
  <c r="P323"/>
  <c r="P322"/>
  <c r="P321"/>
  <c r="P320"/>
  <c r="P319"/>
  <c r="P318"/>
  <c r="P317"/>
  <c r="P316"/>
  <c r="P315"/>
  <c r="P314"/>
  <c r="P313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8"/>
  <c r="P267"/>
  <c r="P266"/>
  <c r="P265"/>
  <c r="P264"/>
  <c r="P263"/>
  <c r="P262"/>
  <c r="P260"/>
  <c r="P259"/>
  <c r="P258"/>
  <c r="P257"/>
  <c r="P256"/>
  <c r="P255"/>
  <c r="P254"/>
  <c r="P253"/>
  <c r="P252"/>
  <c r="P251"/>
  <c r="P250"/>
  <c r="P249"/>
  <c r="P248"/>
  <c r="P247"/>
  <c r="P246"/>
  <c r="P244"/>
  <c r="P243"/>
  <c r="P242"/>
  <c r="P241"/>
  <c r="P240"/>
  <c r="P239"/>
  <c r="P238"/>
  <c r="P237"/>
  <c r="P235"/>
  <c r="P234"/>
  <c r="P233"/>
  <c r="P232"/>
  <c r="P231"/>
  <c r="P230"/>
  <c r="P229"/>
  <c r="P228"/>
  <c r="P227"/>
  <c r="P225"/>
  <c r="P224"/>
  <c r="P223"/>
  <c r="P222"/>
  <c r="P221"/>
  <c r="P220"/>
  <c r="P219"/>
  <c r="P218"/>
  <c r="P217"/>
  <c r="P216"/>
  <c r="P215"/>
  <c r="P214"/>
  <c r="P213"/>
  <c r="P211"/>
  <c r="P210"/>
  <c r="P209"/>
  <c r="P208"/>
  <c r="P207"/>
  <c r="P206"/>
  <c r="P205"/>
  <c r="P204"/>
  <c r="P203"/>
  <c r="P202"/>
  <c r="P201"/>
  <c r="P200"/>
  <c r="P198"/>
  <c r="P197"/>
  <c r="P196"/>
  <c r="P195"/>
  <c r="P194"/>
  <c r="P193"/>
  <c r="P192"/>
  <c r="P191"/>
  <c r="P190"/>
  <c r="P189"/>
  <c r="P188"/>
  <c r="P187"/>
  <c r="P186"/>
  <c r="P184"/>
  <c r="P183"/>
  <c r="P182"/>
  <c r="P181"/>
  <c r="P180"/>
  <c r="P179"/>
  <c r="P178"/>
  <c r="P177"/>
  <c r="P176"/>
  <c r="P175"/>
  <c r="P174"/>
  <c r="P172"/>
  <c r="P171"/>
  <c r="P170"/>
  <c r="P169"/>
  <c r="P168"/>
  <c r="P167"/>
  <c r="P166"/>
  <c r="P165"/>
  <c r="P164"/>
  <c r="P163"/>
  <c r="P162"/>
  <c r="P161"/>
  <c r="P160"/>
  <c r="P158"/>
  <c r="P157"/>
  <c r="P156"/>
  <c r="P155"/>
  <c r="P154"/>
  <c r="P153"/>
  <c r="P152"/>
  <c r="P151"/>
  <c r="P150"/>
  <c r="P149"/>
  <c r="P148"/>
  <c r="P147"/>
  <c r="P145"/>
  <c r="P144"/>
  <c r="P143"/>
  <c r="P142"/>
  <c r="P141"/>
  <c r="P140"/>
  <c r="P138"/>
  <c r="P137"/>
  <c r="P136"/>
  <c r="P135"/>
  <c r="P134"/>
  <c r="P133"/>
  <c r="P132"/>
  <c r="P131"/>
  <c r="P130"/>
  <c r="P128"/>
  <c r="P127"/>
  <c r="P126"/>
  <c r="P125"/>
  <c r="P124"/>
  <c r="P123"/>
  <c r="P122"/>
  <c r="P120"/>
  <c r="P119"/>
  <c r="P118"/>
  <c r="P117"/>
  <c r="P116"/>
  <c r="P115"/>
  <c r="P114"/>
  <c r="P113"/>
  <c r="P112"/>
  <c r="P111"/>
  <c r="P110"/>
  <c r="P109"/>
  <c r="P108"/>
  <c r="P107"/>
  <c r="P106"/>
  <c r="P104"/>
  <c r="P103"/>
  <c r="P102"/>
  <c r="P101"/>
  <c r="P100"/>
  <c r="P99"/>
  <c r="P98"/>
  <c r="P97"/>
  <c r="P96"/>
  <c r="P95"/>
  <c r="P94"/>
  <c r="P93"/>
  <c r="P92"/>
  <c r="P90"/>
  <c r="P89"/>
  <c r="P88"/>
  <c r="P87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9"/>
  <c r="P58"/>
  <c r="P57"/>
  <c r="P56"/>
  <c r="P55"/>
  <c r="P54"/>
  <c r="P53"/>
  <c r="P51"/>
  <c r="P50"/>
  <c r="P49"/>
  <c r="P48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8"/>
  <c r="L7"/>
  <c r="D376"/>
  <c r="D375"/>
  <c r="D374"/>
  <c r="D373"/>
  <c r="D372"/>
  <c r="D371"/>
  <c r="D370"/>
  <c r="D369"/>
  <c r="D368"/>
  <c r="D367"/>
  <c r="D366"/>
  <c r="D365"/>
  <c r="D363"/>
  <c r="D362"/>
  <c r="D361"/>
  <c r="D360"/>
  <c r="D359"/>
  <c r="D358"/>
  <c r="D357"/>
  <c r="D356"/>
  <c r="D355"/>
  <c r="D354"/>
  <c r="D353"/>
  <c r="D351"/>
  <c r="D350"/>
  <c r="D349"/>
  <c r="D348"/>
  <c r="D347"/>
  <c r="D346"/>
  <c r="D345"/>
  <c r="D344"/>
  <c r="D343"/>
  <c r="D342"/>
  <c r="D341"/>
  <c r="D339"/>
  <c r="D338"/>
  <c r="D337"/>
  <c r="D336"/>
  <c r="D335"/>
  <c r="D334"/>
  <c r="D333"/>
  <c r="D332"/>
  <c r="D331"/>
  <c r="D330"/>
  <c r="D329"/>
  <c r="D327"/>
  <c r="D326"/>
  <c r="D325"/>
  <c r="D324"/>
  <c r="D323"/>
  <c r="D322"/>
  <c r="D321"/>
  <c r="D320"/>
  <c r="D319"/>
  <c r="D318"/>
  <c r="D317"/>
  <c r="D316"/>
  <c r="D315"/>
  <c r="D314"/>
  <c r="D313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8"/>
  <c r="D267"/>
  <c r="D266"/>
  <c r="D265"/>
  <c r="D264"/>
  <c r="D263"/>
  <c r="D262"/>
  <c r="D260"/>
  <c r="D259"/>
  <c r="D258"/>
  <c r="D257"/>
  <c r="D256"/>
  <c r="D255"/>
  <c r="D254"/>
  <c r="D253"/>
  <c r="D252"/>
  <c r="D251"/>
  <c r="D250"/>
  <c r="D249"/>
  <c r="D248"/>
  <c r="D247"/>
  <c r="D246"/>
  <c r="D244"/>
  <c r="D243"/>
  <c r="D242"/>
  <c r="D241"/>
  <c r="D240"/>
  <c r="D239"/>
  <c r="D238"/>
  <c r="D237"/>
  <c r="D235"/>
  <c r="D234"/>
  <c r="D233"/>
  <c r="D232"/>
  <c r="D231"/>
  <c r="D230"/>
  <c r="D229"/>
  <c r="D228"/>
  <c r="D227"/>
  <c r="D225"/>
  <c r="D224"/>
  <c r="D223"/>
  <c r="D222"/>
  <c r="D221"/>
  <c r="D220"/>
  <c r="D219"/>
  <c r="D218"/>
  <c r="D217"/>
  <c r="D216"/>
  <c r="D215"/>
  <c r="D214"/>
  <c r="D213"/>
  <c r="D211"/>
  <c r="D210"/>
  <c r="D209"/>
  <c r="D208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4"/>
  <c r="D183"/>
  <c r="D182"/>
  <c r="D181"/>
  <c r="D180"/>
  <c r="D179"/>
  <c r="D178"/>
  <c r="D177"/>
  <c r="D176"/>
  <c r="D175"/>
  <c r="D174"/>
  <c r="D172"/>
  <c r="D171"/>
  <c r="D170"/>
  <c r="D169"/>
  <c r="D168"/>
  <c r="D167"/>
  <c r="D166"/>
  <c r="D165"/>
  <c r="D164"/>
  <c r="D163"/>
  <c r="D162"/>
  <c r="D161"/>
  <c r="D160"/>
  <c r="D158"/>
  <c r="D157"/>
  <c r="D156"/>
  <c r="D155"/>
  <c r="D154"/>
  <c r="D153"/>
  <c r="D152"/>
  <c r="D151"/>
  <c r="D150"/>
  <c r="D149"/>
  <c r="D148"/>
  <c r="D147"/>
  <c r="D145"/>
  <c r="D144"/>
  <c r="D143"/>
  <c r="D142"/>
  <c r="D141"/>
  <c r="D140"/>
  <c r="D138"/>
  <c r="D137"/>
  <c r="D136"/>
  <c r="D135"/>
  <c r="D134"/>
  <c r="D133"/>
  <c r="D132"/>
  <c r="D131"/>
  <c r="D130"/>
  <c r="D128"/>
  <c r="D127"/>
  <c r="D126"/>
  <c r="D125"/>
  <c r="D124"/>
  <c r="D123"/>
  <c r="D122"/>
  <c r="D120"/>
  <c r="D119"/>
  <c r="D118"/>
  <c r="D117"/>
  <c r="D116"/>
  <c r="D115"/>
  <c r="D114"/>
  <c r="D113"/>
  <c r="D112"/>
  <c r="D111"/>
  <c r="D110"/>
  <c r="D109"/>
  <c r="D108"/>
  <c r="D107"/>
  <c r="D106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0"/>
  <c r="D79"/>
  <c r="D78"/>
  <c r="D77"/>
  <c r="D76"/>
  <c r="D75"/>
  <c r="D74"/>
  <c r="D73"/>
  <c r="D71"/>
  <c r="D70"/>
  <c r="D69"/>
  <c r="D68"/>
  <c r="D67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D13"/>
  <c r="D12"/>
  <c r="D11"/>
  <c r="D10"/>
  <c r="D9"/>
  <c r="D8"/>
  <c r="B17" l="1"/>
  <c r="C6"/>
  <c r="B6"/>
  <c r="AE45" l="1"/>
  <c r="AE17"/>
  <c r="AE6"/>
  <c r="AE377" l="1"/>
  <c r="AA45"/>
  <c r="AA17"/>
  <c r="AA6"/>
  <c r="R19" i="8"/>
  <c r="W45" i="7"/>
  <c r="X45" s="1"/>
  <c r="V45"/>
  <c r="W17"/>
  <c r="V17"/>
  <c r="S45"/>
  <c r="T45" s="1"/>
  <c r="R45"/>
  <c r="S17"/>
  <c r="R17"/>
  <c r="L8" i="8"/>
  <c r="O45" i="7"/>
  <c r="P45" s="1"/>
  <c r="N45"/>
  <c r="O17"/>
  <c r="N17"/>
  <c r="O6"/>
  <c r="N6"/>
  <c r="C45"/>
  <c r="D45" s="1"/>
  <c r="B45"/>
  <c r="C17"/>
  <c r="AF17" l="1"/>
  <c r="AF45"/>
  <c r="AB6"/>
  <c r="B377"/>
  <c r="AA377"/>
  <c r="AB45" l="1"/>
  <c r="AB17"/>
  <c r="AF6" l="1"/>
  <c r="AF377"/>
  <c r="AB377"/>
  <c r="I7" i="8" l="1"/>
  <c r="J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77" i="7"/>
  <c r="R377"/>
  <c r="V377" l="1"/>
  <c r="S377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N377" i="7" l="1"/>
  <c r="O377"/>
  <c r="M7" i="8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C18"/>
  <c r="D18" s="1"/>
  <c r="C34"/>
  <c r="D34" s="1"/>
  <c r="U34" s="1"/>
  <c r="C11"/>
  <c r="D11" s="1"/>
  <c r="U11" s="1"/>
  <c r="C20"/>
  <c r="D20" s="1"/>
  <c r="U20" s="1"/>
  <c r="C28"/>
  <c r="D28" s="1"/>
  <c r="U28" s="1"/>
  <c r="C36"/>
  <c r="D36" s="1"/>
  <c r="U36" s="1"/>
  <c r="C44"/>
  <c r="D44" s="1"/>
  <c r="U44" s="1"/>
  <c r="C50"/>
  <c r="D50" s="1"/>
  <c r="U50" s="1"/>
  <c r="C59"/>
  <c r="D59" s="1"/>
  <c r="U59" s="1"/>
  <c r="C63"/>
  <c r="D63" s="1"/>
  <c r="U63" s="1"/>
  <c r="C73"/>
  <c r="D73" s="1"/>
  <c r="U73" s="1"/>
  <c r="C82"/>
  <c r="D82" s="1"/>
  <c r="U82" s="1"/>
  <c r="C90"/>
  <c r="D90" s="1"/>
  <c r="U90" s="1"/>
  <c r="C99"/>
  <c r="D99" s="1"/>
  <c r="U99" s="1"/>
  <c r="C108"/>
  <c r="D108" s="1"/>
  <c r="U108" s="1"/>
  <c r="C116"/>
  <c r="D116" s="1"/>
  <c r="U116" s="1"/>
  <c r="C120"/>
  <c r="D120" s="1"/>
  <c r="U120" s="1"/>
  <c r="C130"/>
  <c r="D130" s="1"/>
  <c r="U130" s="1"/>
  <c r="C138"/>
  <c r="D138" s="1"/>
  <c r="U138" s="1"/>
  <c r="C148"/>
  <c r="D148" s="1"/>
  <c r="U148" s="1"/>
  <c r="C156"/>
  <c r="D156" s="1"/>
  <c r="U156" s="1"/>
  <c r="C169"/>
  <c r="D169" s="1"/>
  <c r="U169" s="1"/>
  <c r="C191"/>
  <c r="D191" s="1"/>
  <c r="U191" s="1"/>
  <c r="C8"/>
  <c r="D8" s="1"/>
  <c r="C12"/>
  <c r="D12" s="1"/>
  <c r="U12" s="1"/>
  <c r="C16"/>
  <c r="D16" s="1"/>
  <c r="U16" s="1"/>
  <c r="C21"/>
  <c r="D21" s="1"/>
  <c r="U21" s="1"/>
  <c r="C25"/>
  <c r="D25" s="1"/>
  <c r="U25" s="1"/>
  <c r="C29"/>
  <c r="D29" s="1"/>
  <c r="U29" s="1"/>
  <c r="C33"/>
  <c r="D33" s="1"/>
  <c r="U33" s="1"/>
  <c r="C37"/>
  <c r="D37" s="1"/>
  <c r="U37" s="1"/>
  <c r="C41"/>
  <c r="D41" s="1"/>
  <c r="U41" s="1"/>
  <c r="C47"/>
  <c r="D47" s="1"/>
  <c r="C51"/>
  <c r="D51" s="1"/>
  <c r="U51" s="1"/>
  <c r="C56"/>
  <c r="D56" s="1"/>
  <c r="U56" s="1"/>
  <c r="C60"/>
  <c r="D60" s="1"/>
  <c r="U60" s="1"/>
  <c r="C64"/>
  <c r="D64" s="1"/>
  <c r="U64" s="1"/>
  <c r="C69"/>
  <c r="D69" s="1"/>
  <c r="U69" s="1"/>
  <c r="C74"/>
  <c r="D74" s="1"/>
  <c r="U74" s="1"/>
  <c r="C78"/>
  <c r="D78" s="1"/>
  <c r="U78" s="1"/>
  <c r="C83"/>
  <c r="D83" s="1"/>
  <c r="U83" s="1"/>
  <c r="C87"/>
  <c r="D87" s="1"/>
  <c r="U87" s="1"/>
  <c r="C92"/>
  <c r="D92" s="1"/>
  <c r="U92" s="1"/>
  <c r="C96"/>
  <c r="D96" s="1"/>
  <c r="U96" s="1"/>
  <c r="C100"/>
  <c r="D100" s="1"/>
  <c r="U100" s="1"/>
  <c r="C104"/>
  <c r="D104" s="1"/>
  <c r="U104" s="1"/>
  <c r="C109"/>
  <c r="D109" s="1"/>
  <c r="U109" s="1"/>
  <c r="C113"/>
  <c r="D113" s="1"/>
  <c r="U113" s="1"/>
  <c r="C117"/>
  <c r="D117" s="1"/>
  <c r="U117" s="1"/>
  <c r="C122"/>
  <c r="D122" s="1"/>
  <c r="U122" s="1"/>
  <c r="C126"/>
  <c r="D126" s="1"/>
  <c r="U126" s="1"/>
  <c r="C131"/>
  <c r="D131" s="1"/>
  <c r="U131" s="1"/>
  <c r="C135"/>
  <c r="D135" s="1"/>
  <c r="U135" s="1"/>
  <c r="C140"/>
  <c r="D140" s="1"/>
  <c r="U140" s="1"/>
  <c r="C144"/>
  <c r="D144" s="1"/>
  <c r="U144" s="1"/>
  <c r="C149"/>
  <c r="D149" s="1"/>
  <c r="U149" s="1"/>
  <c r="C153"/>
  <c r="D153" s="1"/>
  <c r="U153" s="1"/>
  <c r="C157"/>
  <c r="D157" s="1"/>
  <c r="U157" s="1"/>
  <c r="C162"/>
  <c r="D162" s="1"/>
  <c r="U162" s="1"/>
  <c r="C166"/>
  <c r="D166" s="1"/>
  <c r="U166" s="1"/>
  <c r="C170"/>
  <c r="D170" s="1"/>
  <c r="U170" s="1"/>
  <c r="C175"/>
  <c r="D175" s="1"/>
  <c r="U175" s="1"/>
  <c r="C179"/>
  <c r="D179" s="1"/>
  <c r="U179" s="1"/>
  <c r="C183"/>
  <c r="D183" s="1"/>
  <c r="U183" s="1"/>
  <c r="C188"/>
  <c r="D188" s="1"/>
  <c r="U188" s="1"/>
  <c r="C192"/>
  <c r="D192" s="1"/>
  <c r="U192" s="1"/>
  <c r="C196"/>
  <c r="D196" s="1"/>
  <c r="U196" s="1"/>
  <c r="C201"/>
  <c r="D201" s="1"/>
  <c r="U201" s="1"/>
  <c r="C205"/>
  <c r="D205" s="1"/>
  <c r="U205" s="1"/>
  <c r="C209"/>
  <c r="D209" s="1"/>
  <c r="U209" s="1"/>
  <c r="C214"/>
  <c r="D214" s="1"/>
  <c r="U214" s="1"/>
  <c r="C218"/>
  <c r="D218" s="1"/>
  <c r="U218" s="1"/>
  <c r="C222"/>
  <c r="D222" s="1"/>
  <c r="U222" s="1"/>
  <c r="C227"/>
  <c r="D227" s="1"/>
  <c r="U227" s="1"/>
  <c r="C231"/>
  <c r="D231" s="1"/>
  <c r="U231" s="1"/>
  <c r="C235"/>
  <c r="D235" s="1"/>
  <c r="U235" s="1"/>
  <c r="C240"/>
  <c r="D240" s="1"/>
  <c r="U240" s="1"/>
  <c r="C244"/>
  <c r="D244" s="1"/>
  <c r="U244" s="1"/>
  <c r="C249"/>
  <c r="D249" s="1"/>
  <c r="U249" s="1"/>
  <c r="C253"/>
  <c r="D253" s="1"/>
  <c r="U253" s="1"/>
  <c r="C257"/>
  <c r="D257" s="1"/>
  <c r="U257" s="1"/>
  <c r="C262"/>
  <c r="D262" s="1"/>
  <c r="U262" s="1"/>
  <c r="C266"/>
  <c r="D266" s="1"/>
  <c r="U266" s="1"/>
  <c r="C271"/>
  <c r="D271" s="1"/>
  <c r="U271" s="1"/>
  <c r="C275"/>
  <c r="D275" s="1"/>
  <c r="U275" s="1"/>
  <c r="C279"/>
  <c r="D279" s="1"/>
  <c r="U279" s="1"/>
  <c r="C283"/>
  <c r="D283" s="1"/>
  <c r="U283" s="1"/>
  <c r="C288"/>
  <c r="D288" s="1"/>
  <c r="U288" s="1"/>
  <c r="C292"/>
  <c r="D292" s="1"/>
  <c r="U292" s="1"/>
  <c r="C296"/>
  <c r="D296" s="1"/>
  <c r="U296" s="1"/>
  <c r="C300"/>
  <c r="D300" s="1"/>
  <c r="U300" s="1"/>
  <c r="C304"/>
  <c r="D304" s="1"/>
  <c r="U304" s="1"/>
  <c r="C308"/>
  <c r="D308" s="1"/>
  <c r="U308" s="1"/>
  <c r="C313"/>
  <c r="D313" s="1"/>
  <c r="U313" s="1"/>
  <c r="C317"/>
  <c r="D317" s="1"/>
  <c r="U317" s="1"/>
  <c r="C321"/>
  <c r="D321" s="1"/>
  <c r="U321" s="1"/>
  <c r="C325"/>
  <c r="D325" s="1"/>
  <c r="U325" s="1"/>
  <c r="C330"/>
  <c r="D330" s="1"/>
  <c r="U330" s="1"/>
  <c r="C334"/>
  <c r="D334" s="1"/>
  <c r="U334" s="1"/>
  <c r="C338"/>
  <c r="D338" s="1"/>
  <c r="U338" s="1"/>
  <c r="C343"/>
  <c r="D343" s="1"/>
  <c r="U343" s="1"/>
  <c r="C347"/>
  <c r="D347" s="1"/>
  <c r="U347" s="1"/>
  <c r="C351"/>
  <c r="D351" s="1"/>
  <c r="U351" s="1"/>
  <c r="C356"/>
  <c r="D356" s="1"/>
  <c r="U356" s="1"/>
  <c r="C360"/>
  <c r="D360" s="1"/>
  <c r="U360" s="1"/>
  <c r="C365"/>
  <c r="D365" s="1"/>
  <c r="C369"/>
  <c r="D369" s="1"/>
  <c r="U369" s="1"/>
  <c r="C373"/>
  <c r="D373" s="1"/>
  <c r="U373" s="1"/>
  <c r="C9"/>
  <c r="D9" s="1"/>
  <c r="U9" s="1"/>
  <c r="C26"/>
  <c r="D26" s="1"/>
  <c r="U26" s="1"/>
  <c r="C42"/>
  <c r="D42" s="1"/>
  <c r="U42" s="1"/>
  <c r="C53"/>
  <c r="D53" s="1"/>
  <c r="U53" s="1"/>
  <c r="C61"/>
  <c r="D61" s="1"/>
  <c r="U61" s="1"/>
  <c r="C75"/>
  <c r="D75" s="1"/>
  <c r="U75" s="1"/>
  <c r="C84"/>
  <c r="D84" s="1"/>
  <c r="U84" s="1"/>
  <c r="C93"/>
  <c r="D93" s="1"/>
  <c r="U93" s="1"/>
  <c r="C101"/>
  <c r="D101" s="1"/>
  <c r="U101" s="1"/>
  <c r="C114"/>
  <c r="D114" s="1"/>
  <c r="U114" s="1"/>
  <c r="C123"/>
  <c r="D123" s="1"/>
  <c r="U123" s="1"/>
  <c r="C127"/>
  <c r="D127" s="1"/>
  <c r="U127" s="1"/>
  <c r="C136"/>
  <c r="D136" s="1"/>
  <c r="U136" s="1"/>
  <c r="C141"/>
  <c r="D141" s="1"/>
  <c r="U141" s="1"/>
  <c r="C145"/>
  <c r="D145" s="1"/>
  <c r="U145" s="1"/>
  <c r="C150"/>
  <c r="D150" s="1"/>
  <c r="U150" s="1"/>
  <c r="C154"/>
  <c r="D154" s="1"/>
  <c r="U154" s="1"/>
  <c r="C158"/>
  <c r="D158" s="1"/>
  <c r="U158" s="1"/>
  <c r="C163"/>
  <c r="D163" s="1"/>
  <c r="U163" s="1"/>
  <c r="C167"/>
  <c r="D167" s="1"/>
  <c r="U167" s="1"/>
  <c r="C171"/>
  <c r="D171" s="1"/>
  <c r="U171" s="1"/>
  <c r="C176"/>
  <c r="D176" s="1"/>
  <c r="U176" s="1"/>
  <c r="C180"/>
  <c r="D180" s="1"/>
  <c r="U180" s="1"/>
  <c r="C184"/>
  <c r="D184" s="1"/>
  <c r="U184" s="1"/>
  <c r="C189"/>
  <c r="D189" s="1"/>
  <c r="U189" s="1"/>
  <c r="C193"/>
  <c r="D193" s="1"/>
  <c r="U193" s="1"/>
  <c r="C197"/>
  <c r="D197" s="1"/>
  <c r="U197" s="1"/>
  <c r="C202"/>
  <c r="D202" s="1"/>
  <c r="U202" s="1"/>
  <c r="C206"/>
  <c r="D206" s="1"/>
  <c r="U206" s="1"/>
  <c r="C210"/>
  <c r="D210" s="1"/>
  <c r="U210" s="1"/>
  <c r="C215"/>
  <c r="D215" s="1"/>
  <c r="U215" s="1"/>
  <c r="C219"/>
  <c r="D219" s="1"/>
  <c r="U219" s="1"/>
  <c r="C223"/>
  <c r="D223" s="1"/>
  <c r="U223" s="1"/>
  <c r="C228"/>
  <c r="D228" s="1"/>
  <c r="U228" s="1"/>
  <c r="C232"/>
  <c r="D232" s="1"/>
  <c r="U232" s="1"/>
  <c r="C237"/>
  <c r="D237" s="1"/>
  <c r="U237" s="1"/>
  <c r="C241"/>
  <c r="D241" s="1"/>
  <c r="U241" s="1"/>
  <c r="C246"/>
  <c r="D246" s="1"/>
  <c r="U246" s="1"/>
  <c r="C250"/>
  <c r="D250" s="1"/>
  <c r="U250" s="1"/>
  <c r="C254"/>
  <c r="D254" s="1"/>
  <c r="U254" s="1"/>
  <c r="C258"/>
  <c r="D258" s="1"/>
  <c r="U258" s="1"/>
  <c r="C263"/>
  <c r="D263" s="1"/>
  <c r="U263" s="1"/>
  <c r="C267"/>
  <c r="D267" s="1"/>
  <c r="U267" s="1"/>
  <c r="C272"/>
  <c r="D272" s="1"/>
  <c r="U272" s="1"/>
  <c r="C276"/>
  <c r="D276" s="1"/>
  <c r="U276" s="1"/>
  <c r="C280"/>
  <c r="D280" s="1"/>
  <c r="U280" s="1"/>
  <c r="C284"/>
  <c r="D284" s="1"/>
  <c r="U284" s="1"/>
  <c r="C289"/>
  <c r="D289" s="1"/>
  <c r="U289" s="1"/>
  <c r="C293"/>
  <c r="D293" s="1"/>
  <c r="U293" s="1"/>
  <c r="C297"/>
  <c r="D297" s="1"/>
  <c r="U297" s="1"/>
  <c r="C301"/>
  <c r="D301" s="1"/>
  <c r="U301" s="1"/>
  <c r="C305"/>
  <c r="D305" s="1"/>
  <c r="U305" s="1"/>
  <c r="C309"/>
  <c r="D309" s="1"/>
  <c r="U309" s="1"/>
  <c r="C314"/>
  <c r="D314" s="1"/>
  <c r="U314" s="1"/>
  <c r="C318"/>
  <c r="D318" s="1"/>
  <c r="U318" s="1"/>
  <c r="C322"/>
  <c r="D322" s="1"/>
  <c r="U322" s="1"/>
  <c r="C326"/>
  <c r="D326" s="1"/>
  <c r="U326" s="1"/>
  <c r="C331"/>
  <c r="D331" s="1"/>
  <c r="U331" s="1"/>
  <c r="C335"/>
  <c r="D335" s="1"/>
  <c r="U335" s="1"/>
  <c r="C339"/>
  <c r="D339" s="1"/>
  <c r="U339" s="1"/>
  <c r="C344"/>
  <c r="D344" s="1"/>
  <c r="U344" s="1"/>
  <c r="C348"/>
  <c r="D348" s="1"/>
  <c r="U348" s="1"/>
  <c r="C353"/>
  <c r="D353" s="1"/>
  <c r="U353" s="1"/>
  <c r="C357"/>
  <c r="D357" s="1"/>
  <c r="U357" s="1"/>
  <c r="C361"/>
  <c r="D361" s="1"/>
  <c r="U361" s="1"/>
  <c r="C366"/>
  <c r="D366" s="1"/>
  <c r="U366" s="1"/>
  <c r="C370"/>
  <c r="D370" s="1"/>
  <c r="U370" s="1"/>
  <c r="C374"/>
  <c r="D374" s="1"/>
  <c r="U374" s="1"/>
  <c r="C22"/>
  <c r="D22" s="1"/>
  <c r="U22" s="1"/>
  <c r="C38"/>
  <c r="D38" s="1"/>
  <c r="U38" s="1"/>
  <c r="C48"/>
  <c r="D48" s="1"/>
  <c r="U48" s="1"/>
  <c r="C57"/>
  <c r="D57" s="1"/>
  <c r="U57" s="1"/>
  <c r="C65"/>
  <c r="D65" s="1"/>
  <c r="U65" s="1"/>
  <c r="C70"/>
  <c r="D70" s="1"/>
  <c r="U70" s="1"/>
  <c r="C79"/>
  <c r="D79" s="1"/>
  <c r="U79" s="1"/>
  <c r="C88"/>
  <c r="D88" s="1"/>
  <c r="U88" s="1"/>
  <c r="C97"/>
  <c r="D97" s="1"/>
  <c r="U97" s="1"/>
  <c r="C106"/>
  <c r="D106" s="1"/>
  <c r="U106" s="1"/>
  <c r="C110"/>
  <c r="D110" s="1"/>
  <c r="U110" s="1"/>
  <c r="C118"/>
  <c r="D118" s="1"/>
  <c r="U118" s="1"/>
  <c r="C132"/>
  <c r="D132" s="1"/>
  <c r="U132" s="1"/>
  <c r="C10"/>
  <c r="D10" s="1"/>
  <c r="U10" s="1"/>
  <c r="C14"/>
  <c r="D14" s="1"/>
  <c r="U14" s="1"/>
  <c r="C19"/>
  <c r="D19" s="1"/>
  <c r="U19" s="1"/>
  <c r="C23"/>
  <c r="D23" s="1"/>
  <c r="U23" s="1"/>
  <c r="C27"/>
  <c r="D27" s="1"/>
  <c r="U27" s="1"/>
  <c r="C31"/>
  <c r="D31" s="1"/>
  <c r="U31" s="1"/>
  <c r="C35"/>
  <c r="D35" s="1"/>
  <c r="U35" s="1"/>
  <c r="C39"/>
  <c r="D39" s="1"/>
  <c r="U39" s="1"/>
  <c r="C43"/>
  <c r="D43" s="1"/>
  <c r="U43" s="1"/>
  <c r="C49"/>
  <c r="D49" s="1"/>
  <c r="U49" s="1"/>
  <c r="C54"/>
  <c r="D54" s="1"/>
  <c r="U54" s="1"/>
  <c r="C58"/>
  <c r="D58" s="1"/>
  <c r="U58" s="1"/>
  <c r="C62"/>
  <c r="D62" s="1"/>
  <c r="U62" s="1"/>
  <c r="C67"/>
  <c r="D67" s="1"/>
  <c r="U67" s="1"/>
  <c r="C71"/>
  <c r="D71" s="1"/>
  <c r="U71" s="1"/>
  <c r="C76"/>
  <c r="D76" s="1"/>
  <c r="U76" s="1"/>
  <c r="C80"/>
  <c r="D80" s="1"/>
  <c r="U80" s="1"/>
  <c r="C85"/>
  <c r="D85" s="1"/>
  <c r="U85" s="1"/>
  <c r="C89"/>
  <c r="D89" s="1"/>
  <c r="U89" s="1"/>
  <c r="C94"/>
  <c r="D94" s="1"/>
  <c r="U94" s="1"/>
  <c r="C98"/>
  <c r="D98" s="1"/>
  <c r="U98" s="1"/>
  <c r="C102"/>
  <c r="D102" s="1"/>
  <c r="U102" s="1"/>
  <c r="C107"/>
  <c r="D107" s="1"/>
  <c r="U107" s="1"/>
  <c r="C111"/>
  <c r="D111" s="1"/>
  <c r="U111" s="1"/>
  <c r="C115"/>
  <c r="D115" s="1"/>
  <c r="U115" s="1"/>
  <c r="C119"/>
  <c r="D119" s="1"/>
  <c r="U119" s="1"/>
  <c r="C124"/>
  <c r="D124" s="1"/>
  <c r="U124" s="1"/>
  <c r="C128"/>
  <c r="D128" s="1"/>
  <c r="U128" s="1"/>
  <c r="C133"/>
  <c r="D133" s="1"/>
  <c r="U133" s="1"/>
  <c r="C137"/>
  <c r="D137" s="1"/>
  <c r="U137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2"/>
  <c r="D172" s="1"/>
  <c r="U172" s="1"/>
  <c r="C177"/>
  <c r="D177" s="1"/>
  <c r="U177" s="1"/>
  <c r="C181"/>
  <c r="D181" s="1"/>
  <c r="U181" s="1"/>
  <c r="C186"/>
  <c r="D186" s="1"/>
  <c r="U186" s="1"/>
  <c r="C190"/>
  <c r="D190" s="1"/>
  <c r="U190" s="1"/>
  <c r="C194"/>
  <c r="D194" s="1"/>
  <c r="U194" s="1"/>
  <c r="C198"/>
  <c r="D198" s="1"/>
  <c r="U198" s="1"/>
  <c r="C203"/>
  <c r="D203" s="1"/>
  <c r="U203" s="1"/>
  <c r="C207"/>
  <c r="D207" s="1"/>
  <c r="U207" s="1"/>
  <c r="C211"/>
  <c r="D211" s="1"/>
  <c r="U211" s="1"/>
  <c r="C216"/>
  <c r="D216" s="1"/>
  <c r="U216" s="1"/>
  <c r="C220"/>
  <c r="D220" s="1"/>
  <c r="U220" s="1"/>
  <c r="C224"/>
  <c r="D224" s="1"/>
  <c r="U224" s="1"/>
  <c r="C229"/>
  <c r="D229" s="1"/>
  <c r="U229" s="1"/>
  <c r="C233"/>
  <c r="D233" s="1"/>
  <c r="U233" s="1"/>
  <c r="C238"/>
  <c r="D238" s="1"/>
  <c r="U238" s="1"/>
  <c r="C242"/>
  <c r="D242" s="1"/>
  <c r="U242" s="1"/>
  <c r="C247"/>
  <c r="D247" s="1"/>
  <c r="U247" s="1"/>
  <c r="C251"/>
  <c r="D251" s="1"/>
  <c r="U251" s="1"/>
  <c r="C255"/>
  <c r="D255" s="1"/>
  <c r="U255" s="1"/>
  <c r="C259"/>
  <c r="D259" s="1"/>
  <c r="U259" s="1"/>
  <c r="C264"/>
  <c r="D264" s="1"/>
  <c r="U264" s="1"/>
  <c r="C268"/>
  <c r="D268" s="1"/>
  <c r="U268" s="1"/>
  <c r="C273"/>
  <c r="D273" s="1"/>
  <c r="U273" s="1"/>
  <c r="C277"/>
  <c r="D277" s="1"/>
  <c r="U277" s="1"/>
  <c r="C281"/>
  <c r="D281" s="1"/>
  <c r="U281" s="1"/>
  <c r="C285"/>
  <c r="D285" s="1"/>
  <c r="U285" s="1"/>
  <c r="C290"/>
  <c r="D290" s="1"/>
  <c r="U290" s="1"/>
  <c r="C294"/>
  <c r="D294" s="1"/>
  <c r="U294" s="1"/>
  <c r="C298"/>
  <c r="D298" s="1"/>
  <c r="U298" s="1"/>
  <c r="C302"/>
  <c r="D302" s="1"/>
  <c r="U302" s="1"/>
  <c r="C306"/>
  <c r="D306" s="1"/>
  <c r="U306" s="1"/>
  <c r="C310"/>
  <c r="D310" s="1"/>
  <c r="U310" s="1"/>
  <c r="C315"/>
  <c r="D315" s="1"/>
  <c r="U315" s="1"/>
  <c r="C319"/>
  <c r="D319" s="1"/>
  <c r="U319" s="1"/>
  <c r="C323"/>
  <c r="D323" s="1"/>
  <c r="U323" s="1"/>
  <c r="C327"/>
  <c r="D327" s="1"/>
  <c r="U327" s="1"/>
  <c r="C332"/>
  <c r="D332" s="1"/>
  <c r="U332" s="1"/>
  <c r="C336"/>
  <c r="D336" s="1"/>
  <c r="U336" s="1"/>
  <c r="C341"/>
  <c r="D341" s="1"/>
  <c r="U341" s="1"/>
  <c r="C345"/>
  <c r="D345" s="1"/>
  <c r="U345" s="1"/>
  <c r="C349"/>
  <c r="D349" s="1"/>
  <c r="U349" s="1"/>
  <c r="C354"/>
  <c r="D354" s="1"/>
  <c r="U354" s="1"/>
  <c r="C358"/>
  <c r="D358" s="1"/>
  <c r="U358" s="1"/>
  <c r="C362"/>
  <c r="D362" s="1"/>
  <c r="C367"/>
  <c r="D367" s="1"/>
  <c r="U367" s="1"/>
  <c r="C371"/>
  <c r="D371" s="1"/>
  <c r="U371" s="1"/>
  <c r="C375"/>
  <c r="D375" s="1"/>
  <c r="U375" s="1"/>
  <c r="C13"/>
  <c r="D13" s="1"/>
  <c r="U13" s="1"/>
  <c r="C30"/>
  <c r="D30" s="1"/>
  <c r="U30" s="1"/>
  <c r="C7"/>
  <c r="D7" s="1"/>
  <c r="C15"/>
  <c r="D15" s="1"/>
  <c r="U15" s="1"/>
  <c r="C24"/>
  <c r="D24" s="1"/>
  <c r="U24" s="1"/>
  <c r="C32"/>
  <c r="D32" s="1"/>
  <c r="U32" s="1"/>
  <c r="C40"/>
  <c r="D40" s="1"/>
  <c r="U40" s="1"/>
  <c r="C55"/>
  <c r="D55" s="1"/>
  <c r="U55" s="1"/>
  <c r="C68"/>
  <c r="D68" s="1"/>
  <c r="U68" s="1"/>
  <c r="C77"/>
  <c r="D77" s="1"/>
  <c r="U77" s="1"/>
  <c r="C86"/>
  <c r="D86" s="1"/>
  <c r="U86" s="1"/>
  <c r="C95"/>
  <c r="D95" s="1"/>
  <c r="U95" s="1"/>
  <c r="C103"/>
  <c r="D103" s="1"/>
  <c r="U103" s="1"/>
  <c r="C112"/>
  <c r="D112" s="1"/>
  <c r="U112" s="1"/>
  <c r="C125"/>
  <c r="D125" s="1"/>
  <c r="U125" s="1"/>
  <c r="C134"/>
  <c r="D134" s="1"/>
  <c r="U134" s="1"/>
  <c r="C143"/>
  <c r="D143" s="1"/>
  <c r="U143" s="1"/>
  <c r="C152"/>
  <c r="D152" s="1"/>
  <c r="U152" s="1"/>
  <c r="C161"/>
  <c r="D161" s="1"/>
  <c r="U161" s="1"/>
  <c r="C165"/>
  <c r="D165" s="1"/>
  <c r="U165" s="1"/>
  <c r="C174"/>
  <c r="D174" s="1"/>
  <c r="U174" s="1"/>
  <c r="C178"/>
  <c r="D178" s="1"/>
  <c r="U178" s="1"/>
  <c r="C182"/>
  <c r="D182" s="1"/>
  <c r="U182" s="1"/>
  <c r="C187"/>
  <c r="D187" s="1"/>
  <c r="U187" s="1"/>
  <c r="C195"/>
  <c r="D195" s="1"/>
  <c r="U195" s="1"/>
  <c r="C200"/>
  <c r="D200" s="1"/>
  <c r="U200" s="1"/>
  <c r="C204"/>
  <c r="D204" s="1"/>
  <c r="U204" s="1"/>
  <c r="C208"/>
  <c r="D208" s="1"/>
  <c r="U208" s="1"/>
  <c r="C213"/>
  <c r="D213" s="1"/>
  <c r="U213" s="1"/>
  <c r="C217"/>
  <c r="D217" s="1"/>
  <c r="U217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8"/>
  <c r="D248" s="1"/>
  <c r="U248" s="1"/>
  <c r="C252"/>
  <c r="D252" s="1"/>
  <c r="U252" s="1"/>
  <c r="C256"/>
  <c r="D256" s="1"/>
  <c r="U256" s="1"/>
  <c r="C260"/>
  <c r="D260" s="1"/>
  <c r="U260" s="1"/>
  <c r="C265"/>
  <c r="D265" s="1"/>
  <c r="U265" s="1"/>
  <c r="C270"/>
  <c r="D270" s="1"/>
  <c r="U270" s="1"/>
  <c r="C274"/>
  <c r="D274" s="1"/>
  <c r="U274" s="1"/>
  <c r="C278"/>
  <c r="D278" s="1"/>
  <c r="U278" s="1"/>
  <c r="C282"/>
  <c r="D282" s="1"/>
  <c r="U282" s="1"/>
  <c r="C286"/>
  <c r="D286" s="1"/>
  <c r="U286" s="1"/>
  <c r="C291"/>
  <c r="D291" s="1"/>
  <c r="U291" s="1"/>
  <c r="C295"/>
  <c r="D295" s="1"/>
  <c r="U295" s="1"/>
  <c r="C299"/>
  <c r="D299" s="1"/>
  <c r="U299" s="1"/>
  <c r="C303"/>
  <c r="D303" s="1"/>
  <c r="U303" s="1"/>
  <c r="C307"/>
  <c r="D307" s="1"/>
  <c r="U307" s="1"/>
  <c r="C311"/>
  <c r="D311" s="1"/>
  <c r="U311" s="1"/>
  <c r="C316"/>
  <c r="D316" s="1"/>
  <c r="U316" s="1"/>
  <c r="C320"/>
  <c r="D320" s="1"/>
  <c r="U320" s="1"/>
  <c r="C324"/>
  <c r="D324" s="1"/>
  <c r="U324" s="1"/>
  <c r="C329"/>
  <c r="D329" s="1"/>
  <c r="U329" s="1"/>
  <c r="C333"/>
  <c r="D333" s="1"/>
  <c r="U333" s="1"/>
  <c r="C337"/>
  <c r="D337" s="1"/>
  <c r="U337" s="1"/>
  <c r="C342"/>
  <c r="D342" s="1"/>
  <c r="U342" s="1"/>
  <c r="C346"/>
  <c r="D346" s="1"/>
  <c r="U346" s="1"/>
  <c r="C350"/>
  <c r="D350" s="1"/>
  <c r="U350" s="1"/>
  <c r="C355"/>
  <c r="D355" s="1"/>
  <c r="U355" s="1"/>
  <c r="C359"/>
  <c r="D359" s="1"/>
  <c r="U359" s="1"/>
  <c r="C363"/>
  <c r="D363" s="1"/>
  <c r="U363" s="1"/>
  <c r="C368"/>
  <c r="D368" s="1"/>
  <c r="U368" s="1"/>
  <c r="C372"/>
  <c r="D372" s="1"/>
  <c r="U372" s="1"/>
  <c r="C376"/>
  <c r="D376" s="1"/>
  <c r="U376" s="1"/>
  <c r="K7" l="1"/>
  <c r="E7"/>
  <c r="U8"/>
  <c r="C377" i="7"/>
  <c r="B375" i="8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B24"/>
  <c r="AC6" i="7"/>
  <c r="B13" i="8"/>
  <c r="B169"/>
  <c r="B148"/>
  <c r="B130"/>
  <c r="B116"/>
  <c r="B99"/>
  <c r="B82"/>
  <c r="B63"/>
  <c r="B50"/>
  <c r="B36"/>
  <c r="B20"/>
  <c r="B34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B31"/>
  <c r="B23"/>
  <c r="B14"/>
  <c r="B132"/>
  <c r="B110"/>
  <c r="B97"/>
  <c r="B79"/>
  <c r="B65"/>
  <c r="B48"/>
  <c r="B22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B9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AC45" i="7"/>
  <c r="B37" i="8"/>
  <c r="B29"/>
  <c r="B21"/>
  <c r="B12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B15"/>
  <c r="B30"/>
  <c r="B191"/>
  <c r="B156"/>
  <c r="B138"/>
  <c r="B120"/>
  <c r="B108"/>
  <c r="B90"/>
  <c r="B73"/>
  <c r="B59"/>
  <c r="B44"/>
  <c r="B28"/>
  <c r="B11"/>
  <c r="N11" s="1"/>
  <c r="AC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B35"/>
  <c r="B27"/>
  <c r="B19"/>
  <c r="T19" s="1"/>
  <c r="B10"/>
  <c r="B118"/>
  <c r="B106"/>
  <c r="B88"/>
  <c r="B70"/>
  <c r="B57"/>
  <c r="B38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B33"/>
  <c r="B25"/>
  <c r="B16"/>
  <c r="B8"/>
  <c r="N8" s="1"/>
  <c r="Q19" l="1"/>
  <c r="K8"/>
  <c r="AC377" i="7"/>
  <c r="Z377" s="1"/>
  <c r="E8" i="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60"/>
  <c r="T60"/>
  <c r="E60"/>
  <c r="N60"/>
  <c r="Q69"/>
  <c r="T69"/>
  <c r="E69"/>
  <c r="N69"/>
  <c r="Q78"/>
  <c r="T78"/>
  <c r="E78"/>
  <c r="N78"/>
  <c r="T87"/>
  <c r="Q87"/>
  <c r="E87"/>
  <c r="N87"/>
  <c r="T96"/>
  <c r="Q96"/>
  <c r="E96"/>
  <c r="N96"/>
  <c r="T104"/>
  <c r="Q104"/>
  <c r="E104"/>
  <c r="N104"/>
  <c r="T113"/>
  <c r="Q113"/>
  <c r="E113"/>
  <c r="N113"/>
  <c r="T122"/>
  <c r="Q122"/>
  <c r="E122"/>
  <c r="N122"/>
  <c r="T131"/>
  <c r="Q131"/>
  <c r="E131"/>
  <c r="N131"/>
  <c r="T149"/>
  <c r="Q149"/>
  <c r="E149"/>
  <c r="N149"/>
  <c r="T157"/>
  <c r="Q157"/>
  <c r="N157"/>
  <c r="E157"/>
  <c r="T166"/>
  <c r="Q166"/>
  <c r="N166"/>
  <c r="E166"/>
  <c r="T175"/>
  <c r="Q175"/>
  <c r="N175"/>
  <c r="E175"/>
  <c r="T183"/>
  <c r="Q183"/>
  <c r="N183"/>
  <c r="E183"/>
  <c r="T192"/>
  <c r="Q192"/>
  <c r="N192"/>
  <c r="E192"/>
  <c r="T201"/>
  <c r="Q201"/>
  <c r="N201"/>
  <c r="E201"/>
  <c r="T209"/>
  <c r="Q209"/>
  <c r="N209"/>
  <c r="E209"/>
  <c r="T218"/>
  <c r="Q218"/>
  <c r="N218"/>
  <c r="E218"/>
  <c r="T227"/>
  <c r="Q227"/>
  <c r="N227"/>
  <c r="E227"/>
  <c r="T235"/>
  <c r="Q235"/>
  <c r="N235"/>
  <c r="E235"/>
  <c r="T244"/>
  <c r="Q244"/>
  <c r="N244"/>
  <c r="E244"/>
  <c r="T253"/>
  <c r="Q253"/>
  <c r="N253"/>
  <c r="E253"/>
  <c r="T262"/>
  <c r="Q262"/>
  <c r="N262"/>
  <c r="E262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1"/>
  <c r="Q321"/>
  <c r="N321"/>
  <c r="E321"/>
  <c r="T330"/>
  <c r="Q330"/>
  <c r="N330"/>
  <c r="E330"/>
  <c r="T338"/>
  <c r="Q338"/>
  <c r="N338"/>
  <c r="E338"/>
  <c r="T347"/>
  <c r="Q347"/>
  <c r="N347"/>
  <c r="E347"/>
  <c r="T356"/>
  <c r="Q356"/>
  <c r="N356"/>
  <c r="E356"/>
  <c r="T365"/>
  <c r="Q365"/>
  <c r="N365"/>
  <c r="E365"/>
  <c r="T373"/>
  <c r="Q373"/>
  <c r="N373"/>
  <c r="E373"/>
  <c r="T26"/>
  <c r="Q26"/>
  <c r="N26"/>
  <c r="K26"/>
  <c r="E26"/>
  <c r="T53"/>
  <c r="Q53"/>
  <c r="N53"/>
  <c r="E53"/>
  <c r="T75"/>
  <c r="Q75"/>
  <c r="N75"/>
  <c r="E75"/>
  <c r="T93"/>
  <c r="Q93"/>
  <c r="N93"/>
  <c r="E93"/>
  <c r="T114"/>
  <c r="Q114"/>
  <c r="N114"/>
  <c r="E114"/>
  <c r="T127"/>
  <c r="Q127"/>
  <c r="N127"/>
  <c r="E127"/>
  <c r="T141"/>
  <c r="Q141"/>
  <c r="N141"/>
  <c r="E141"/>
  <c r="T150"/>
  <c r="Q150"/>
  <c r="N150"/>
  <c r="E150"/>
  <c r="T158"/>
  <c r="Q158"/>
  <c r="N158"/>
  <c r="E158"/>
  <c r="T167"/>
  <c r="Q167"/>
  <c r="N167"/>
  <c r="E167"/>
  <c r="T176"/>
  <c r="Q176"/>
  <c r="N176"/>
  <c r="E176"/>
  <c r="T184"/>
  <c r="Q184"/>
  <c r="N184"/>
  <c r="E184"/>
  <c r="T193"/>
  <c r="Q193"/>
  <c r="N193"/>
  <c r="E193"/>
  <c r="T202"/>
  <c r="Q202"/>
  <c r="N202"/>
  <c r="E202"/>
  <c r="T210"/>
  <c r="Q210"/>
  <c r="N210"/>
  <c r="E210"/>
  <c r="T219"/>
  <c r="Q219"/>
  <c r="N219"/>
  <c r="E219"/>
  <c r="T228"/>
  <c r="Q228"/>
  <c r="N228"/>
  <c r="E228"/>
  <c r="T237"/>
  <c r="Q237"/>
  <c r="N237"/>
  <c r="E237"/>
  <c r="T246"/>
  <c r="Q246"/>
  <c r="N246"/>
  <c r="E246"/>
  <c r="T254"/>
  <c r="Q254"/>
  <c r="N254"/>
  <c r="E254"/>
  <c r="T263"/>
  <c r="Q263"/>
  <c r="N263"/>
  <c r="E263"/>
  <c r="T272"/>
  <c r="Q272"/>
  <c r="N272"/>
  <c r="E272"/>
  <c r="T280"/>
  <c r="Q280"/>
  <c r="N280"/>
  <c r="E280"/>
  <c r="T289"/>
  <c r="Q289"/>
  <c r="N289"/>
  <c r="E289"/>
  <c r="T297"/>
  <c r="Q297"/>
  <c r="N297"/>
  <c r="E297"/>
  <c r="T305"/>
  <c r="Q305"/>
  <c r="N305"/>
  <c r="E305"/>
  <c r="T314"/>
  <c r="Q314"/>
  <c r="N314"/>
  <c r="E314"/>
  <c r="T322"/>
  <c r="Q322"/>
  <c r="N322"/>
  <c r="E322"/>
  <c r="T331"/>
  <c r="Q331"/>
  <c r="N331"/>
  <c r="E331"/>
  <c r="T339"/>
  <c r="Q339"/>
  <c r="N339"/>
  <c r="E339"/>
  <c r="T348"/>
  <c r="Q348"/>
  <c r="N348"/>
  <c r="E348"/>
  <c r="T357"/>
  <c r="Q357"/>
  <c r="N357"/>
  <c r="E357"/>
  <c r="T366"/>
  <c r="Q366"/>
  <c r="N366"/>
  <c r="E366"/>
  <c r="T374"/>
  <c r="Q374"/>
  <c r="N374"/>
  <c r="E374"/>
  <c r="T38"/>
  <c r="Q38"/>
  <c r="N38"/>
  <c r="K38"/>
  <c r="E38"/>
  <c r="T57"/>
  <c r="Q57"/>
  <c r="N57"/>
  <c r="E57"/>
  <c r="T70"/>
  <c r="Q70"/>
  <c r="N70"/>
  <c r="E70"/>
  <c r="T88"/>
  <c r="Q88"/>
  <c r="N88"/>
  <c r="E88"/>
  <c r="T106"/>
  <c r="Q106"/>
  <c r="N106"/>
  <c r="E106"/>
  <c r="T118"/>
  <c r="Q118"/>
  <c r="N118"/>
  <c r="E118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1"/>
  <c r="Q71"/>
  <c r="N71"/>
  <c r="E71"/>
  <c r="T80"/>
  <c r="Q80"/>
  <c r="N80"/>
  <c r="E80"/>
  <c r="T98"/>
  <c r="Q98"/>
  <c r="N98"/>
  <c r="E98"/>
  <c r="T115"/>
  <c r="Q115"/>
  <c r="N115"/>
  <c r="E115"/>
  <c r="T133"/>
  <c r="Q133"/>
  <c r="N133"/>
  <c r="E133"/>
  <c r="T151"/>
  <c r="Q151"/>
  <c r="N151"/>
  <c r="E151"/>
  <c r="T168"/>
  <c r="Q168"/>
  <c r="N168"/>
  <c r="E168"/>
  <c r="T186"/>
  <c r="Q186"/>
  <c r="N186"/>
  <c r="E186"/>
  <c r="T211"/>
  <c r="Q211"/>
  <c r="N211"/>
  <c r="E211"/>
  <c r="T229"/>
  <c r="Q229"/>
  <c r="N229"/>
  <c r="E229"/>
  <c r="T247"/>
  <c r="Q247"/>
  <c r="N247"/>
  <c r="E247"/>
  <c r="T264"/>
  <c r="Q264"/>
  <c r="N264"/>
  <c r="E264"/>
  <c r="T281"/>
  <c r="Q281"/>
  <c r="N281"/>
  <c r="E281"/>
  <c r="T298"/>
  <c r="Q298"/>
  <c r="N298"/>
  <c r="E298"/>
  <c r="T315"/>
  <c r="Q315"/>
  <c r="N315"/>
  <c r="E315"/>
  <c r="T332"/>
  <c r="Q332"/>
  <c r="N332"/>
  <c r="E332"/>
  <c r="T349"/>
  <c r="Q349"/>
  <c r="N349"/>
  <c r="E349"/>
  <c r="T367"/>
  <c r="Q367"/>
  <c r="N367"/>
  <c r="E367"/>
  <c r="K11"/>
  <c r="E11"/>
  <c r="T28"/>
  <c r="Q28"/>
  <c r="N28"/>
  <c r="K28"/>
  <c r="E28"/>
  <c r="T44"/>
  <c r="Q44"/>
  <c r="N44"/>
  <c r="K44"/>
  <c r="E44"/>
  <c r="T59"/>
  <c r="Q59"/>
  <c r="N59"/>
  <c r="E59"/>
  <c r="T73"/>
  <c r="Q73"/>
  <c r="N73"/>
  <c r="E73"/>
  <c r="T90"/>
  <c r="Q90"/>
  <c r="N90"/>
  <c r="E90"/>
  <c r="T108"/>
  <c r="Q108"/>
  <c r="N108"/>
  <c r="E108"/>
  <c r="T120"/>
  <c r="Q120"/>
  <c r="N120"/>
  <c r="E120"/>
  <c r="T138"/>
  <c r="Q138"/>
  <c r="N138"/>
  <c r="E138"/>
  <c r="T156"/>
  <c r="Q156"/>
  <c r="N156"/>
  <c r="E156"/>
  <c r="T191"/>
  <c r="Q191"/>
  <c r="N191"/>
  <c r="E191"/>
  <c r="T30"/>
  <c r="Q30"/>
  <c r="N30"/>
  <c r="K30"/>
  <c r="E30"/>
  <c r="N15"/>
  <c r="K15"/>
  <c r="E15"/>
  <c r="T32"/>
  <c r="Q32"/>
  <c r="N32"/>
  <c r="K32"/>
  <c r="E32"/>
  <c r="T55"/>
  <c r="Q55"/>
  <c r="N55"/>
  <c r="E55"/>
  <c r="T77"/>
  <c r="Q77"/>
  <c r="N77"/>
  <c r="E77"/>
  <c r="T95"/>
  <c r="Q95"/>
  <c r="N95"/>
  <c r="E95"/>
  <c r="T112"/>
  <c r="Q112"/>
  <c r="N112"/>
  <c r="E112"/>
  <c r="T134"/>
  <c r="Q134"/>
  <c r="N134"/>
  <c r="E134"/>
  <c r="T152"/>
  <c r="Q152"/>
  <c r="N152"/>
  <c r="E152"/>
  <c r="T165"/>
  <c r="Q165"/>
  <c r="N165"/>
  <c r="E165"/>
  <c r="T178"/>
  <c r="Q178"/>
  <c r="N178"/>
  <c r="E178"/>
  <c r="T187"/>
  <c r="Q187"/>
  <c r="N187"/>
  <c r="E187"/>
  <c r="T200"/>
  <c r="Q200"/>
  <c r="N200"/>
  <c r="E200"/>
  <c r="T208"/>
  <c r="Q208"/>
  <c r="N208"/>
  <c r="E208"/>
  <c r="T217"/>
  <c r="Q217"/>
  <c r="N217"/>
  <c r="E217"/>
  <c r="T225"/>
  <c r="Q225"/>
  <c r="N225"/>
  <c r="E225"/>
  <c r="T234"/>
  <c r="Q234"/>
  <c r="N234"/>
  <c r="E234"/>
  <c r="T243"/>
  <c r="Q243"/>
  <c r="N243"/>
  <c r="E243"/>
  <c r="T252"/>
  <c r="Q252"/>
  <c r="N252"/>
  <c r="E252"/>
  <c r="T260"/>
  <c r="Q260"/>
  <c r="N260"/>
  <c r="E260"/>
  <c r="T270"/>
  <c r="Q270"/>
  <c r="N270"/>
  <c r="E270"/>
  <c r="T278"/>
  <c r="Q278"/>
  <c r="N278"/>
  <c r="E278"/>
  <c r="T286"/>
  <c r="Q286"/>
  <c r="N286"/>
  <c r="E286"/>
  <c r="T295"/>
  <c r="Q295"/>
  <c r="N295"/>
  <c r="E295"/>
  <c r="T303"/>
  <c r="Q303"/>
  <c r="N303"/>
  <c r="E303"/>
  <c r="T311"/>
  <c r="Q311"/>
  <c r="N311"/>
  <c r="E311"/>
  <c r="T320"/>
  <c r="Q320"/>
  <c r="N320"/>
  <c r="E320"/>
  <c r="T329"/>
  <c r="Q329"/>
  <c r="N329"/>
  <c r="E329"/>
  <c r="T337"/>
  <c r="Q337"/>
  <c r="N337"/>
  <c r="E337"/>
  <c r="T346"/>
  <c r="Q346"/>
  <c r="N346"/>
  <c r="E346"/>
  <c r="T355"/>
  <c r="Q355"/>
  <c r="N355"/>
  <c r="E355"/>
  <c r="T363"/>
  <c r="Q363"/>
  <c r="N363"/>
  <c r="E363"/>
  <c r="T372"/>
  <c r="Q372"/>
  <c r="N372"/>
  <c r="E372"/>
  <c r="T85"/>
  <c r="Q85"/>
  <c r="N85"/>
  <c r="E85"/>
  <c r="T102"/>
  <c r="Q102"/>
  <c r="N102"/>
  <c r="E102"/>
  <c r="T119"/>
  <c r="Q119"/>
  <c r="N119"/>
  <c r="E119"/>
  <c r="T137"/>
  <c r="Q137"/>
  <c r="N137"/>
  <c r="E137"/>
  <c r="T155"/>
  <c r="Q155"/>
  <c r="N155"/>
  <c r="E155"/>
  <c r="T172"/>
  <c r="Q172"/>
  <c r="N172"/>
  <c r="E172"/>
  <c r="T190"/>
  <c r="Q190"/>
  <c r="N190"/>
  <c r="E190"/>
  <c r="T198"/>
  <c r="Q198"/>
  <c r="N198"/>
  <c r="E198"/>
  <c r="T216"/>
  <c r="Q216"/>
  <c r="N216"/>
  <c r="E216"/>
  <c r="T233"/>
  <c r="Q233"/>
  <c r="N233"/>
  <c r="E233"/>
  <c r="T251"/>
  <c r="Q251"/>
  <c r="N251"/>
  <c r="E251"/>
  <c r="T268"/>
  <c r="Q268"/>
  <c r="N268"/>
  <c r="E268"/>
  <c r="T285"/>
  <c r="Q285"/>
  <c r="N285"/>
  <c r="E285"/>
  <c r="T302"/>
  <c r="Q302"/>
  <c r="N302"/>
  <c r="E302"/>
  <c r="T319"/>
  <c r="Q319"/>
  <c r="N319"/>
  <c r="E319"/>
  <c r="T336"/>
  <c r="Q336"/>
  <c r="N336"/>
  <c r="E336"/>
  <c r="T354"/>
  <c r="Q354"/>
  <c r="N354"/>
  <c r="E354"/>
  <c r="T371"/>
  <c r="Q371"/>
  <c r="N371"/>
  <c r="E371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4"/>
  <c r="T64"/>
  <c r="E64"/>
  <c r="N64"/>
  <c r="Q74"/>
  <c r="T74"/>
  <c r="E74"/>
  <c r="N74"/>
  <c r="T83"/>
  <c r="Q83"/>
  <c r="E83"/>
  <c r="N83"/>
  <c r="T92"/>
  <c r="Q92"/>
  <c r="E92"/>
  <c r="N92"/>
  <c r="T100"/>
  <c r="Q100"/>
  <c r="E100"/>
  <c r="N100"/>
  <c r="T109"/>
  <c r="Q109"/>
  <c r="E109"/>
  <c r="N109"/>
  <c r="T117"/>
  <c r="Q117"/>
  <c r="E117"/>
  <c r="N117"/>
  <c r="T126"/>
  <c r="Q126"/>
  <c r="E126"/>
  <c r="N126"/>
  <c r="T135"/>
  <c r="Q135"/>
  <c r="E135"/>
  <c r="N135"/>
  <c r="T144"/>
  <c r="Q144"/>
  <c r="E144"/>
  <c r="N144"/>
  <c r="T153"/>
  <c r="Q153"/>
  <c r="N153"/>
  <c r="E153"/>
  <c r="T162"/>
  <c r="Q162"/>
  <c r="N162"/>
  <c r="E162"/>
  <c r="T170"/>
  <c r="Q170"/>
  <c r="N170"/>
  <c r="E170"/>
  <c r="T179"/>
  <c r="Q179"/>
  <c r="N179"/>
  <c r="E179"/>
  <c r="T188"/>
  <c r="Q188"/>
  <c r="N188"/>
  <c r="E188"/>
  <c r="T196"/>
  <c r="Q196"/>
  <c r="N196"/>
  <c r="E196"/>
  <c r="T205"/>
  <c r="Q205"/>
  <c r="N205"/>
  <c r="E205"/>
  <c r="T214"/>
  <c r="Q214"/>
  <c r="N214"/>
  <c r="E214"/>
  <c r="T222"/>
  <c r="Q222"/>
  <c r="N222"/>
  <c r="E222"/>
  <c r="T231"/>
  <c r="Q231"/>
  <c r="N231"/>
  <c r="E231"/>
  <c r="T240"/>
  <c r="Q240"/>
  <c r="N240"/>
  <c r="E240"/>
  <c r="T249"/>
  <c r="Q249"/>
  <c r="N249"/>
  <c r="E249"/>
  <c r="T257"/>
  <c r="Q257"/>
  <c r="N257"/>
  <c r="E257"/>
  <c r="T266"/>
  <c r="Q266"/>
  <c r="N266"/>
  <c r="E266"/>
  <c r="T275"/>
  <c r="Q275"/>
  <c r="N275"/>
  <c r="E275"/>
  <c r="T283"/>
  <c r="Q283"/>
  <c r="N283"/>
  <c r="E283"/>
  <c r="T292"/>
  <c r="Q292"/>
  <c r="N292"/>
  <c r="E292"/>
  <c r="T300"/>
  <c r="Q300"/>
  <c r="N300"/>
  <c r="E300"/>
  <c r="T308"/>
  <c r="Q308"/>
  <c r="N308"/>
  <c r="E308"/>
  <c r="T317"/>
  <c r="Q317"/>
  <c r="N317"/>
  <c r="E317"/>
  <c r="T325"/>
  <c r="Q325"/>
  <c r="N325"/>
  <c r="E325"/>
  <c r="T334"/>
  <c r="Q334"/>
  <c r="N334"/>
  <c r="E334"/>
  <c r="T343"/>
  <c r="Q343"/>
  <c r="N343"/>
  <c r="E343"/>
  <c r="T351"/>
  <c r="Q351"/>
  <c r="N351"/>
  <c r="E351"/>
  <c r="T360"/>
  <c r="Q360"/>
  <c r="N360"/>
  <c r="E360"/>
  <c r="T369"/>
  <c r="Q369"/>
  <c r="N369"/>
  <c r="E369"/>
  <c r="N9"/>
  <c r="K9"/>
  <c r="E9"/>
  <c r="T42"/>
  <c r="Q42"/>
  <c r="N42"/>
  <c r="K42"/>
  <c r="E42"/>
  <c r="T61"/>
  <c r="Q61"/>
  <c r="N61"/>
  <c r="E61"/>
  <c r="T84"/>
  <c r="Q84"/>
  <c r="N84"/>
  <c r="E84"/>
  <c r="T101"/>
  <c r="Q101"/>
  <c r="N101"/>
  <c r="E101"/>
  <c r="T123"/>
  <c r="Q123"/>
  <c r="N123"/>
  <c r="E123"/>
  <c r="T136"/>
  <c r="Q136"/>
  <c r="N136"/>
  <c r="E136"/>
  <c r="T145"/>
  <c r="Q145"/>
  <c r="N145"/>
  <c r="E145"/>
  <c r="T154"/>
  <c r="Q154"/>
  <c r="N154"/>
  <c r="E154"/>
  <c r="T163"/>
  <c r="Q163"/>
  <c r="N163"/>
  <c r="E163"/>
  <c r="T171"/>
  <c r="Q171"/>
  <c r="N171"/>
  <c r="E171"/>
  <c r="T180"/>
  <c r="Q180"/>
  <c r="N180"/>
  <c r="E180"/>
  <c r="T189"/>
  <c r="Q189"/>
  <c r="N189"/>
  <c r="E189"/>
  <c r="T197"/>
  <c r="Q197"/>
  <c r="N197"/>
  <c r="E197"/>
  <c r="T206"/>
  <c r="Q206"/>
  <c r="N206"/>
  <c r="E206"/>
  <c r="T215"/>
  <c r="Q215"/>
  <c r="N215"/>
  <c r="E215"/>
  <c r="T223"/>
  <c r="Q223"/>
  <c r="N223"/>
  <c r="E223"/>
  <c r="T232"/>
  <c r="Q232"/>
  <c r="N232"/>
  <c r="E232"/>
  <c r="T241"/>
  <c r="Q241"/>
  <c r="N241"/>
  <c r="E241"/>
  <c r="T250"/>
  <c r="Q250"/>
  <c r="N250"/>
  <c r="E250"/>
  <c r="T258"/>
  <c r="Q258"/>
  <c r="N258"/>
  <c r="E258"/>
  <c r="T267"/>
  <c r="Q267"/>
  <c r="N267"/>
  <c r="E267"/>
  <c r="T276"/>
  <c r="Q276"/>
  <c r="N276"/>
  <c r="E276"/>
  <c r="T284"/>
  <c r="Q284"/>
  <c r="N284"/>
  <c r="E284"/>
  <c r="T293"/>
  <c r="Q293"/>
  <c r="N293"/>
  <c r="E293"/>
  <c r="T301"/>
  <c r="Q301"/>
  <c r="N301"/>
  <c r="E301"/>
  <c r="T309"/>
  <c r="Q309"/>
  <c r="N309"/>
  <c r="E309"/>
  <c r="T318"/>
  <c r="Q318"/>
  <c r="N318"/>
  <c r="E318"/>
  <c r="T326"/>
  <c r="Q326"/>
  <c r="N326"/>
  <c r="E326"/>
  <c r="T335"/>
  <c r="Q335"/>
  <c r="N335"/>
  <c r="E335"/>
  <c r="T344"/>
  <c r="Q344"/>
  <c r="N344"/>
  <c r="E344"/>
  <c r="T353"/>
  <c r="Q353"/>
  <c r="N353"/>
  <c r="E353"/>
  <c r="T361"/>
  <c r="Q361"/>
  <c r="N361"/>
  <c r="E361"/>
  <c r="T370"/>
  <c r="Q370"/>
  <c r="N370"/>
  <c r="E370"/>
  <c r="T22"/>
  <c r="Q22"/>
  <c r="N22"/>
  <c r="K22"/>
  <c r="E22"/>
  <c r="T48"/>
  <c r="Q48"/>
  <c r="N48"/>
  <c r="E48"/>
  <c r="T65"/>
  <c r="Q65"/>
  <c r="N65"/>
  <c r="E65"/>
  <c r="T79"/>
  <c r="Q79"/>
  <c r="N79"/>
  <c r="E79"/>
  <c r="T97"/>
  <c r="Q97"/>
  <c r="N97"/>
  <c r="E97"/>
  <c r="T110"/>
  <c r="Q110"/>
  <c r="N110"/>
  <c r="E110"/>
  <c r="T132"/>
  <c r="Q132"/>
  <c r="N132"/>
  <c r="E132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58"/>
  <c r="Q58"/>
  <c r="N58"/>
  <c r="E58"/>
  <c r="T67"/>
  <c r="Q67"/>
  <c r="N67"/>
  <c r="E67"/>
  <c r="T76"/>
  <c r="Q76"/>
  <c r="N76"/>
  <c r="E76"/>
  <c r="T94"/>
  <c r="Q94"/>
  <c r="N94"/>
  <c r="E94"/>
  <c r="T111"/>
  <c r="Q111"/>
  <c r="N111"/>
  <c r="E111"/>
  <c r="T128"/>
  <c r="Q128"/>
  <c r="N128"/>
  <c r="E128"/>
  <c r="T147"/>
  <c r="Q147"/>
  <c r="N147"/>
  <c r="E147"/>
  <c r="T164"/>
  <c r="Q164"/>
  <c r="N164"/>
  <c r="E164"/>
  <c r="T181"/>
  <c r="Q181"/>
  <c r="N181"/>
  <c r="E181"/>
  <c r="T207"/>
  <c r="Q207"/>
  <c r="N207"/>
  <c r="E207"/>
  <c r="T224"/>
  <c r="Q224"/>
  <c r="N224"/>
  <c r="E224"/>
  <c r="T242"/>
  <c r="Q242"/>
  <c r="N242"/>
  <c r="E242"/>
  <c r="T259"/>
  <c r="Q259"/>
  <c r="N259"/>
  <c r="E259"/>
  <c r="T277"/>
  <c r="Q277"/>
  <c r="N277"/>
  <c r="E277"/>
  <c r="T294"/>
  <c r="Q294"/>
  <c r="N294"/>
  <c r="E294"/>
  <c r="T310"/>
  <c r="Q310"/>
  <c r="N310"/>
  <c r="E310"/>
  <c r="T327"/>
  <c r="Q327"/>
  <c r="N327"/>
  <c r="E327"/>
  <c r="T345"/>
  <c r="Q345"/>
  <c r="N345"/>
  <c r="E345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3"/>
  <c r="Q63"/>
  <c r="N63"/>
  <c r="E63"/>
  <c r="T82"/>
  <c r="Q82"/>
  <c r="N82"/>
  <c r="E82"/>
  <c r="T99"/>
  <c r="Q99"/>
  <c r="N99"/>
  <c r="E99"/>
  <c r="T116"/>
  <c r="Q116"/>
  <c r="N116"/>
  <c r="E116"/>
  <c r="T130"/>
  <c r="Q130"/>
  <c r="N130"/>
  <c r="E130"/>
  <c r="T148"/>
  <c r="Q148"/>
  <c r="N148"/>
  <c r="E148"/>
  <c r="T169"/>
  <c r="Q169"/>
  <c r="N169"/>
  <c r="E169"/>
  <c r="N13"/>
  <c r="K13"/>
  <c r="E13"/>
  <c r="T24"/>
  <c r="Q24"/>
  <c r="N24"/>
  <c r="K24"/>
  <c r="E24"/>
  <c r="T40"/>
  <c r="Q40"/>
  <c r="N40"/>
  <c r="K40"/>
  <c r="E40"/>
  <c r="T68"/>
  <c r="Q68"/>
  <c r="N68"/>
  <c r="E68"/>
  <c r="T86"/>
  <c r="Q86"/>
  <c r="N86"/>
  <c r="E86"/>
  <c r="T103"/>
  <c r="Q103"/>
  <c r="N103"/>
  <c r="E103"/>
  <c r="T125"/>
  <c r="Q125"/>
  <c r="N125"/>
  <c r="E125"/>
  <c r="T143"/>
  <c r="Q143"/>
  <c r="N143"/>
  <c r="E143"/>
  <c r="T161"/>
  <c r="Q161"/>
  <c r="N161"/>
  <c r="E161"/>
  <c r="T174"/>
  <c r="Q174"/>
  <c r="N174"/>
  <c r="E174"/>
  <c r="T182"/>
  <c r="Q182"/>
  <c r="N182"/>
  <c r="E182"/>
  <c r="T195"/>
  <c r="Q195"/>
  <c r="N195"/>
  <c r="E195"/>
  <c r="T204"/>
  <c r="Q204"/>
  <c r="N204"/>
  <c r="E204"/>
  <c r="T213"/>
  <c r="Q213"/>
  <c r="N213"/>
  <c r="E213"/>
  <c r="T221"/>
  <c r="Q221"/>
  <c r="N221"/>
  <c r="E221"/>
  <c r="T230"/>
  <c r="Q230"/>
  <c r="N230"/>
  <c r="E230"/>
  <c r="T239"/>
  <c r="Q239"/>
  <c r="N239"/>
  <c r="E239"/>
  <c r="T248"/>
  <c r="Q248"/>
  <c r="N248"/>
  <c r="E248"/>
  <c r="T256"/>
  <c r="Q256"/>
  <c r="N256"/>
  <c r="E256"/>
  <c r="T265"/>
  <c r="Q265"/>
  <c r="N265"/>
  <c r="E265"/>
  <c r="T274"/>
  <c r="Q274"/>
  <c r="N274"/>
  <c r="E274"/>
  <c r="T282"/>
  <c r="Q282"/>
  <c r="N282"/>
  <c r="E282"/>
  <c r="T291"/>
  <c r="Q291"/>
  <c r="N291"/>
  <c r="E291"/>
  <c r="T299"/>
  <c r="Q299"/>
  <c r="N299"/>
  <c r="E299"/>
  <c r="T307"/>
  <c r="Q307"/>
  <c r="N307"/>
  <c r="E307"/>
  <c r="T316"/>
  <c r="Q316"/>
  <c r="N316"/>
  <c r="E316"/>
  <c r="T324"/>
  <c r="Q324"/>
  <c r="N324"/>
  <c r="E324"/>
  <c r="T333"/>
  <c r="Q333"/>
  <c r="N333"/>
  <c r="E333"/>
  <c r="T342"/>
  <c r="Q342"/>
  <c r="N342"/>
  <c r="E342"/>
  <c r="T350"/>
  <c r="Q350"/>
  <c r="N350"/>
  <c r="E350"/>
  <c r="T359"/>
  <c r="Q359"/>
  <c r="N359"/>
  <c r="E359"/>
  <c r="T368"/>
  <c r="Q368"/>
  <c r="N368"/>
  <c r="E368"/>
  <c r="T376"/>
  <c r="Q376"/>
  <c r="N376"/>
  <c r="E376"/>
  <c r="T62"/>
  <c r="Q62"/>
  <c r="N62"/>
  <c r="E62"/>
  <c r="T89"/>
  <c r="Q89"/>
  <c r="N89"/>
  <c r="E89"/>
  <c r="T107"/>
  <c r="Q107"/>
  <c r="N107"/>
  <c r="E107"/>
  <c r="T124"/>
  <c r="Q124"/>
  <c r="N124"/>
  <c r="E124"/>
  <c r="T142"/>
  <c r="Q142"/>
  <c r="N142"/>
  <c r="E142"/>
  <c r="T160"/>
  <c r="Q160"/>
  <c r="N160"/>
  <c r="E160"/>
  <c r="T177"/>
  <c r="Q177"/>
  <c r="N177"/>
  <c r="E177"/>
  <c r="T194"/>
  <c r="Q194"/>
  <c r="N194"/>
  <c r="E194"/>
  <c r="T203"/>
  <c r="Q203"/>
  <c r="N203"/>
  <c r="E203"/>
  <c r="T220"/>
  <c r="Q220"/>
  <c r="N220"/>
  <c r="E220"/>
  <c r="T238"/>
  <c r="Q238"/>
  <c r="N238"/>
  <c r="E238"/>
  <c r="T255"/>
  <c r="Q255"/>
  <c r="N255"/>
  <c r="E255"/>
  <c r="T273"/>
  <c r="Q273"/>
  <c r="N273"/>
  <c r="E273"/>
  <c r="T290"/>
  <c r="Q290"/>
  <c r="N290"/>
  <c r="E290"/>
  <c r="T306"/>
  <c r="Q306"/>
  <c r="N306"/>
  <c r="E306"/>
  <c r="T323"/>
  <c r="Q323"/>
  <c r="N323"/>
  <c r="E323"/>
  <c r="T341"/>
  <c r="Q341"/>
  <c r="N341"/>
  <c r="E341"/>
  <c r="T358"/>
  <c r="Q358"/>
  <c r="N358"/>
  <c r="E358"/>
  <c r="T375"/>
  <c r="Q375"/>
  <c r="N375"/>
  <c r="E375"/>
  <c r="B47"/>
  <c r="AD45" i="7"/>
  <c r="B45" i="8" s="1"/>
  <c r="B18"/>
  <c r="AD17" i="7"/>
  <c r="B7" i="8"/>
  <c r="AD6" i="7"/>
  <c r="B6" i="8" s="1"/>
  <c r="Q18" l="1"/>
  <c r="Q17" s="1"/>
  <c r="T18"/>
  <c r="T17" s="1"/>
  <c r="N6"/>
  <c r="K6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B17"/>
  <c r="AD377" i="7"/>
  <c r="B377" i="8" s="1"/>
  <c r="H377" l="1"/>
  <c r="T377"/>
  <c r="Q377"/>
  <c r="E377"/>
  <c r="K377"/>
  <c r="N377"/>
</calcChain>
</file>

<file path=xl/sharedStrings.xml><?xml version="1.0" encoding="utf-8"?>
<sst xmlns="http://schemas.openxmlformats.org/spreadsheetml/2006/main" count="5485" uniqueCount="420">
  <si>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</si>
  <si>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</si>
  <si>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</si>
  <si>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</si>
  <si>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</si>
  <si>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</si>
  <si>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</si>
  <si>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</si>
  <si>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</si>
  <si>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</si>
  <si>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</si>
  <si>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</si>
  <si>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</si>
  <si>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</si>
  <si>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</si>
  <si>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</si>
  <si>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</si>
  <si>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</si>
  <si>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</si>
  <si>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</si>
  <si>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</si>
  <si>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</si>
  <si>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</si>
  <si>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</si>
  <si>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</si>
  <si>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</si>
  <si>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</si>
  <si>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</si>
  <si>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</si>
  <si>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</si>
  <si>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</si>
  <si>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</si>
  <si>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</si>
  <si>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</si>
  <si>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</si>
  <si>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</si>
  <si>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</si>
  <si>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</si>
  <si>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</si>
  <si>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</si>
  <si>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</si>
  <si>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</si>
  <si>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</si>
  <si>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</si>
  <si>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</si>
  <si>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</si>
  <si>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</si>
  <si>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</si>
  <si>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</si>
  <si>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</si>
  <si>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</si>
  <si>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</si>
  <si>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</si>
  <si>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</si>
  <si>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</si>
  <si>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</si>
  <si>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</si>
  <si>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</si>
  <si>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</si>
  <si>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</si>
  <si>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</si>
  <si>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</si>
  <si>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</si>
  <si>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</si>
  <si>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</si>
  <si>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</si>
  <si>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</si>
  <si>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</si>
  <si>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</si>
  <si>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</si>
  <si>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</si>
  <si>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</si>
  <si>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</si>
  <si>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</si>
  <si>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</si>
  <si>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</si>
  <si>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</si>
  <si>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</si>
  <si>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</si>
  <si>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</si>
  <si>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</si>
  <si>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</si>
  <si>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</si>
  <si>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</si>
  <si>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</si>
  <si>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</si>
  <si>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</si>
  <si>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</si>
  <si>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</si>
  <si>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</si>
  <si>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</si>
  <si>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</si>
  <si>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</si>
  <si>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</si>
  <si>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</si>
  <si>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</si>
  <si>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</si>
  <si>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</si>
  <si>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</si>
  <si>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</si>
  <si>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</si>
  <si>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</si>
  <si>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</si>
  <si>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</si>
  <si>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</si>
  <si>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</si>
  <si>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</si>
  <si>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</si>
  <si>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</si>
  <si>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</si>
  <si>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</si>
  <si>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</si>
  <si>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</si>
  <si>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</si>
  <si>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</si>
  <si>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</si>
  <si>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</si>
  <si>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</si>
  <si>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</si>
  <si>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</si>
  <si>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</si>
  <si>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</si>
  <si>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</si>
  <si>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</si>
  <si>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</si>
  <si>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</si>
  <si>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</si>
  <si>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</si>
  <si>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</si>
  <si>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</si>
  <si>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</si>
  <si>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</si>
  <si>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</si>
  <si>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</si>
  <si>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</si>
  <si>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</si>
  <si>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</si>
  <si>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</si>
  <si>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</si>
  <si>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</si>
  <si>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</si>
  <si>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</si>
  <si>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</si>
  <si>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</si>
  <si>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</si>
  <si>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</si>
  <si>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</si>
  <si>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</si>
  <si>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</si>
  <si>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</si>
  <si>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</si>
  <si>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</si>
  <si>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</si>
  <si>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</si>
  <si>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</si>
  <si>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</si>
  <si>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</si>
  <si>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</si>
  <si>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</si>
  <si>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</si>
  <si>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</si>
  <si>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</si>
  <si>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</si>
  <si>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</si>
  <si>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</si>
  <si>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</si>
  <si>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</si>
  <si>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</si>
  <si>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</si>
  <si>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</si>
  <si>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</si>
  <si>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</si>
  <si>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</si>
  <si>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</si>
  <si>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</si>
  <si>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</si>
  <si>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</si>
  <si>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</si>
  <si>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</si>
  <si>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</si>
  <si>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</si>
  <si>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</si>
  <si>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</si>
  <si>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</si>
  <si>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</si>
  <si>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</si>
  <si>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</si>
  <si>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</si>
  <si>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</si>
  <si>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</si>
  <si>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</si>
  <si>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</si>
  <si>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</si>
  <si>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</si>
  <si>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</si>
  <si>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</si>
  <si>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</si>
  <si>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</si>
  <si>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</si>
  <si>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</si>
  <si>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</si>
  <si>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</si>
  <si>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</si>
  <si>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</si>
  <si>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</si>
  <si>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</si>
  <si>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</si>
  <si>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</si>
  <si>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</si>
  <si>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</si>
  <si>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</si>
  <si>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</si>
  <si>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</si>
  <si>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</si>
  <si>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</si>
  <si>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</si>
  <si>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</si>
  <si>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</si>
  <si>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</si>
  <si>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</si>
  <si>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</si>
  <si>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</si>
  <si>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</si>
  <si>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</si>
  <si>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</si>
  <si>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</si>
  <si>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</si>
  <si>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</si>
  <si>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</si>
  <si>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</si>
  <si>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</si>
  <si>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</si>
  <si>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</si>
  <si>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</si>
  <si>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</si>
  <si>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</si>
  <si>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</si>
  <si>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</si>
  <si>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</si>
  <si>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</si>
  <si>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</si>
  <si>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</si>
  <si>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</si>
  <si>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</si>
  <si>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</si>
  <si>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</si>
  <si>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</si>
  <si>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</si>
  <si>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</si>
  <si>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</si>
  <si>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</si>
  <si>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</si>
  <si>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</si>
  <si>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</si>
  <si>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</si>
  <si>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</si>
  <si>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</si>
  <si>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</si>
  <si>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</si>
  <si>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</si>
  <si>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</si>
  <si>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</si>
  <si>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</si>
  <si>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</si>
  <si>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</si>
  <si>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</si>
  <si>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</si>
  <si>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</si>
  <si>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</si>
  <si>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</si>
  <si>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</si>
  <si>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</si>
  <si>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</si>
  <si>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</si>
  <si>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</si>
  <si>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</si>
  <si>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</si>
  <si>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</si>
  <si>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</si>
  <si>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</si>
  <si>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</si>
  <si>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</si>
  <si>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</si>
  <si>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</si>
  <si>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</si>
  <si>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</si>
  <si>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</si>
  <si>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</si>
  <si>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</si>
  <si>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</si>
  <si>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</si>
  <si>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</si>
  <si>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</si>
  <si>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</si>
  <si>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</si>
  <si>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</si>
  <si>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</si>
  <si>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</si>
  <si>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</si>
  <si>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</si>
  <si>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</si>
  <si>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</si>
  <si>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</si>
  <si>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</si>
  <si>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</si>
  <si>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</si>
  <si>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</si>
  <si>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</si>
  <si>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</si>
  <si>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</si>
  <si>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</si>
  <si>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</si>
  <si>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</si>
  <si>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</si>
  <si>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</si>
  <si>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</si>
  <si>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</si>
  <si>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</si>
  <si>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</si>
  <si>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</si>
  <si>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</si>
  <si>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</si>
  <si>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</si>
  <si>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</si>
  <si>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</si>
  <si>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</si>
  <si>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</si>
  <si>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</si>
  <si>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</si>
  <si>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</si>
  <si>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</si>
  <si>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</si>
  <si>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</si>
  <si>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</si>
  <si>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</si>
  <si>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</si>
  <si>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</si>
  <si>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</si>
  <si>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</si>
  <si>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</si>
  <si>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</si>
  <si>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</si>
  <si>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</si>
  <si>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</si>
  <si>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</si>
  <si>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</si>
  <si>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</si>
  <si>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</si>
  <si>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</si>
  <si>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</si>
  <si>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</si>
  <si>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</si>
  <si>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</si>
  <si>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</si>
  <si>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</si>
  <si>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</si>
  <si>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</si>
  <si>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</si>
  <si>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</si>
  <si>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</si>
  <si>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</si>
  <si>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</si>
  <si>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</si>
  <si>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</si>
  <si>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</si>
  <si>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</si>
  <si>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</si>
  <si>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</si>
  <si>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</si>
  <si>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</si>
  <si>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</si>
  <si>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</si>
  <si>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</si>
  <si>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</si>
  <si>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</si>
  <si>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</si>
  <si>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</si>
  <si>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</si>
  <si>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</si>
  <si>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</si>
  <si>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</si>
  <si>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</si>
  <si>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</si>
  <si>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</si>
  <si>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</si>
  <si>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</si>
  <si>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</si>
  <si>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</si>
  <si>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</si>
  <si>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</si>
  <si>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</si>
  <si>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</si>
  <si>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</si>
  <si>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</si>
  <si>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</si>
  <si>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</si>
  <si>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</si>
  <si>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</si>
  <si>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</si>
  <si>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</si>
  <si>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</si>
  <si>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</si>
  <si>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</si>
  <si>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</si>
  <si>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Распределение за отчётный период с учетом корректировок</t>
  </si>
  <si>
    <t>За апрель 2015 года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</si>
  <si>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</si>
  <si>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2014 год</t>
  </si>
  <si>
    <t>Исполнение с уч. корректир. макс.  перевыполнения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</si>
  <si>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</si>
  <si>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</si>
  <si>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</si>
  <si>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</si>
  <si>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32=29+31</t>
  </si>
  <si>
    <t>34=32-33</t>
  </si>
  <si>
    <t>Распределение за отчётный период с учетом сумм, не подлежащих перечислению, а также корректировки и удержания</t>
  </si>
  <si>
    <t>36=34-35</t>
  </si>
  <si>
    <t>Сумма, 
не подлежащая перечислению в соответствии с постановлением Правительства Самарской области от 15.05.2015 № 271</t>
  </si>
  <si>
    <t>Корректировка распределения с учетом использования показателей "темп роста среднемесячной номинальной заработной платы", "оборот розничной торговли" и "отношение количества земельных участков, учтенных в базе данных налоговых органов, к количеству земельных участков, состоящих на кадастровом учёте" 
за I квартал 2015 года</t>
  </si>
  <si>
    <t>Факторный анализ влияния отдельных показателей на итоговое распределение за апрель 2015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</si>
</sst>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0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169" fontId="16" fillId="13" borderId="3" xfId="0" applyNumberFormat="1" applyFont="1" applyFill="1" applyBorder="1" applyAlignment="1">
      <alignment vertical="center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3" width="13.77734375" style="1" customWidth="1"/>
    <col min="4" max="4" width="12.109375" style="1" customWidth="1"/>
    <col min="5" max="5" width="4.88671875" style="1" customWidth="1"/>
    <col min="6" max="6" width="8.44140625" style="1" customWidth="1"/>
    <col min="7" max="7" width="9.6640625" style="1" customWidth="1"/>
    <col min="8" max="8" width="12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12.33203125" style="1" customWidth="1"/>
    <col min="13" max="13" width="5.33203125" style="1" customWidth="1"/>
    <col min="14" max="14" width="13" style="1" customWidth="1"/>
    <col min="15" max="15" width="12.88671875" style="1" customWidth="1"/>
    <col min="16" max="16" width="12.21875" style="1" customWidth="1"/>
    <col min="17" max="17" width="5.109375" style="1" customWidth="1"/>
    <col min="18" max="19" width="10.33203125" style="1" customWidth="1"/>
    <col min="20" max="20" width="12.33203125" style="1" customWidth="1"/>
    <col min="21" max="21" width="4.88671875" style="1" customWidth="1"/>
    <col min="22" max="22" width="9" style="1" customWidth="1"/>
    <col min="23" max="23" width="9.6640625" style="1" customWidth="1"/>
    <col min="24" max="24" width="12.21875" style="1" customWidth="1"/>
    <col min="25" max="25" width="4.6640625" style="1" customWidth="1"/>
    <col min="26" max="26" width="11.21875" style="1" customWidth="1"/>
    <col min="27" max="27" width="11.33203125" style="1" customWidth="1"/>
    <col min="28" max="28" width="11.109375" style="1" customWidth="1"/>
    <col min="29" max="29" width="11.44140625" style="1" customWidth="1"/>
    <col min="30" max="30" width="11.33203125" style="1" customWidth="1"/>
    <col min="31" max="31" width="24.44140625" style="1" customWidth="1"/>
    <col min="32" max="32" width="11.33203125" style="1" customWidth="1"/>
    <col min="33" max="33" width="10.44140625" style="1" customWidth="1"/>
    <col min="34" max="34" width="11.33203125" style="1" customWidth="1"/>
    <col min="35" max="35" width="12.6640625" style="1" customWidth="1"/>
    <col min="36" max="36" width="11.33203125" style="1" customWidth="1"/>
    <col min="37" max="16384" width="9.109375" style="1"/>
  </cols>
  <sheetData>
    <row r="1" spans="1:36" ht="21.75" customHeight="1">
      <c r="A1" s="70" t="s">
        <v>380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6" ht="15.6">
      <c r="A2" s="66" t="s">
        <v>405</v>
      </c>
      <c r="AE2" s="50"/>
      <c r="AI2" s="50"/>
      <c r="AJ2" s="50" t="s">
        <v>392</v>
      </c>
    </row>
    <row r="3" spans="1:36" ht="126.6" customHeight="1">
      <c r="A3" s="69" t="s">
        <v>15</v>
      </c>
      <c r="B3" s="73" t="s">
        <v>384</v>
      </c>
      <c r="C3" s="73"/>
      <c r="D3" s="73"/>
      <c r="E3" s="73"/>
      <c r="F3" s="73" t="s">
        <v>383</v>
      </c>
      <c r="G3" s="73"/>
      <c r="H3" s="73"/>
      <c r="I3" s="73"/>
      <c r="J3" s="73" t="s">
        <v>395</v>
      </c>
      <c r="K3" s="73"/>
      <c r="L3" s="73"/>
      <c r="M3" s="73"/>
      <c r="N3" s="73" t="s">
        <v>387</v>
      </c>
      <c r="O3" s="73"/>
      <c r="P3" s="73"/>
      <c r="Q3" s="73"/>
      <c r="R3" s="73" t="s">
        <v>382</v>
      </c>
      <c r="S3" s="73"/>
      <c r="T3" s="73"/>
      <c r="U3" s="73"/>
      <c r="V3" s="73" t="s">
        <v>381</v>
      </c>
      <c r="W3" s="73"/>
      <c r="X3" s="73"/>
      <c r="Y3" s="73"/>
      <c r="Z3" s="72" t="s">
        <v>409</v>
      </c>
      <c r="AA3" s="71" t="s">
        <v>379</v>
      </c>
      <c r="AB3" s="69" t="s">
        <v>385</v>
      </c>
      <c r="AC3" s="69" t="s">
        <v>386</v>
      </c>
      <c r="AD3" s="69" t="s">
        <v>376</v>
      </c>
      <c r="AE3" s="69" t="s">
        <v>418</v>
      </c>
      <c r="AF3" s="69" t="s">
        <v>404</v>
      </c>
      <c r="AG3" s="69" t="s">
        <v>407</v>
      </c>
      <c r="AH3" s="69" t="s">
        <v>406</v>
      </c>
      <c r="AI3" s="69" t="s">
        <v>417</v>
      </c>
      <c r="AJ3" s="69" t="s">
        <v>415</v>
      </c>
    </row>
    <row r="4" spans="1:36" ht="42.6" customHeight="1">
      <c r="A4" s="69"/>
      <c r="B4" s="67" t="s">
        <v>368</v>
      </c>
      <c r="C4" s="67" t="s">
        <v>369</v>
      </c>
      <c r="D4" s="67" t="s">
        <v>408</v>
      </c>
      <c r="E4" s="67" t="s">
        <v>16</v>
      </c>
      <c r="F4" s="67" t="s">
        <v>368</v>
      </c>
      <c r="G4" s="67" t="s">
        <v>369</v>
      </c>
      <c r="H4" s="67" t="s">
        <v>408</v>
      </c>
      <c r="I4" s="67" t="s">
        <v>16</v>
      </c>
      <c r="J4" s="67" t="s">
        <v>368</v>
      </c>
      <c r="K4" s="67" t="s">
        <v>369</v>
      </c>
      <c r="L4" s="67" t="s">
        <v>408</v>
      </c>
      <c r="M4" s="67" t="s">
        <v>16</v>
      </c>
      <c r="N4" s="67" t="s">
        <v>368</v>
      </c>
      <c r="O4" s="67" t="s">
        <v>369</v>
      </c>
      <c r="P4" s="67" t="s">
        <v>408</v>
      </c>
      <c r="Q4" s="67" t="s">
        <v>16</v>
      </c>
      <c r="R4" s="67" t="s">
        <v>368</v>
      </c>
      <c r="S4" s="67" t="s">
        <v>369</v>
      </c>
      <c r="T4" s="67" t="s">
        <v>408</v>
      </c>
      <c r="U4" s="67" t="s">
        <v>16</v>
      </c>
      <c r="V4" s="67" t="s">
        <v>368</v>
      </c>
      <c r="W4" s="67" t="s">
        <v>369</v>
      </c>
      <c r="X4" s="67" t="s">
        <v>408</v>
      </c>
      <c r="Y4" s="67" t="s">
        <v>16</v>
      </c>
      <c r="Z4" s="72"/>
      <c r="AA4" s="71"/>
      <c r="AB4" s="69"/>
      <c r="AC4" s="69"/>
      <c r="AD4" s="69"/>
      <c r="AE4" s="69"/>
      <c r="AF4" s="69"/>
      <c r="AG4" s="69"/>
      <c r="AH4" s="69"/>
      <c r="AI4" s="69"/>
      <c r="AJ4" s="69"/>
    </row>
    <row r="5" spans="1:36" s="20" customFormat="1" ht="13.95" customHeight="1">
      <c r="A5" s="26">
        <v>1</v>
      </c>
      <c r="B5" s="26">
        <v>2</v>
      </c>
      <c r="C5" s="26">
        <v>3</v>
      </c>
      <c r="D5" s="26" t="s">
        <v>388</v>
      </c>
      <c r="E5" s="26">
        <v>5</v>
      </c>
      <c r="F5" s="26">
        <v>6</v>
      </c>
      <c r="G5" s="26">
        <v>7</v>
      </c>
      <c r="H5" s="26" t="s">
        <v>389</v>
      </c>
      <c r="I5" s="26">
        <v>9</v>
      </c>
      <c r="J5" s="26">
        <v>10</v>
      </c>
      <c r="K5" s="26">
        <v>11</v>
      </c>
      <c r="L5" s="26" t="s">
        <v>390</v>
      </c>
      <c r="M5" s="26">
        <v>13</v>
      </c>
      <c r="N5" s="26">
        <v>14</v>
      </c>
      <c r="O5" s="26">
        <v>15</v>
      </c>
      <c r="P5" s="26" t="s">
        <v>391</v>
      </c>
      <c r="Q5" s="26">
        <v>17</v>
      </c>
      <c r="R5" s="26">
        <v>18</v>
      </c>
      <c r="S5" s="26">
        <v>19</v>
      </c>
      <c r="T5" s="26" t="s">
        <v>396</v>
      </c>
      <c r="U5" s="26">
        <v>21</v>
      </c>
      <c r="V5" s="26">
        <v>22</v>
      </c>
      <c r="W5" s="26">
        <v>23</v>
      </c>
      <c r="X5" s="26" t="s">
        <v>397</v>
      </c>
      <c r="Y5" s="26">
        <v>25</v>
      </c>
      <c r="Z5" s="26">
        <v>26</v>
      </c>
      <c r="AA5" s="26">
        <v>27</v>
      </c>
      <c r="AB5" s="26" t="s">
        <v>410</v>
      </c>
      <c r="AC5" s="26" t="s">
        <v>411</v>
      </c>
      <c r="AD5" s="26" t="s">
        <v>412</v>
      </c>
      <c r="AE5" s="26">
        <v>31</v>
      </c>
      <c r="AF5" s="26" t="s">
        <v>413</v>
      </c>
      <c r="AG5" s="26">
        <v>33</v>
      </c>
      <c r="AH5" s="26" t="s">
        <v>414</v>
      </c>
      <c r="AI5" s="26">
        <v>35</v>
      </c>
      <c r="AJ5" s="26" t="s">
        <v>416</v>
      </c>
    </row>
    <row r="6" spans="1:36" s="3" customFormat="1" ht="16.95" customHeight="1">
      <c r="A6" s="37" t="s">
        <v>4</v>
      </c>
      <c r="B6" s="35">
        <f>SUM(B7:B16)</f>
        <v>68400309</v>
      </c>
      <c r="C6" s="35">
        <f>SUM(C7:C16)</f>
        <v>71417915.099999994</v>
      </c>
      <c r="D6" s="6">
        <f>IF(C6/B6&gt;1.2,IF((C6/B6-1.2)*0.1+1.2&gt;1.3,1.3,(C6/B6-1.2)*0.1+1.2),C6/B6)</f>
        <v>1.0441168489458139</v>
      </c>
      <c r="E6" s="22"/>
      <c r="F6" s="38"/>
      <c r="G6" s="38"/>
      <c r="H6" s="6"/>
      <c r="I6" s="22"/>
      <c r="J6" s="39"/>
      <c r="K6" s="39"/>
      <c r="L6" s="39"/>
      <c r="M6" s="22"/>
      <c r="N6" s="35">
        <f>SUM(N7:N16)</f>
        <v>2974734.6</v>
      </c>
      <c r="O6" s="35">
        <f>SUM(O7:O16)</f>
        <v>2339746.9999999995</v>
      </c>
      <c r="P6" s="6">
        <f>IF(O6/N6&gt;1.2,IF((O6/N6-1.2)*0.1+1.2&gt;1.3,1.3,(O6/N6-1.2)*0.1+1.2),O6/N6)</f>
        <v>0.78653974710886798</v>
      </c>
      <c r="Q6" s="22"/>
      <c r="R6" s="39"/>
      <c r="S6" s="39"/>
      <c r="T6" s="39"/>
      <c r="U6" s="22"/>
      <c r="V6" s="39"/>
      <c r="W6" s="40"/>
      <c r="X6" s="40"/>
      <c r="Y6" s="22"/>
      <c r="Z6" s="23"/>
      <c r="AA6" s="21">
        <f>SUM(AA7:AA16)</f>
        <v>2046413</v>
      </c>
      <c r="AB6" s="35">
        <f>SUM(AB7:AB16)</f>
        <v>186037.54545454544</v>
      </c>
      <c r="AC6" s="35">
        <f>SUM(AC7:AC16)</f>
        <v>172826.39999999997</v>
      </c>
      <c r="AD6" s="35">
        <f>SUM(AD7:AD16)</f>
        <v>-13211.145454545451</v>
      </c>
      <c r="AE6" s="35">
        <f t="shared" ref="AE6:AJ6" si="0">SUM(AE7:AE16)</f>
        <v>-6493.4</v>
      </c>
      <c r="AF6" s="35">
        <f t="shared" si="0"/>
        <v>166333</v>
      </c>
      <c r="AG6" s="35">
        <f t="shared" si="0"/>
        <v>1907.4</v>
      </c>
      <c r="AH6" s="35">
        <f t="shared" si="0"/>
        <v>164425.60000000001</v>
      </c>
      <c r="AI6" s="35">
        <f t="shared" si="0"/>
        <v>5273</v>
      </c>
      <c r="AJ6" s="35">
        <f t="shared" si="0"/>
        <v>159152.6</v>
      </c>
    </row>
    <row r="7" spans="1:36" s="2" customFormat="1" ht="16.95" customHeight="1">
      <c r="A7" s="12" t="s">
        <v>5</v>
      </c>
      <c r="B7" s="36">
        <v>20327625</v>
      </c>
      <c r="C7" s="36">
        <v>21001930</v>
      </c>
      <c r="D7" s="4">
        <f>IF(E7=0,0,IF(B7=0,1,IF(C7&lt;0,0,IF(C7/B7&gt;1.2,IF((C7/B7-1.2)*0.1+1.2&gt;1.3,1.3,(C7/B7-1.2)*0.1+1.2),C7/B7))))</f>
        <v>1.0331718535736467</v>
      </c>
      <c r="E7" s="11">
        <v>15</v>
      </c>
      <c r="F7" s="61" t="s">
        <v>394</v>
      </c>
      <c r="G7" s="61" t="s">
        <v>394</v>
      </c>
      <c r="H7" s="61" t="s">
        <v>394</v>
      </c>
      <c r="I7" s="61" t="s">
        <v>394</v>
      </c>
      <c r="J7" s="46">
        <v>3280</v>
      </c>
      <c r="K7" s="46">
        <v>4151</v>
      </c>
      <c r="L7" s="4">
        <f>IF(M7=0,0,IF(J7=0,1,IF(K7&lt;0,0,IF(J7/K7&gt;1.2,IF((J7/K7-1.2)*0.1+1.2&gt;1.3,1.3,(J7/K7-1.2)*0.1+1.2),J7/K7))))</f>
        <v>0.79017104312213926</v>
      </c>
      <c r="M7" s="11">
        <v>5</v>
      </c>
      <c r="N7" s="36">
        <v>1667641.1</v>
      </c>
      <c r="O7" s="36">
        <v>1327236.8</v>
      </c>
      <c r="P7" s="4">
        <f>IF(Q7=0,0,IF(N7=0,1,IF(O7&lt;0,0,IF(O7/N7&gt;1.2,IF((O7/N7-1.2)*0.1+1.2&gt;1.3,1.3,(O7/N7-1.2)*0.1+1.2),O7/N7))))</f>
        <v>0.79587676269192453</v>
      </c>
      <c r="Q7" s="11">
        <v>20</v>
      </c>
      <c r="R7" s="5" t="s">
        <v>370</v>
      </c>
      <c r="S7" s="5" t="s">
        <v>370</v>
      </c>
      <c r="T7" s="5" t="s">
        <v>370</v>
      </c>
      <c r="U7" s="5" t="s">
        <v>370</v>
      </c>
      <c r="V7" s="5" t="s">
        <v>370</v>
      </c>
      <c r="W7" s="5" t="s">
        <v>370</v>
      </c>
      <c r="X7" s="5" t="s">
        <v>370</v>
      </c>
      <c r="Y7" s="5" t="s">
        <v>370</v>
      </c>
      <c r="Z7" s="45">
        <f>(D7*E7+L7*M7+P7*Q7)/(E7+M7+Q7)</f>
        <v>0.88414920682634723</v>
      </c>
      <c r="AA7" s="46">
        <v>399802</v>
      </c>
      <c r="AB7" s="36">
        <f>AA7/11</f>
        <v>36345.63636363636</v>
      </c>
      <c r="AC7" s="36">
        <f>ROUND(Z7*AB7,1)</f>
        <v>32135</v>
      </c>
      <c r="AD7" s="36">
        <f>AC7-AB7</f>
        <v>-4210.6363636363603</v>
      </c>
      <c r="AE7" s="36">
        <v>3.1</v>
      </c>
      <c r="AF7" s="36">
        <f>IF((AC7+AE7)&gt;0,ROUND(AC7+AE7,1),0)</f>
        <v>32138.1</v>
      </c>
      <c r="AG7" s="36"/>
      <c r="AH7" s="36">
        <f>IF((AF7-AG7)&gt;0,ROUND(AF7-AG7,1),0)</f>
        <v>32138.1</v>
      </c>
      <c r="AI7" s="36"/>
      <c r="AJ7" s="36">
        <f>IF((AH7-AI7)&gt;0,ROUND(AH7-AI7,1),0)</f>
        <v>32138.1</v>
      </c>
    </row>
    <row r="8" spans="1:36" s="2" customFormat="1" ht="16.95" customHeight="1">
      <c r="A8" s="12" t="s">
        <v>6</v>
      </c>
      <c r="B8" s="36">
        <v>32659911</v>
      </c>
      <c r="C8" s="36">
        <v>35363211</v>
      </c>
      <c r="D8" s="4">
        <f t="shared" ref="D8:D16" si="1">IF(E8=0,0,IF(B8=0,1,IF(C8&lt;0,0,IF(C8/B8&gt;1.2,IF((C8/B8-1.2)*0.1+1.2&gt;1.3,1.3,(C8/B8-1.2)*0.1+1.2),C8/B8))))</f>
        <v>1.0827711992234148</v>
      </c>
      <c r="E8" s="11">
        <v>15</v>
      </c>
      <c r="F8" s="61" t="s">
        <v>394</v>
      </c>
      <c r="G8" s="61" t="s">
        <v>394</v>
      </c>
      <c r="H8" s="61" t="s">
        <v>394</v>
      </c>
      <c r="I8" s="61" t="s">
        <v>394</v>
      </c>
      <c r="J8" s="46">
        <v>6000</v>
      </c>
      <c r="K8" s="46">
        <v>6325</v>
      </c>
      <c r="L8" s="4">
        <f t="shared" ref="L8:L16" si="2">IF(M8=0,0,IF(J8=0,1,IF(K8&lt;0,0,IF(J8/K8&gt;1.2,IF((J8/K8-1.2)*0.1+1.2&gt;1.3,1.3,(J8/K8-1.2)*0.1+1.2),J8/K8))))</f>
        <v>0.9486166007905138</v>
      </c>
      <c r="M8" s="11">
        <v>15</v>
      </c>
      <c r="N8" s="36">
        <v>780424.3</v>
      </c>
      <c r="O8" s="36">
        <v>577085.1</v>
      </c>
      <c r="P8" s="4">
        <f t="shared" ref="P8:P16" si="3">IF(Q8=0,0,IF(N8=0,1,IF(O8&lt;0,0,IF(O8/N8&gt;1.2,IF((O8/N8-1.2)*0.1+1.2&gt;1.3,1.3,(O8/N8-1.2)*0.1+1.2),O8/N8))))</f>
        <v>0.7394504502230389</v>
      </c>
      <c r="Q8" s="11">
        <v>20</v>
      </c>
      <c r="R8" s="5" t="s">
        <v>370</v>
      </c>
      <c r="S8" s="5" t="s">
        <v>370</v>
      </c>
      <c r="T8" s="5" t="s">
        <v>370</v>
      </c>
      <c r="U8" s="5" t="s">
        <v>370</v>
      </c>
      <c r="V8" s="5" t="s">
        <v>370</v>
      </c>
      <c r="W8" s="5" t="s">
        <v>370</v>
      </c>
      <c r="X8" s="5" t="s">
        <v>370</v>
      </c>
      <c r="Y8" s="5" t="s">
        <v>370</v>
      </c>
      <c r="Z8" s="45">
        <f t="shared" ref="Z8:Z16" si="4">(D8*E8+L8*M8+P8*Q8)/(E8+M8+Q8)</f>
        <v>0.90519652009339413</v>
      </c>
      <c r="AA8" s="46">
        <v>264210</v>
      </c>
      <c r="AB8" s="36">
        <f t="shared" ref="AB8:AB16" si="5">AA8/11</f>
        <v>24019.090909090908</v>
      </c>
      <c r="AC8" s="36">
        <f t="shared" ref="AC8:AC16" si="6">ROUND(Z8*AB8,1)</f>
        <v>21742</v>
      </c>
      <c r="AD8" s="36">
        <f t="shared" ref="AD8:AD16" si="7">AC8-AB8</f>
        <v>-2277.0909090909081</v>
      </c>
      <c r="AE8" s="36">
        <v>2396.9</v>
      </c>
      <c r="AF8" s="36">
        <f t="shared" ref="AF8:AF16" si="8">IF((AC8+AE8)&gt;0,ROUND(AC8+AE8,1),0)</f>
        <v>24138.9</v>
      </c>
      <c r="AG8" s="36"/>
      <c r="AH8" s="36">
        <f t="shared" ref="AH8:AH16" si="9">IF((AF8-AG8)&gt;0,ROUND(AF8-AG8,1),0)</f>
        <v>24138.9</v>
      </c>
      <c r="AI8" s="36">
        <v>5273</v>
      </c>
      <c r="AJ8" s="36">
        <f t="shared" ref="AJ8:AJ16" si="10">IF((AH8-AI8)&gt;0,ROUND(AH8-AI8,1),0)</f>
        <v>18865.900000000001</v>
      </c>
    </row>
    <row r="9" spans="1:36" s="2" customFormat="1" ht="16.95" customHeight="1">
      <c r="A9" s="12" t="s">
        <v>7</v>
      </c>
      <c r="B9" s="36">
        <v>3607227</v>
      </c>
      <c r="C9" s="36">
        <v>3935742</v>
      </c>
      <c r="D9" s="4">
        <f t="shared" si="1"/>
        <v>1.0910713409497101</v>
      </c>
      <c r="E9" s="11">
        <v>20</v>
      </c>
      <c r="F9" s="61" t="s">
        <v>394</v>
      </c>
      <c r="G9" s="61" t="s">
        <v>394</v>
      </c>
      <c r="H9" s="61" t="s">
        <v>394</v>
      </c>
      <c r="I9" s="61" t="s">
        <v>394</v>
      </c>
      <c r="J9" s="46">
        <v>760</v>
      </c>
      <c r="K9" s="46">
        <v>698</v>
      </c>
      <c r="L9" s="4">
        <f t="shared" si="2"/>
        <v>1.0888252148997135</v>
      </c>
      <c r="M9" s="11">
        <v>5</v>
      </c>
      <c r="N9" s="36">
        <v>156049</v>
      </c>
      <c r="O9" s="36">
        <v>121657.3</v>
      </c>
      <c r="P9" s="4">
        <f t="shared" si="3"/>
        <v>0.77960960980204941</v>
      </c>
      <c r="Q9" s="11">
        <v>20</v>
      </c>
      <c r="R9" s="5" t="s">
        <v>370</v>
      </c>
      <c r="S9" s="5" t="s">
        <v>370</v>
      </c>
      <c r="T9" s="5" t="s">
        <v>370</v>
      </c>
      <c r="U9" s="5" t="s">
        <v>370</v>
      </c>
      <c r="V9" s="5" t="s">
        <v>370</v>
      </c>
      <c r="W9" s="5" t="s">
        <v>370</v>
      </c>
      <c r="X9" s="5" t="s">
        <v>370</v>
      </c>
      <c r="Y9" s="5" t="s">
        <v>370</v>
      </c>
      <c r="Z9" s="45">
        <f t="shared" si="4"/>
        <v>0.95239433532297257</v>
      </c>
      <c r="AA9" s="46">
        <v>332817</v>
      </c>
      <c r="AB9" s="36">
        <f t="shared" si="5"/>
        <v>30256.090909090908</v>
      </c>
      <c r="AC9" s="36">
        <f t="shared" si="6"/>
        <v>28815.7</v>
      </c>
      <c r="AD9" s="36">
        <f t="shared" si="7"/>
        <v>-1440.3909090909074</v>
      </c>
      <c r="AE9" s="36">
        <v>-3449</v>
      </c>
      <c r="AF9" s="36">
        <f t="shared" si="8"/>
        <v>25366.7</v>
      </c>
      <c r="AG9" s="36"/>
      <c r="AH9" s="36">
        <f t="shared" si="9"/>
        <v>25366.7</v>
      </c>
      <c r="AI9" s="36"/>
      <c r="AJ9" s="36">
        <f t="shared" si="10"/>
        <v>25366.7</v>
      </c>
    </row>
    <row r="10" spans="1:36" s="2" customFormat="1" ht="16.95" customHeight="1">
      <c r="A10" s="12" t="s">
        <v>8</v>
      </c>
      <c r="B10" s="36">
        <v>6630908</v>
      </c>
      <c r="C10" s="36">
        <v>6039334.7999999998</v>
      </c>
      <c r="D10" s="4">
        <f t="shared" si="1"/>
        <v>0.91078549121779395</v>
      </c>
      <c r="E10" s="11">
        <v>20</v>
      </c>
      <c r="F10" s="61" t="s">
        <v>394</v>
      </c>
      <c r="G10" s="61" t="s">
        <v>394</v>
      </c>
      <c r="H10" s="61" t="s">
        <v>394</v>
      </c>
      <c r="I10" s="61" t="s">
        <v>394</v>
      </c>
      <c r="J10" s="46">
        <v>460</v>
      </c>
      <c r="K10" s="46">
        <v>453</v>
      </c>
      <c r="L10" s="4">
        <f t="shared" si="2"/>
        <v>1.0154525386313467</v>
      </c>
      <c r="M10" s="11">
        <v>10</v>
      </c>
      <c r="N10" s="36">
        <v>144596.79999999999</v>
      </c>
      <c r="O10" s="36">
        <v>127919.7</v>
      </c>
      <c r="P10" s="4">
        <f t="shared" si="3"/>
        <v>0.88466480586015739</v>
      </c>
      <c r="Q10" s="11">
        <v>20</v>
      </c>
      <c r="R10" s="5" t="s">
        <v>370</v>
      </c>
      <c r="S10" s="5" t="s">
        <v>370</v>
      </c>
      <c r="T10" s="5" t="s">
        <v>370</v>
      </c>
      <c r="U10" s="5" t="s">
        <v>370</v>
      </c>
      <c r="V10" s="5" t="s">
        <v>370</v>
      </c>
      <c r="W10" s="5" t="s">
        <v>370</v>
      </c>
      <c r="X10" s="5" t="s">
        <v>370</v>
      </c>
      <c r="Y10" s="5" t="s">
        <v>370</v>
      </c>
      <c r="Z10" s="45">
        <f t="shared" si="4"/>
        <v>0.92127062655744996</v>
      </c>
      <c r="AA10" s="46">
        <v>169631</v>
      </c>
      <c r="AB10" s="36">
        <f t="shared" si="5"/>
        <v>15421</v>
      </c>
      <c r="AC10" s="36">
        <f t="shared" si="6"/>
        <v>14206.9</v>
      </c>
      <c r="AD10" s="36">
        <f t="shared" si="7"/>
        <v>-1214.1000000000004</v>
      </c>
      <c r="AE10" s="36">
        <v>1115.5</v>
      </c>
      <c r="AF10" s="36">
        <f t="shared" si="8"/>
        <v>15322.4</v>
      </c>
      <c r="AG10" s="36">
        <f>MIN(AF10,1907.4)</f>
        <v>1907.4</v>
      </c>
      <c r="AH10" s="36">
        <f t="shared" si="9"/>
        <v>13415</v>
      </c>
      <c r="AI10" s="36"/>
      <c r="AJ10" s="36">
        <f t="shared" si="10"/>
        <v>13415</v>
      </c>
    </row>
    <row r="11" spans="1:36" s="2" customFormat="1" ht="16.95" customHeight="1">
      <c r="A11" s="12" t="s">
        <v>9</v>
      </c>
      <c r="B11" s="36">
        <v>737100</v>
      </c>
      <c r="C11" s="36">
        <v>777745.3</v>
      </c>
      <c r="D11" s="4">
        <f t="shared" si="1"/>
        <v>1.0551421788088455</v>
      </c>
      <c r="E11" s="11">
        <v>20</v>
      </c>
      <c r="F11" s="61" t="s">
        <v>394</v>
      </c>
      <c r="G11" s="61" t="s">
        <v>394</v>
      </c>
      <c r="H11" s="61" t="s">
        <v>394</v>
      </c>
      <c r="I11" s="61" t="s">
        <v>394</v>
      </c>
      <c r="J11" s="46">
        <v>390</v>
      </c>
      <c r="K11" s="46">
        <v>415</v>
      </c>
      <c r="L11" s="4">
        <f t="shared" si="2"/>
        <v>0.93975903614457834</v>
      </c>
      <c r="M11" s="11">
        <v>10</v>
      </c>
      <c r="N11" s="36">
        <v>73885.399999999994</v>
      </c>
      <c r="O11" s="36">
        <v>35294</v>
      </c>
      <c r="P11" s="4">
        <f t="shared" si="3"/>
        <v>0.4776857132802963</v>
      </c>
      <c r="Q11" s="11">
        <v>20</v>
      </c>
      <c r="R11" s="5" t="s">
        <v>370</v>
      </c>
      <c r="S11" s="5" t="s">
        <v>370</v>
      </c>
      <c r="T11" s="5" t="s">
        <v>370</v>
      </c>
      <c r="U11" s="5" t="s">
        <v>370</v>
      </c>
      <c r="V11" s="5" t="s">
        <v>370</v>
      </c>
      <c r="W11" s="5" t="s">
        <v>370</v>
      </c>
      <c r="X11" s="5" t="s">
        <v>370</v>
      </c>
      <c r="Y11" s="5" t="s">
        <v>370</v>
      </c>
      <c r="Z11" s="45">
        <f t="shared" si="4"/>
        <v>0.80108296406457247</v>
      </c>
      <c r="AA11" s="46">
        <v>186688</v>
      </c>
      <c r="AB11" s="36">
        <f t="shared" si="5"/>
        <v>16971.636363636364</v>
      </c>
      <c r="AC11" s="36">
        <f t="shared" si="6"/>
        <v>13595.7</v>
      </c>
      <c r="AD11" s="36">
        <f t="shared" si="7"/>
        <v>-3375.9363636363632</v>
      </c>
      <c r="AE11" s="36">
        <v>-5253.3</v>
      </c>
      <c r="AF11" s="36">
        <f t="shared" si="8"/>
        <v>8342.4</v>
      </c>
      <c r="AG11" s="36"/>
      <c r="AH11" s="36">
        <f t="shared" si="9"/>
        <v>8342.4</v>
      </c>
      <c r="AI11" s="36"/>
      <c r="AJ11" s="36">
        <f t="shared" si="10"/>
        <v>8342.4</v>
      </c>
    </row>
    <row r="12" spans="1:36" s="2" customFormat="1" ht="16.95" customHeight="1">
      <c r="A12" s="12" t="s">
        <v>10</v>
      </c>
      <c r="B12" s="36">
        <v>1693391</v>
      </c>
      <c r="C12" s="36">
        <v>1506684.6</v>
      </c>
      <c r="D12" s="4">
        <f t="shared" si="1"/>
        <v>0.88974406973935738</v>
      </c>
      <c r="E12" s="11">
        <v>20</v>
      </c>
      <c r="F12" s="61" t="s">
        <v>394</v>
      </c>
      <c r="G12" s="61" t="s">
        <v>394</v>
      </c>
      <c r="H12" s="61" t="s">
        <v>394</v>
      </c>
      <c r="I12" s="61" t="s">
        <v>394</v>
      </c>
      <c r="J12" s="46">
        <v>330</v>
      </c>
      <c r="K12" s="46">
        <v>358</v>
      </c>
      <c r="L12" s="4">
        <f t="shared" si="2"/>
        <v>0.92178770949720668</v>
      </c>
      <c r="M12" s="11">
        <v>15</v>
      </c>
      <c r="N12" s="36">
        <v>35884.300000000003</v>
      </c>
      <c r="O12" s="36">
        <v>36336.199999999997</v>
      </c>
      <c r="P12" s="4">
        <f t="shared" si="3"/>
        <v>1.0125932510875228</v>
      </c>
      <c r="Q12" s="11">
        <v>20</v>
      </c>
      <c r="R12" s="5" t="s">
        <v>370</v>
      </c>
      <c r="S12" s="5" t="s">
        <v>370</v>
      </c>
      <c r="T12" s="5" t="s">
        <v>370</v>
      </c>
      <c r="U12" s="5" t="s">
        <v>370</v>
      </c>
      <c r="V12" s="5" t="s">
        <v>370</v>
      </c>
      <c r="W12" s="5" t="s">
        <v>370</v>
      </c>
      <c r="X12" s="5" t="s">
        <v>370</v>
      </c>
      <c r="Y12" s="5" t="s">
        <v>370</v>
      </c>
      <c r="Z12" s="45">
        <f t="shared" si="4"/>
        <v>0.94315567379992182</v>
      </c>
      <c r="AA12" s="46">
        <v>109979</v>
      </c>
      <c r="AB12" s="36">
        <f t="shared" si="5"/>
        <v>9998.0909090909099</v>
      </c>
      <c r="AC12" s="36">
        <f t="shared" si="6"/>
        <v>9429.7999999999993</v>
      </c>
      <c r="AD12" s="36">
        <f t="shared" si="7"/>
        <v>-568.29090909091065</v>
      </c>
      <c r="AE12" s="36">
        <v>622.6</v>
      </c>
      <c r="AF12" s="36">
        <f t="shared" si="8"/>
        <v>10052.4</v>
      </c>
      <c r="AG12" s="36"/>
      <c r="AH12" s="36">
        <f t="shared" si="9"/>
        <v>10052.4</v>
      </c>
      <c r="AI12" s="36"/>
      <c r="AJ12" s="36">
        <f t="shared" si="10"/>
        <v>10052.4</v>
      </c>
    </row>
    <row r="13" spans="1:36" s="2" customFormat="1" ht="16.95" customHeight="1">
      <c r="A13" s="12" t="s">
        <v>11</v>
      </c>
      <c r="B13" s="36">
        <v>2181956</v>
      </c>
      <c r="C13" s="36">
        <v>2292488.7999999998</v>
      </c>
      <c r="D13" s="4">
        <f t="shared" si="1"/>
        <v>1.0506576667907144</v>
      </c>
      <c r="E13" s="11">
        <v>20</v>
      </c>
      <c r="F13" s="61" t="s">
        <v>394</v>
      </c>
      <c r="G13" s="61" t="s">
        <v>394</v>
      </c>
      <c r="H13" s="61" t="s">
        <v>394</v>
      </c>
      <c r="I13" s="61" t="s">
        <v>394</v>
      </c>
      <c r="J13" s="46">
        <v>515</v>
      </c>
      <c r="K13" s="46">
        <v>510</v>
      </c>
      <c r="L13" s="4">
        <f t="shared" si="2"/>
        <v>1.0098039215686274</v>
      </c>
      <c r="M13" s="11">
        <v>10</v>
      </c>
      <c r="N13" s="36">
        <v>52207.1</v>
      </c>
      <c r="O13" s="36">
        <v>32508.9</v>
      </c>
      <c r="P13" s="4">
        <f t="shared" si="3"/>
        <v>0.62269116652715828</v>
      </c>
      <c r="Q13" s="11">
        <v>20</v>
      </c>
      <c r="R13" s="5" t="s">
        <v>370</v>
      </c>
      <c r="S13" s="5" t="s">
        <v>370</v>
      </c>
      <c r="T13" s="5" t="s">
        <v>370</v>
      </c>
      <c r="U13" s="5" t="s">
        <v>370</v>
      </c>
      <c r="V13" s="5" t="s">
        <v>370</v>
      </c>
      <c r="W13" s="5" t="s">
        <v>370</v>
      </c>
      <c r="X13" s="5" t="s">
        <v>370</v>
      </c>
      <c r="Y13" s="5" t="s">
        <v>370</v>
      </c>
      <c r="Z13" s="45">
        <f t="shared" si="4"/>
        <v>0.87130031764087446</v>
      </c>
      <c r="AA13" s="46">
        <v>172246</v>
      </c>
      <c r="AB13" s="36">
        <f t="shared" si="5"/>
        <v>15658.727272727272</v>
      </c>
      <c r="AC13" s="36">
        <f t="shared" si="6"/>
        <v>13643.5</v>
      </c>
      <c r="AD13" s="36">
        <f t="shared" si="7"/>
        <v>-2015.2272727272721</v>
      </c>
      <c r="AE13" s="36">
        <v>498.7</v>
      </c>
      <c r="AF13" s="36">
        <f t="shared" si="8"/>
        <v>14142.2</v>
      </c>
      <c r="AG13" s="36"/>
      <c r="AH13" s="36">
        <f t="shared" si="9"/>
        <v>14142.2</v>
      </c>
      <c r="AI13" s="36"/>
      <c r="AJ13" s="36">
        <f t="shared" si="10"/>
        <v>14142.2</v>
      </c>
    </row>
    <row r="14" spans="1:36" s="2" customFormat="1" ht="16.95" customHeight="1">
      <c r="A14" s="12" t="s">
        <v>12</v>
      </c>
      <c r="B14" s="36">
        <v>57461</v>
      </c>
      <c r="C14" s="36">
        <v>72105.7</v>
      </c>
      <c r="D14" s="4">
        <f t="shared" si="1"/>
        <v>1.2054863298585128</v>
      </c>
      <c r="E14" s="11">
        <v>20</v>
      </c>
      <c r="F14" s="61" t="s">
        <v>394</v>
      </c>
      <c r="G14" s="61" t="s">
        <v>394</v>
      </c>
      <c r="H14" s="61" t="s">
        <v>394</v>
      </c>
      <c r="I14" s="61" t="s">
        <v>394</v>
      </c>
      <c r="J14" s="46">
        <v>240</v>
      </c>
      <c r="K14" s="46">
        <v>275</v>
      </c>
      <c r="L14" s="4">
        <f t="shared" si="2"/>
        <v>0.87272727272727268</v>
      </c>
      <c r="M14" s="11">
        <v>15</v>
      </c>
      <c r="N14" s="36">
        <v>10368.700000000001</v>
      </c>
      <c r="O14" s="36">
        <v>12818.9</v>
      </c>
      <c r="P14" s="4">
        <f t="shared" si="3"/>
        <v>1.2036307348076423</v>
      </c>
      <c r="Q14" s="11">
        <v>20</v>
      </c>
      <c r="R14" s="5" t="s">
        <v>370</v>
      </c>
      <c r="S14" s="5" t="s">
        <v>370</v>
      </c>
      <c r="T14" s="5" t="s">
        <v>370</v>
      </c>
      <c r="U14" s="5" t="s">
        <v>370</v>
      </c>
      <c r="V14" s="5" t="s">
        <v>370</v>
      </c>
      <c r="W14" s="5" t="s">
        <v>370</v>
      </c>
      <c r="X14" s="5" t="s">
        <v>370</v>
      </c>
      <c r="Y14" s="5" t="s">
        <v>370</v>
      </c>
      <c r="Z14" s="45">
        <f t="shared" si="4"/>
        <v>1.1140590978951308</v>
      </c>
      <c r="AA14" s="46">
        <v>124014</v>
      </c>
      <c r="AB14" s="36">
        <f t="shared" si="5"/>
        <v>11274</v>
      </c>
      <c r="AC14" s="36">
        <f t="shared" si="6"/>
        <v>12559.9</v>
      </c>
      <c r="AD14" s="36">
        <f t="shared" si="7"/>
        <v>1285.8999999999996</v>
      </c>
      <c r="AE14" s="36">
        <v>-1075.7</v>
      </c>
      <c r="AF14" s="36">
        <f t="shared" si="8"/>
        <v>11484.2</v>
      </c>
      <c r="AG14" s="36"/>
      <c r="AH14" s="36">
        <f t="shared" si="9"/>
        <v>11484.2</v>
      </c>
      <c r="AI14" s="36"/>
      <c r="AJ14" s="36">
        <f t="shared" si="10"/>
        <v>11484.2</v>
      </c>
    </row>
    <row r="15" spans="1:36" s="2" customFormat="1" ht="16.95" customHeight="1">
      <c r="A15" s="12" t="s">
        <v>13</v>
      </c>
      <c r="B15" s="36">
        <v>469874</v>
      </c>
      <c r="C15" s="36">
        <v>380620.9</v>
      </c>
      <c r="D15" s="4">
        <f t="shared" si="1"/>
        <v>0.81004886416358435</v>
      </c>
      <c r="E15" s="11">
        <v>20</v>
      </c>
      <c r="F15" s="61" t="s">
        <v>394</v>
      </c>
      <c r="G15" s="61" t="s">
        <v>394</v>
      </c>
      <c r="H15" s="61" t="s">
        <v>394</v>
      </c>
      <c r="I15" s="61" t="s">
        <v>394</v>
      </c>
      <c r="J15" s="46">
        <v>460</v>
      </c>
      <c r="K15" s="46">
        <v>437</v>
      </c>
      <c r="L15" s="4">
        <f t="shared" si="2"/>
        <v>1.0526315789473684</v>
      </c>
      <c r="M15" s="11">
        <v>10</v>
      </c>
      <c r="N15" s="36">
        <v>34015</v>
      </c>
      <c r="O15" s="36">
        <v>32065.8</v>
      </c>
      <c r="P15" s="4">
        <f t="shared" si="3"/>
        <v>0.94269586946935169</v>
      </c>
      <c r="Q15" s="11">
        <v>20</v>
      </c>
      <c r="R15" s="5" t="s">
        <v>370</v>
      </c>
      <c r="S15" s="5" t="s">
        <v>370</v>
      </c>
      <c r="T15" s="5" t="s">
        <v>370</v>
      </c>
      <c r="U15" s="5" t="s">
        <v>370</v>
      </c>
      <c r="V15" s="5" t="s">
        <v>370</v>
      </c>
      <c r="W15" s="5" t="s">
        <v>370</v>
      </c>
      <c r="X15" s="5" t="s">
        <v>370</v>
      </c>
      <c r="Y15" s="5" t="s">
        <v>370</v>
      </c>
      <c r="Z15" s="45">
        <f t="shared" si="4"/>
        <v>0.91162420924264809</v>
      </c>
      <c r="AA15" s="46">
        <v>182831</v>
      </c>
      <c r="AB15" s="36">
        <f t="shared" si="5"/>
        <v>16621</v>
      </c>
      <c r="AC15" s="36">
        <f t="shared" si="6"/>
        <v>15152.1</v>
      </c>
      <c r="AD15" s="36">
        <f t="shared" si="7"/>
        <v>-1468.8999999999996</v>
      </c>
      <c r="AE15" s="36">
        <v>-2960.5</v>
      </c>
      <c r="AF15" s="36">
        <f t="shared" si="8"/>
        <v>12191.6</v>
      </c>
      <c r="AG15" s="36"/>
      <c r="AH15" s="36">
        <f t="shared" si="9"/>
        <v>12191.6</v>
      </c>
      <c r="AI15" s="36"/>
      <c r="AJ15" s="36">
        <f t="shared" si="10"/>
        <v>12191.6</v>
      </c>
    </row>
    <row r="16" spans="1:36" s="2" customFormat="1" ht="16.95" customHeight="1">
      <c r="A16" s="12" t="s">
        <v>14</v>
      </c>
      <c r="B16" s="36">
        <v>34856</v>
      </c>
      <c r="C16" s="36">
        <v>48052</v>
      </c>
      <c r="D16" s="4">
        <f t="shared" si="1"/>
        <v>1.2178586183153546</v>
      </c>
      <c r="E16" s="11">
        <v>20</v>
      </c>
      <c r="F16" s="61" t="s">
        <v>394</v>
      </c>
      <c r="G16" s="61" t="s">
        <v>394</v>
      </c>
      <c r="H16" s="61" t="s">
        <v>394</v>
      </c>
      <c r="I16" s="61" t="s">
        <v>394</v>
      </c>
      <c r="J16" s="46">
        <v>190</v>
      </c>
      <c r="K16" s="46">
        <v>169</v>
      </c>
      <c r="L16" s="4">
        <f t="shared" si="2"/>
        <v>1.1242603550295858</v>
      </c>
      <c r="M16" s="11">
        <v>10</v>
      </c>
      <c r="N16" s="36">
        <v>19662.900000000001</v>
      </c>
      <c r="O16" s="36">
        <v>36824.300000000003</v>
      </c>
      <c r="P16" s="4">
        <f t="shared" si="3"/>
        <v>1.2672780719019066</v>
      </c>
      <c r="Q16" s="11">
        <v>20</v>
      </c>
      <c r="R16" s="5" t="s">
        <v>370</v>
      </c>
      <c r="S16" s="5" t="s">
        <v>370</v>
      </c>
      <c r="T16" s="5" t="s">
        <v>370</v>
      </c>
      <c r="U16" s="5" t="s">
        <v>370</v>
      </c>
      <c r="V16" s="5" t="s">
        <v>370</v>
      </c>
      <c r="W16" s="5" t="s">
        <v>370</v>
      </c>
      <c r="X16" s="5" t="s">
        <v>370</v>
      </c>
      <c r="Y16" s="5" t="s">
        <v>370</v>
      </c>
      <c r="Z16" s="45">
        <f t="shared" si="4"/>
        <v>1.2189067470928217</v>
      </c>
      <c r="AA16" s="46">
        <v>104195</v>
      </c>
      <c r="AB16" s="36">
        <f t="shared" si="5"/>
        <v>9472.2727272727279</v>
      </c>
      <c r="AC16" s="36">
        <f t="shared" si="6"/>
        <v>11545.8</v>
      </c>
      <c r="AD16" s="36">
        <f t="shared" si="7"/>
        <v>2073.5272727272713</v>
      </c>
      <c r="AE16" s="36">
        <v>1608.3</v>
      </c>
      <c r="AF16" s="36">
        <f t="shared" si="8"/>
        <v>13154.1</v>
      </c>
      <c r="AG16" s="36"/>
      <c r="AH16" s="36">
        <f t="shared" si="9"/>
        <v>13154.1</v>
      </c>
      <c r="AI16" s="36"/>
      <c r="AJ16" s="36">
        <f t="shared" si="10"/>
        <v>13154.1</v>
      </c>
    </row>
    <row r="17" spans="1:36" s="2" customFormat="1" ht="16.95" customHeight="1">
      <c r="A17" s="15" t="s">
        <v>20</v>
      </c>
      <c r="B17" s="35">
        <f>SUM(B18:B44)</f>
        <v>7105421</v>
      </c>
      <c r="C17" s="35">
        <f>SUM(C18:C44)</f>
        <v>7334726.2000000002</v>
      </c>
      <c r="D17" s="6">
        <f>IF(C17/B17&gt;1.2,IF((C17/B17-1.2)*0.1+1.2&gt;1.3,1.3,(C17/B17-1.2)*0.1+1.2),C17/B17)</f>
        <v>1.0322718667901594</v>
      </c>
      <c r="E17" s="22"/>
      <c r="F17" s="21"/>
      <c r="G17" s="21"/>
      <c r="H17" s="6"/>
      <c r="I17" s="22"/>
      <c r="J17" s="19"/>
      <c r="K17" s="19"/>
      <c r="L17" s="7"/>
      <c r="M17" s="22"/>
      <c r="N17" s="35">
        <f>SUM(N18:N44)</f>
        <v>516834.79999999993</v>
      </c>
      <c r="O17" s="35">
        <f>SUM(O18:O44)</f>
        <v>466339.8</v>
      </c>
      <c r="P17" s="6">
        <f>IF(O17/N17&gt;1.2,IF((O17/N17-1.2)*0.1+1.2&gt;1.3,1.3,(O17/N17-1.2)*0.1+1.2),O17/N17)</f>
        <v>0.90229953555759024</v>
      </c>
      <c r="Q17" s="22"/>
      <c r="R17" s="35">
        <f>SUM(R18:R44)</f>
        <v>13110.2</v>
      </c>
      <c r="S17" s="35">
        <f>SUM(S18:S44)</f>
        <v>14379.299999999997</v>
      </c>
      <c r="T17" s="6">
        <f>IF(S17/R17&gt;1.2,IF((S17/R17-1.2)*0.1+1.2&gt;1.3,1.3,(S17/R17-1.2)*0.1+1.2),S17/R17)</f>
        <v>1.0968024896645359</v>
      </c>
      <c r="U17" s="22"/>
      <c r="V17" s="35">
        <f>SUM(V18:V44)</f>
        <v>5511.0999999999995</v>
      </c>
      <c r="W17" s="35">
        <f>SUM(W18:W44)</f>
        <v>7114.6</v>
      </c>
      <c r="X17" s="6">
        <f>IF(W17/V17&gt;1.2,IF((W17/V17-1.2)*0.1+1.2&gt;1.3,1.3,(W17/V17-1.2)*0.1+1.2),W17/V17)</f>
        <v>1.2090958247899692</v>
      </c>
      <c r="Y17" s="22"/>
      <c r="Z17" s="23"/>
      <c r="AA17" s="21">
        <f>SUM(AA18:AA44)</f>
        <v>1012809</v>
      </c>
      <c r="AB17" s="35">
        <f>SUM(AB18:AB44)</f>
        <v>92073.545454545456</v>
      </c>
      <c r="AC17" s="35">
        <f>SUM(AC18:AC44)</f>
        <v>92912.400000000009</v>
      </c>
      <c r="AD17" s="35">
        <f>SUM(AD18:AD44)</f>
        <v>838.85454545454604</v>
      </c>
      <c r="AE17" s="35">
        <f t="shared" ref="AE17:AJ17" si="11">SUM(AE18:AE44)</f>
        <v>-5756.6000000000013</v>
      </c>
      <c r="AF17" s="35">
        <f t="shared" si="11"/>
        <v>87155.800000000017</v>
      </c>
      <c r="AG17" s="35">
        <f t="shared" si="11"/>
        <v>0</v>
      </c>
      <c r="AH17" s="35">
        <f t="shared" si="11"/>
        <v>87155.800000000017</v>
      </c>
      <c r="AI17" s="35">
        <f t="shared" si="11"/>
        <v>0</v>
      </c>
      <c r="AJ17" s="35">
        <f t="shared" si="11"/>
        <v>87155.800000000017</v>
      </c>
    </row>
    <row r="18" spans="1:36" s="2" customFormat="1" ht="16.95" customHeight="1">
      <c r="A18" s="13" t="s">
        <v>0</v>
      </c>
      <c r="B18" s="36">
        <v>5943</v>
      </c>
      <c r="C18" s="36">
        <v>5033.8999999999996</v>
      </c>
      <c r="D18" s="4">
        <f t="shared" ref="D18:D44" si="12">IF(E18=0,0,IF(B18=0,1,IF(C18&lt;0,0,IF(C18/B18&gt;1.2,IF((C18/B18-1.2)*0.1+1.2&gt;1.3,1.3,(C18/B18-1.2)*0.1+1.2),C18/B18))))</f>
        <v>0.84703011946828199</v>
      </c>
      <c r="E18" s="11">
        <v>10</v>
      </c>
      <c r="F18" s="61" t="s">
        <v>394</v>
      </c>
      <c r="G18" s="61" t="s">
        <v>394</v>
      </c>
      <c r="H18" s="61" t="s">
        <v>394</v>
      </c>
      <c r="I18" s="61" t="s">
        <v>394</v>
      </c>
      <c r="J18" s="46">
        <v>150</v>
      </c>
      <c r="K18" s="46">
        <v>135</v>
      </c>
      <c r="L18" s="4">
        <f t="shared" ref="L18:L44" si="13">IF(M18=0,0,IF(J18=0,1,IF(K18&lt;0,0,IF(J18/K18&gt;1.2,IF((J18/K18-1.2)*0.1+1.2&gt;1.3,1.3,(J18/K18-1.2)*0.1+1.2),J18/K18))))</f>
        <v>1.1111111111111112</v>
      </c>
      <c r="M18" s="11">
        <v>15</v>
      </c>
      <c r="N18" s="36">
        <v>6268.9</v>
      </c>
      <c r="O18" s="36">
        <v>3613.4</v>
      </c>
      <c r="P18" s="4">
        <f t="shared" ref="P18:P44" si="14">IF(Q18=0,0,IF(N18=0,1,IF(O18&lt;0,0,IF(O18/N18&gt;1.2,IF((O18/N18-1.2)*0.1+1.2&gt;1.3,1.3,(O18/N18-1.2)*0.1+1.2),O18/N18))))</f>
        <v>0.57640096348641712</v>
      </c>
      <c r="Q18" s="11">
        <v>20</v>
      </c>
      <c r="R18" s="36">
        <v>124</v>
      </c>
      <c r="S18" s="36">
        <v>128.30000000000001</v>
      </c>
      <c r="T18" s="4">
        <f>IF(U18=0,0,IF(R18=0,1,IF(S18&lt;0,0,IF(S18/R18&gt;1.2,IF((S18/R18-1.2)*0.1+1.2&gt;1.3,1.3,(S18/R18-1.2)*0.1+1.2),S18/R18))))</f>
        <v>1.0346774193548387</v>
      </c>
      <c r="U18" s="11">
        <v>10</v>
      </c>
      <c r="V18" s="36">
        <v>20</v>
      </c>
      <c r="W18" s="36">
        <v>18.899999999999999</v>
      </c>
      <c r="X18" s="4">
        <f>IF(Y18=0,0,IF(V18=0,1,IF(W18&lt;0,0,IF(W18/V18&gt;1.2,IF((W18/V18-1.2)*0.1+1.2&gt;1.3,1.3,(W18/V18-1.2)*0.1+1.2),W18/V18))))</f>
        <v>0.94499999999999995</v>
      </c>
      <c r="Y18" s="11">
        <v>10</v>
      </c>
      <c r="Z18" s="45">
        <f>(D18*E18+L18*M18+P18*Q18+T18*U18+X18*Y18)/(E18+M18+Q18+U18+Y18)</f>
        <v>0.86864248191732651</v>
      </c>
      <c r="AA18" s="46">
        <v>21927</v>
      </c>
      <c r="AB18" s="36">
        <f t="shared" ref="AB18:AB44" si="15">AA18/11</f>
        <v>1993.3636363636363</v>
      </c>
      <c r="AC18" s="36">
        <f t="shared" ref="AC18:AC44" si="16">ROUND(Z18*AB18,1)</f>
        <v>1731.5</v>
      </c>
      <c r="AD18" s="36">
        <f t="shared" ref="AD18:AD44" si="17">AC18-AB18</f>
        <v>-261.86363636363626</v>
      </c>
      <c r="AE18" s="36">
        <v>-143</v>
      </c>
      <c r="AF18" s="36">
        <f t="shared" ref="AF18:AF44" si="18">IF((AC18+AE18)&gt;0,ROUND(AC18+AE18,1),0)</f>
        <v>1588.5</v>
      </c>
      <c r="AG18" s="36"/>
      <c r="AH18" s="36">
        <f t="shared" ref="AH18:AH44" si="19">IF((AF18-AG18)&gt;0,ROUND(AF18-AG18,1),0)</f>
        <v>1588.5</v>
      </c>
      <c r="AI18" s="36"/>
      <c r="AJ18" s="36">
        <f t="shared" ref="AJ18:AJ44" si="20">IF((AH18-AI18)&gt;0,ROUND(AH18-AI18,1),0)</f>
        <v>1588.5</v>
      </c>
    </row>
    <row r="19" spans="1:36" s="2" customFormat="1" ht="16.95" customHeight="1">
      <c r="A19" s="13" t="s">
        <v>21</v>
      </c>
      <c r="B19" s="36">
        <v>813111</v>
      </c>
      <c r="C19" s="36">
        <v>980135.9</v>
      </c>
      <c r="D19" s="4">
        <f t="shared" si="12"/>
        <v>1.200541463588612</v>
      </c>
      <c r="E19" s="11">
        <v>10</v>
      </c>
      <c r="F19" s="61" t="s">
        <v>394</v>
      </c>
      <c r="G19" s="61" t="s">
        <v>394</v>
      </c>
      <c r="H19" s="61" t="s">
        <v>394</v>
      </c>
      <c r="I19" s="61" t="s">
        <v>394</v>
      </c>
      <c r="J19" s="46">
        <v>260</v>
      </c>
      <c r="K19" s="46">
        <v>240</v>
      </c>
      <c r="L19" s="4">
        <f t="shared" si="13"/>
        <v>1.0833333333333333</v>
      </c>
      <c r="M19" s="11">
        <v>5</v>
      </c>
      <c r="N19" s="36">
        <v>17841.599999999999</v>
      </c>
      <c r="O19" s="36">
        <v>24902.9</v>
      </c>
      <c r="P19" s="4">
        <f t="shared" si="14"/>
        <v>1.219577728454847</v>
      </c>
      <c r="Q19" s="11">
        <v>20</v>
      </c>
      <c r="R19" s="36">
        <v>635</v>
      </c>
      <c r="S19" s="36">
        <v>534.9</v>
      </c>
      <c r="T19" s="4">
        <f t="shared" ref="T19:T44" si="21">IF(U19=0,0,IF(R19=0,1,IF(S19&lt;0,0,IF(S19/R19&gt;1.2,IF((S19/R19-1.2)*0.1+1.2&gt;1.3,1.3,(S19/R19-1.2)*0.1+1.2),S19/R19))))</f>
        <v>0.84236220472440937</v>
      </c>
      <c r="U19" s="11">
        <v>5</v>
      </c>
      <c r="V19" s="36">
        <v>63.5</v>
      </c>
      <c r="W19" s="36">
        <v>67.5</v>
      </c>
      <c r="X19" s="4">
        <f t="shared" ref="X19:X44" si="22">IF(Y19=0,0,IF(V19=0,1,IF(W19&lt;0,0,IF(W19/V19&gt;1.2,IF((W19/V19-1.2)*0.1+1.2&gt;1.3,1.3,(W19/V19-1.2)*0.1+1.2),W19/V19))))</f>
        <v>1.0629921259842521</v>
      </c>
      <c r="Y19" s="11">
        <v>5</v>
      </c>
      <c r="Z19" s="45">
        <f t="shared" ref="Z19:Z44" si="23">(D19*E19+L19*M19+P19*Q19+T19*U19+X19*Y19)/(E19+M19+Q19+U19+Y19)</f>
        <v>1.1408979450042895</v>
      </c>
      <c r="AA19" s="46">
        <v>33179</v>
      </c>
      <c r="AB19" s="36">
        <f t="shared" si="15"/>
        <v>3016.2727272727275</v>
      </c>
      <c r="AC19" s="36">
        <f t="shared" si="16"/>
        <v>3441.3</v>
      </c>
      <c r="AD19" s="36">
        <f t="shared" si="17"/>
        <v>425.0272727272727</v>
      </c>
      <c r="AE19" s="36">
        <v>-502.8</v>
      </c>
      <c r="AF19" s="36">
        <f t="shared" si="18"/>
        <v>2938.5</v>
      </c>
      <c r="AG19" s="36"/>
      <c r="AH19" s="36">
        <f t="shared" si="19"/>
        <v>2938.5</v>
      </c>
      <c r="AI19" s="36"/>
      <c r="AJ19" s="36">
        <f t="shared" si="20"/>
        <v>2938.5</v>
      </c>
    </row>
    <row r="20" spans="1:36" s="2" customFormat="1" ht="16.95" customHeight="1">
      <c r="A20" s="13" t="s">
        <v>22</v>
      </c>
      <c r="B20" s="36">
        <v>197665</v>
      </c>
      <c r="C20" s="36">
        <v>179849.9</v>
      </c>
      <c r="D20" s="4">
        <f t="shared" si="12"/>
        <v>0.90987225861938126</v>
      </c>
      <c r="E20" s="11">
        <v>10</v>
      </c>
      <c r="F20" s="61" t="s">
        <v>394</v>
      </c>
      <c r="G20" s="61" t="s">
        <v>394</v>
      </c>
      <c r="H20" s="61" t="s">
        <v>394</v>
      </c>
      <c r="I20" s="61" t="s">
        <v>394</v>
      </c>
      <c r="J20" s="46">
        <v>130</v>
      </c>
      <c r="K20" s="46">
        <v>115</v>
      </c>
      <c r="L20" s="4">
        <f t="shared" si="13"/>
        <v>1.1304347826086956</v>
      </c>
      <c r="M20" s="11">
        <v>10</v>
      </c>
      <c r="N20" s="36">
        <v>9167.7999999999993</v>
      </c>
      <c r="O20" s="36">
        <v>0</v>
      </c>
      <c r="P20" s="4">
        <f t="shared" si="14"/>
        <v>0</v>
      </c>
      <c r="Q20" s="11">
        <v>20</v>
      </c>
      <c r="R20" s="36">
        <v>791.8</v>
      </c>
      <c r="S20" s="36">
        <v>955.5</v>
      </c>
      <c r="T20" s="4">
        <f t="shared" si="21"/>
        <v>1.2006744127304874</v>
      </c>
      <c r="U20" s="11">
        <v>10</v>
      </c>
      <c r="V20" s="36">
        <v>112.6</v>
      </c>
      <c r="W20" s="36">
        <v>290.60000000000002</v>
      </c>
      <c r="X20" s="4">
        <f t="shared" si="22"/>
        <v>1.3</v>
      </c>
      <c r="Y20" s="11">
        <v>5</v>
      </c>
      <c r="Z20" s="45">
        <f t="shared" si="23"/>
        <v>0.70745117344701158</v>
      </c>
      <c r="AA20" s="46">
        <v>25272</v>
      </c>
      <c r="AB20" s="36">
        <f t="shared" si="15"/>
        <v>2297.4545454545455</v>
      </c>
      <c r="AC20" s="36">
        <f t="shared" si="16"/>
        <v>1625.3</v>
      </c>
      <c r="AD20" s="36">
        <f t="shared" si="17"/>
        <v>-672.15454545454554</v>
      </c>
      <c r="AE20" s="36">
        <v>-316.8</v>
      </c>
      <c r="AF20" s="36">
        <f t="shared" si="18"/>
        <v>1308.5</v>
      </c>
      <c r="AG20" s="36"/>
      <c r="AH20" s="36">
        <f t="shared" si="19"/>
        <v>1308.5</v>
      </c>
      <c r="AI20" s="36"/>
      <c r="AJ20" s="36">
        <f t="shared" si="20"/>
        <v>1308.5</v>
      </c>
    </row>
    <row r="21" spans="1:36" s="2" customFormat="1" ht="16.95" customHeight="1">
      <c r="A21" s="13" t="s">
        <v>23</v>
      </c>
      <c r="B21" s="36">
        <v>18560</v>
      </c>
      <c r="C21" s="36">
        <v>18491</v>
      </c>
      <c r="D21" s="4">
        <f t="shared" si="12"/>
        <v>0.99628232758620694</v>
      </c>
      <c r="E21" s="11">
        <v>10</v>
      </c>
      <c r="F21" s="61" t="s">
        <v>394</v>
      </c>
      <c r="G21" s="61" t="s">
        <v>394</v>
      </c>
      <c r="H21" s="61" t="s">
        <v>394</v>
      </c>
      <c r="I21" s="61" t="s">
        <v>394</v>
      </c>
      <c r="J21" s="46">
        <v>280</v>
      </c>
      <c r="K21" s="46">
        <v>263</v>
      </c>
      <c r="L21" s="4">
        <f t="shared" si="13"/>
        <v>1.064638783269962</v>
      </c>
      <c r="M21" s="11">
        <v>10</v>
      </c>
      <c r="N21" s="36">
        <v>12099.9</v>
      </c>
      <c r="O21" s="36">
        <v>23585.8</v>
      </c>
      <c r="P21" s="4">
        <f t="shared" si="14"/>
        <v>1.2749255778973381</v>
      </c>
      <c r="Q21" s="11">
        <v>20</v>
      </c>
      <c r="R21" s="36">
        <v>324</v>
      </c>
      <c r="S21" s="36">
        <v>332.5</v>
      </c>
      <c r="T21" s="4">
        <f t="shared" si="21"/>
        <v>1.0262345679012346</v>
      </c>
      <c r="U21" s="11">
        <v>5</v>
      </c>
      <c r="V21" s="36">
        <v>34</v>
      </c>
      <c r="W21" s="36">
        <v>40.1</v>
      </c>
      <c r="X21" s="4">
        <f t="shared" si="22"/>
        <v>1.1794117647058824</v>
      </c>
      <c r="Y21" s="11">
        <v>5</v>
      </c>
      <c r="Z21" s="45">
        <f t="shared" si="23"/>
        <v>1.1427190865908807</v>
      </c>
      <c r="AA21" s="46">
        <v>32099</v>
      </c>
      <c r="AB21" s="36">
        <f t="shared" si="15"/>
        <v>2918.090909090909</v>
      </c>
      <c r="AC21" s="36">
        <f t="shared" si="16"/>
        <v>3334.6</v>
      </c>
      <c r="AD21" s="36">
        <f t="shared" si="17"/>
        <v>416.5090909090909</v>
      </c>
      <c r="AE21" s="36">
        <v>17</v>
      </c>
      <c r="AF21" s="36">
        <f t="shared" si="18"/>
        <v>3351.6</v>
      </c>
      <c r="AG21" s="36"/>
      <c r="AH21" s="36">
        <f t="shared" si="19"/>
        <v>3351.6</v>
      </c>
      <c r="AI21" s="36"/>
      <c r="AJ21" s="36">
        <f t="shared" si="20"/>
        <v>3351.6</v>
      </c>
    </row>
    <row r="22" spans="1:36" s="2" customFormat="1" ht="16.95" customHeight="1">
      <c r="A22" s="13" t="s">
        <v>24</v>
      </c>
      <c r="B22" s="36">
        <v>18039</v>
      </c>
      <c r="C22" s="36">
        <v>21559.5</v>
      </c>
      <c r="D22" s="4">
        <f t="shared" si="12"/>
        <v>1.1951604856145019</v>
      </c>
      <c r="E22" s="11">
        <v>10</v>
      </c>
      <c r="F22" s="61" t="s">
        <v>394</v>
      </c>
      <c r="G22" s="61" t="s">
        <v>394</v>
      </c>
      <c r="H22" s="61" t="s">
        <v>394</v>
      </c>
      <c r="I22" s="61" t="s">
        <v>394</v>
      </c>
      <c r="J22" s="46">
        <v>260</v>
      </c>
      <c r="K22" s="46">
        <v>244</v>
      </c>
      <c r="L22" s="4">
        <f t="shared" si="13"/>
        <v>1.0655737704918034</v>
      </c>
      <c r="M22" s="11">
        <v>10</v>
      </c>
      <c r="N22" s="36">
        <v>8203.2000000000007</v>
      </c>
      <c r="O22" s="36">
        <v>9819.4</v>
      </c>
      <c r="P22" s="4">
        <f t="shared" si="14"/>
        <v>1.1970206748585916</v>
      </c>
      <c r="Q22" s="11">
        <v>20</v>
      </c>
      <c r="R22" s="36">
        <v>385</v>
      </c>
      <c r="S22" s="36">
        <v>452</v>
      </c>
      <c r="T22" s="4">
        <f t="shared" si="21"/>
        <v>1.174025974025974</v>
      </c>
      <c r="U22" s="11">
        <v>5</v>
      </c>
      <c r="V22" s="36">
        <v>62</v>
      </c>
      <c r="W22" s="36">
        <v>73.7</v>
      </c>
      <c r="X22" s="4">
        <f t="shared" si="22"/>
        <v>1.1887096774193548</v>
      </c>
      <c r="Y22" s="11">
        <v>5</v>
      </c>
      <c r="Z22" s="45">
        <f t="shared" si="23"/>
        <v>1.1672286863092305</v>
      </c>
      <c r="AA22" s="46">
        <v>48599</v>
      </c>
      <c r="AB22" s="36">
        <f t="shared" si="15"/>
        <v>4418.090909090909</v>
      </c>
      <c r="AC22" s="36">
        <f t="shared" si="16"/>
        <v>5156.8999999999996</v>
      </c>
      <c r="AD22" s="36">
        <f t="shared" si="17"/>
        <v>738.80909090909063</v>
      </c>
      <c r="AE22" s="36">
        <v>-51.6</v>
      </c>
      <c r="AF22" s="36">
        <f t="shared" si="18"/>
        <v>5105.3</v>
      </c>
      <c r="AG22" s="36"/>
      <c r="AH22" s="36">
        <f t="shared" si="19"/>
        <v>5105.3</v>
      </c>
      <c r="AI22" s="36"/>
      <c r="AJ22" s="36">
        <f t="shared" si="20"/>
        <v>5105.3</v>
      </c>
    </row>
    <row r="23" spans="1:36" s="2" customFormat="1" ht="16.95" customHeight="1">
      <c r="A23" s="13" t="s">
        <v>25</v>
      </c>
      <c r="B23" s="36">
        <v>19313</v>
      </c>
      <c r="C23" s="36">
        <v>26747.3</v>
      </c>
      <c r="D23" s="4">
        <f t="shared" si="12"/>
        <v>1.2184937606793351</v>
      </c>
      <c r="E23" s="11">
        <v>10</v>
      </c>
      <c r="F23" s="61" t="s">
        <v>394</v>
      </c>
      <c r="G23" s="61" t="s">
        <v>394</v>
      </c>
      <c r="H23" s="61" t="s">
        <v>394</v>
      </c>
      <c r="I23" s="61" t="s">
        <v>394</v>
      </c>
      <c r="J23" s="46">
        <v>275</v>
      </c>
      <c r="K23" s="46">
        <v>263</v>
      </c>
      <c r="L23" s="4">
        <f t="shared" si="13"/>
        <v>1.0456273764258555</v>
      </c>
      <c r="M23" s="11">
        <v>15</v>
      </c>
      <c r="N23" s="36">
        <v>15646.2</v>
      </c>
      <c r="O23" s="36">
        <v>8481.9</v>
      </c>
      <c r="P23" s="4">
        <f t="shared" si="14"/>
        <v>0.54210607048356785</v>
      </c>
      <c r="Q23" s="11">
        <v>20</v>
      </c>
      <c r="R23" s="36">
        <v>441.2</v>
      </c>
      <c r="S23" s="36">
        <v>519.1</v>
      </c>
      <c r="T23" s="4">
        <f t="shared" si="21"/>
        <v>1.1765639165911153</v>
      </c>
      <c r="U23" s="11">
        <v>5</v>
      </c>
      <c r="V23" s="36">
        <v>33.4</v>
      </c>
      <c r="W23" s="36">
        <v>39.299999999999997</v>
      </c>
      <c r="X23" s="4">
        <f t="shared" si="22"/>
        <v>1.1766467065868262</v>
      </c>
      <c r="Y23" s="11">
        <v>5</v>
      </c>
      <c r="Z23" s="45">
        <f t="shared" si="23"/>
        <v>0.9177731414316771</v>
      </c>
      <c r="AA23" s="46">
        <v>38363</v>
      </c>
      <c r="AB23" s="36">
        <f t="shared" si="15"/>
        <v>3487.5454545454545</v>
      </c>
      <c r="AC23" s="36">
        <f t="shared" si="16"/>
        <v>3200.8</v>
      </c>
      <c r="AD23" s="36">
        <f t="shared" si="17"/>
        <v>-286.74545454545432</v>
      </c>
      <c r="AE23" s="36">
        <v>-34.4</v>
      </c>
      <c r="AF23" s="36">
        <f t="shared" si="18"/>
        <v>3166.4</v>
      </c>
      <c r="AG23" s="36"/>
      <c r="AH23" s="36">
        <f t="shared" si="19"/>
        <v>3166.4</v>
      </c>
      <c r="AI23" s="36"/>
      <c r="AJ23" s="36">
        <f t="shared" si="20"/>
        <v>3166.4</v>
      </c>
    </row>
    <row r="24" spans="1:36" s="2" customFormat="1" ht="16.95" customHeight="1">
      <c r="A24" s="13" t="s">
        <v>26</v>
      </c>
      <c r="B24" s="36">
        <v>1119690</v>
      </c>
      <c r="C24" s="36">
        <v>1127717.1000000001</v>
      </c>
      <c r="D24" s="4">
        <f t="shared" si="12"/>
        <v>1.0071690378586931</v>
      </c>
      <c r="E24" s="11">
        <v>10</v>
      </c>
      <c r="F24" s="61" t="s">
        <v>394</v>
      </c>
      <c r="G24" s="61" t="s">
        <v>394</v>
      </c>
      <c r="H24" s="61" t="s">
        <v>394</v>
      </c>
      <c r="I24" s="61" t="s">
        <v>394</v>
      </c>
      <c r="J24" s="46">
        <v>190</v>
      </c>
      <c r="K24" s="46">
        <v>173</v>
      </c>
      <c r="L24" s="4">
        <f t="shared" si="13"/>
        <v>1.0982658959537572</v>
      </c>
      <c r="M24" s="11">
        <v>5</v>
      </c>
      <c r="N24" s="36">
        <v>109100.8</v>
      </c>
      <c r="O24" s="36">
        <v>96961.9</v>
      </c>
      <c r="P24" s="4">
        <f t="shared" si="14"/>
        <v>0.88873683786003399</v>
      </c>
      <c r="Q24" s="11">
        <v>20</v>
      </c>
      <c r="R24" s="36">
        <v>365.6</v>
      </c>
      <c r="S24" s="36">
        <v>423.8</v>
      </c>
      <c r="T24" s="4">
        <f t="shared" si="21"/>
        <v>1.1591903719912473</v>
      </c>
      <c r="U24" s="11">
        <v>5</v>
      </c>
      <c r="V24" s="36">
        <v>174</v>
      </c>
      <c r="W24" s="36">
        <v>201.4</v>
      </c>
      <c r="X24" s="4">
        <f t="shared" si="22"/>
        <v>1.1574712643678162</v>
      </c>
      <c r="Y24" s="11">
        <v>5</v>
      </c>
      <c r="Z24" s="45">
        <f t="shared" si="23"/>
        <v>0.9982458843855937</v>
      </c>
      <c r="AA24" s="46">
        <v>38012</v>
      </c>
      <c r="AB24" s="36">
        <f t="shared" si="15"/>
        <v>3455.6363636363635</v>
      </c>
      <c r="AC24" s="36">
        <f t="shared" si="16"/>
        <v>3449.6</v>
      </c>
      <c r="AD24" s="36">
        <f t="shared" si="17"/>
        <v>-6.0363636363636033</v>
      </c>
      <c r="AE24" s="36">
        <v>-287.89999999999998</v>
      </c>
      <c r="AF24" s="36">
        <f t="shared" si="18"/>
        <v>3161.7</v>
      </c>
      <c r="AG24" s="36"/>
      <c r="AH24" s="36">
        <f t="shared" si="19"/>
        <v>3161.7</v>
      </c>
      <c r="AI24" s="36"/>
      <c r="AJ24" s="36">
        <f t="shared" si="20"/>
        <v>3161.7</v>
      </c>
    </row>
    <row r="25" spans="1:36" s="2" customFormat="1" ht="16.95" customHeight="1">
      <c r="A25" s="13" t="s">
        <v>27</v>
      </c>
      <c r="B25" s="36">
        <v>8812</v>
      </c>
      <c r="C25" s="36">
        <v>13313</v>
      </c>
      <c r="D25" s="4">
        <f t="shared" si="12"/>
        <v>1.2310780753517929</v>
      </c>
      <c r="E25" s="11">
        <v>10</v>
      </c>
      <c r="F25" s="61" t="s">
        <v>394</v>
      </c>
      <c r="G25" s="61" t="s">
        <v>394</v>
      </c>
      <c r="H25" s="61" t="s">
        <v>394</v>
      </c>
      <c r="I25" s="61" t="s">
        <v>394</v>
      </c>
      <c r="J25" s="46">
        <v>70</v>
      </c>
      <c r="K25" s="46">
        <v>65</v>
      </c>
      <c r="L25" s="4">
        <f t="shared" si="13"/>
        <v>1.0769230769230769</v>
      </c>
      <c r="M25" s="11">
        <v>10</v>
      </c>
      <c r="N25" s="36">
        <v>4548.7</v>
      </c>
      <c r="O25" s="36">
        <v>3645.9</v>
      </c>
      <c r="P25" s="4">
        <f t="shared" si="14"/>
        <v>0.80152571064260125</v>
      </c>
      <c r="Q25" s="11">
        <v>20</v>
      </c>
      <c r="R25" s="36">
        <v>141</v>
      </c>
      <c r="S25" s="36">
        <v>164.4</v>
      </c>
      <c r="T25" s="4">
        <f t="shared" si="21"/>
        <v>1.1659574468085108</v>
      </c>
      <c r="U25" s="11">
        <v>5</v>
      </c>
      <c r="V25" s="36">
        <v>13</v>
      </c>
      <c r="W25" s="36">
        <v>12.7</v>
      </c>
      <c r="X25" s="4">
        <f t="shared" si="22"/>
        <v>0.97692307692307689</v>
      </c>
      <c r="Y25" s="11">
        <v>5</v>
      </c>
      <c r="Z25" s="45">
        <f t="shared" si="23"/>
        <v>0.99649856708517337</v>
      </c>
      <c r="AA25" s="46">
        <v>11241</v>
      </c>
      <c r="AB25" s="36">
        <f t="shared" si="15"/>
        <v>1021.9090909090909</v>
      </c>
      <c r="AC25" s="36">
        <f t="shared" si="16"/>
        <v>1018.3</v>
      </c>
      <c r="AD25" s="36">
        <f t="shared" si="17"/>
        <v>-3.6090909090909236</v>
      </c>
      <c r="AE25" s="36">
        <v>-161.4</v>
      </c>
      <c r="AF25" s="36">
        <f t="shared" si="18"/>
        <v>856.9</v>
      </c>
      <c r="AG25" s="36"/>
      <c r="AH25" s="36">
        <f t="shared" si="19"/>
        <v>856.9</v>
      </c>
      <c r="AI25" s="36"/>
      <c r="AJ25" s="36">
        <f t="shared" si="20"/>
        <v>856.9</v>
      </c>
    </row>
    <row r="26" spans="1:36" s="2" customFormat="1" ht="16.95" customHeight="1">
      <c r="A26" s="13" t="s">
        <v>28</v>
      </c>
      <c r="B26" s="36">
        <v>6249</v>
      </c>
      <c r="C26" s="36">
        <v>6388</v>
      </c>
      <c r="D26" s="4">
        <f t="shared" si="12"/>
        <v>1.0222435589694352</v>
      </c>
      <c r="E26" s="11">
        <v>10</v>
      </c>
      <c r="F26" s="61" t="s">
        <v>394</v>
      </c>
      <c r="G26" s="61" t="s">
        <v>394</v>
      </c>
      <c r="H26" s="61" t="s">
        <v>394</v>
      </c>
      <c r="I26" s="61" t="s">
        <v>394</v>
      </c>
      <c r="J26" s="46">
        <v>220</v>
      </c>
      <c r="K26" s="46">
        <v>196</v>
      </c>
      <c r="L26" s="4">
        <f t="shared" si="13"/>
        <v>1.1224489795918366</v>
      </c>
      <c r="M26" s="11">
        <v>15</v>
      </c>
      <c r="N26" s="36">
        <v>7741.6</v>
      </c>
      <c r="O26" s="36">
        <v>5923.7</v>
      </c>
      <c r="P26" s="4">
        <f t="shared" si="14"/>
        <v>0.76517774103544478</v>
      </c>
      <c r="Q26" s="11">
        <v>20</v>
      </c>
      <c r="R26" s="36">
        <v>1320</v>
      </c>
      <c r="S26" s="36">
        <v>1196.7</v>
      </c>
      <c r="T26" s="4">
        <f t="shared" si="21"/>
        <v>0.90659090909090911</v>
      </c>
      <c r="U26" s="11">
        <v>5</v>
      </c>
      <c r="V26" s="36">
        <v>59</v>
      </c>
      <c r="W26" s="36">
        <v>80.3</v>
      </c>
      <c r="X26" s="4">
        <f t="shared" si="22"/>
        <v>1.2161016949152541</v>
      </c>
      <c r="Y26" s="11">
        <v>5</v>
      </c>
      <c r="Z26" s="45">
        <f t="shared" si="23"/>
        <v>0.96320342044202933</v>
      </c>
      <c r="AA26" s="46">
        <v>42883</v>
      </c>
      <c r="AB26" s="36">
        <f t="shared" si="15"/>
        <v>3898.4545454545455</v>
      </c>
      <c r="AC26" s="36">
        <f t="shared" si="16"/>
        <v>3755</v>
      </c>
      <c r="AD26" s="36">
        <f t="shared" si="17"/>
        <v>-143.4545454545455</v>
      </c>
      <c r="AE26" s="36">
        <v>-197.4</v>
      </c>
      <c r="AF26" s="36">
        <f t="shared" si="18"/>
        <v>3557.6</v>
      </c>
      <c r="AG26" s="36"/>
      <c r="AH26" s="36">
        <f t="shared" si="19"/>
        <v>3557.6</v>
      </c>
      <c r="AI26" s="36"/>
      <c r="AJ26" s="36">
        <f t="shared" si="20"/>
        <v>3557.6</v>
      </c>
    </row>
    <row r="27" spans="1:36" s="2" customFormat="1" ht="16.95" customHeight="1">
      <c r="A27" s="13" t="s">
        <v>29</v>
      </c>
      <c r="B27" s="36">
        <v>3083</v>
      </c>
      <c r="C27" s="36">
        <v>3197.3</v>
      </c>
      <c r="D27" s="4">
        <f t="shared" si="12"/>
        <v>1.0370742783003568</v>
      </c>
      <c r="E27" s="11">
        <v>10</v>
      </c>
      <c r="F27" s="61" t="s">
        <v>394</v>
      </c>
      <c r="G27" s="61" t="s">
        <v>394</v>
      </c>
      <c r="H27" s="61" t="s">
        <v>394</v>
      </c>
      <c r="I27" s="61" t="s">
        <v>394</v>
      </c>
      <c r="J27" s="46">
        <v>120</v>
      </c>
      <c r="K27" s="46">
        <v>123</v>
      </c>
      <c r="L27" s="4">
        <f t="shared" si="13"/>
        <v>0.97560975609756095</v>
      </c>
      <c r="M27" s="11">
        <v>15</v>
      </c>
      <c r="N27" s="36">
        <v>6358.2</v>
      </c>
      <c r="O27" s="36">
        <v>3911.5</v>
      </c>
      <c r="P27" s="4">
        <f t="shared" si="14"/>
        <v>0.61518983360070467</v>
      </c>
      <c r="Q27" s="11">
        <v>20</v>
      </c>
      <c r="R27" s="36">
        <v>80</v>
      </c>
      <c r="S27" s="36">
        <v>100.1</v>
      </c>
      <c r="T27" s="4">
        <f t="shared" si="21"/>
        <v>1.205125</v>
      </c>
      <c r="U27" s="11">
        <v>5</v>
      </c>
      <c r="V27" s="36">
        <v>7.5</v>
      </c>
      <c r="W27" s="36">
        <v>9.5</v>
      </c>
      <c r="X27" s="4">
        <f t="shared" si="22"/>
        <v>1.2066666666666666</v>
      </c>
      <c r="Y27" s="11">
        <v>10</v>
      </c>
      <c r="Z27" s="45">
        <f t="shared" si="23"/>
        <v>0.92334962438579571</v>
      </c>
      <c r="AA27" s="46">
        <v>9919</v>
      </c>
      <c r="AB27" s="36">
        <f t="shared" si="15"/>
        <v>901.72727272727275</v>
      </c>
      <c r="AC27" s="36">
        <f t="shared" si="16"/>
        <v>832.6</v>
      </c>
      <c r="AD27" s="36">
        <f t="shared" si="17"/>
        <v>-69.127272727272725</v>
      </c>
      <c r="AE27" s="36">
        <v>-61.1</v>
      </c>
      <c r="AF27" s="36">
        <f t="shared" si="18"/>
        <v>771.5</v>
      </c>
      <c r="AG27" s="36"/>
      <c r="AH27" s="36">
        <f t="shared" si="19"/>
        <v>771.5</v>
      </c>
      <c r="AI27" s="36"/>
      <c r="AJ27" s="36">
        <f t="shared" si="20"/>
        <v>771.5</v>
      </c>
    </row>
    <row r="28" spans="1:36" s="2" customFormat="1" ht="16.95" customHeight="1">
      <c r="A28" s="13" t="s">
        <v>30</v>
      </c>
      <c r="B28" s="36">
        <v>1100094</v>
      </c>
      <c r="C28" s="36">
        <v>1546089</v>
      </c>
      <c r="D28" s="4">
        <f t="shared" si="12"/>
        <v>1.2205415355415083</v>
      </c>
      <c r="E28" s="11">
        <v>10</v>
      </c>
      <c r="F28" s="61" t="s">
        <v>394</v>
      </c>
      <c r="G28" s="61" t="s">
        <v>394</v>
      </c>
      <c r="H28" s="61" t="s">
        <v>394</v>
      </c>
      <c r="I28" s="61" t="s">
        <v>394</v>
      </c>
      <c r="J28" s="46">
        <v>160</v>
      </c>
      <c r="K28" s="46">
        <v>198</v>
      </c>
      <c r="L28" s="4">
        <f t="shared" si="13"/>
        <v>0.80808080808080807</v>
      </c>
      <c r="M28" s="11">
        <v>10</v>
      </c>
      <c r="N28" s="36">
        <v>30895.599999999999</v>
      </c>
      <c r="O28" s="36">
        <v>17678.900000000001</v>
      </c>
      <c r="P28" s="4">
        <f t="shared" si="14"/>
        <v>0.57221416641851919</v>
      </c>
      <c r="Q28" s="11">
        <v>20</v>
      </c>
      <c r="R28" s="36">
        <v>632.5</v>
      </c>
      <c r="S28" s="36">
        <v>883.3</v>
      </c>
      <c r="T28" s="4">
        <f t="shared" si="21"/>
        <v>1.2196521739130435</v>
      </c>
      <c r="U28" s="11">
        <v>10</v>
      </c>
      <c r="V28" s="36">
        <v>304.5</v>
      </c>
      <c r="W28" s="36">
        <v>369.6</v>
      </c>
      <c r="X28" s="4">
        <f t="shared" si="22"/>
        <v>1.2013793103448276</v>
      </c>
      <c r="Y28" s="11">
        <v>10</v>
      </c>
      <c r="Z28" s="45">
        <f t="shared" si="23"/>
        <v>0.93234702678620451</v>
      </c>
      <c r="AA28" s="46">
        <v>58499</v>
      </c>
      <c r="AB28" s="36">
        <f t="shared" si="15"/>
        <v>5318.090909090909</v>
      </c>
      <c r="AC28" s="36">
        <f t="shared" si="16"/>
        <v>4958.3</v>
      </c>
      <c r="AD28" s="36">
        <f t="shared" si="17"/>
        <v>-359.79090909090883</v>
      </c>
      <c r="AE28" s="36">
        <v>-111</v>
      </c>
      <c r="AF28" s="36">
        <f t="shared" si="18"/>
        <v>4847.3</v>
      </c>
      <c r="AG28" s="36"/>
      <c r="AH28" s="36">
        <f t="shared" si="19"/>
        <v>4847.3</v>
      </c>
      <c r="AI28" s="36"/>
      <c r="AJ28" s="36">
        <f t="shared" si="20"/>
        <v>4847.3</v>
      </c>
    </row>
    <row r="29" spans="1:36" s="2" customFormat="1" ht="16.95" customHeight="1">
      <c r="A29" s="13" t="s">
        <v>31</v>
      </c>
      <c r="B29" s="36">
        <v>287183</v>
      </c>
      <c r="C29" s="36">
        <v>408375.9</v>
      </c>
      <c r="D29" s="4">
        <f t="shared" si="12"/>
        <v>1.222200582903584</v>
      </c>
      <c r="E29" s="11">
        <v>10</v>
      </c>
      <c r="F29" s="61" t="s">
        <v>394</v>
      </c>
      <c r="G29" s="61" t="s">
        <v>394</v>
      </c>
      <c r="H29" s="61" t="s">
        <v>394</v>
      </c>
      <c r="I29" s="61" t="s">
        <v>394</v>
      </c>
      <c r="J29" s="46">
        <v>250</v>
      </c>
      <c r="K29" s="46">
        <v>222</v>
      </c>
      <c r="L29" s="4">
        <f t="shared" si="13"/>
        <v>1.1261261261261262</v>
      </c>
      <c r="M29" s="11">
        <v>5</v>
      </c>
      <c r="N29" s="36">
        <v>21878.2</v>
      </c>
      <c r="O29" s="36">
        <v>34136.699999999997</v>
      </c>
      <c r="P29" s="4">
        <f t="shared" si="14"/>
        <v>1.236030660657641</v>
      </c>
      <c r="Q29" s="11">
        <v>20</v>
      </c>
      <c r="R29" s="36">
        <v>409</v>
      </c>
      <c r="S29" s="36">
        <v>425</v>
      </c>
      <c r="T29" s="4">
        <f t="shared" si="21"/>
        <v>1.039119804400978</v>
      </c>
      <c r="U29" s="11">
        <v>5</v>
      </c>
      <c r="V29" s="36">
        <v>2003</v>
      </c>
      <c r="W29" s="36">
        <v>3366</v>
      </c>
      <c r="X29" s="4">
        <f t="shared" si="22"/>
        <v>1.2480479281078383</v>
      </c>
      <c r="Y29" s="11">
        <v>15</v>
      </c>
      <c r="Z29" s="45">
        <f t="shared" si="23"/>
        <v>1.20890122938985</v>
      </c>
      <c r="AA29" s="46">
        <v>102884</v>
      </c>
      <c r="AB29" s="36">
        <f t="shared" si="15"/>
        <v>9353.0909090909099</v>
      </c>
      <c r="AC29" s="36">
        <f t="shared" si="16"/>
        <v>11307</v>
      </c>
      <c r="AD29" s="36">
        <f t="shared" si="17"/>
        <v>1953.9090909090901</v>
      </c>
      <c r="AE29" s="36">
        <v>-1103.8</v>
      </c>
      <c r="AF29" s="36">
        <f t="shared" si="18"/>
        <v>10203.200000000001</v>
      </c>
      <c r="AG29" s="36"/>
      <c r="AH29" s="36">
        <f t="shared" si="19"/>
        <v>10203.200000000001</v>
      </c>
      <c r="AI29" s="36"/>
      <c r="AJ29" s="36">
        <f t="shared" si="20"/>
        <v>10203.200000000001</v>
      </c>
    </row>
    <row r="30" spans="1:36" s="2" customFormat="1" ht="16.95" customHeight="1">
      <c r="A30" s="13" t="s">
        <v>32</v>
      </c>
      <c r="B30" s="36">
        <v>18350</v>
      </c>
      <c r="C30" s="36">
        <v>18420.400000000001</v>
      </c>
      <c r="D30" s="4">
        <f t="shared" si="12"/>
        <v>1.0038365122615804</v>
      </c>
      <c r="E30" s="11">
        <v>10</v>
      </c>
      <c r="F30" s="61" t="s">
        <v>394</v>
      </c>
      <c r="G30" s="61" t="s">
        <v>394</v>
      </c>
      <c r="H30" s="61" t="s">
        <v>394</v>
      </c>
      <c r="I30" s="61" t="s">
        <v>394</v>
      </c>
      <c r="J30" s="46">
        <v>190</v>
      </c>
      <c r="K30" s="46">
        <v>141</v>
      </c>
      <c r="L30" s="4">
        <f t="shared" si="13"/>
        <v>1.2147517730496453</v>
      </c>
      <c r="M30" s="11">
        <v>10</v>
      </c>
      <c r="N30" s="36">
        <v>9244.4</v>
      </c>
      <c r="O30" s="36">
        <v>6380.5</v>
      </c>
      <c r="P30" s="4">
        <f t="shared" si="14"/>
        <v>0.69020163558478653</v>
      </c>
      <c r="Q30" s="11">
        <v>20</v>
      </c>
      <c r="R30" s="36">
        <v>247</v>
      </c>
      <c r="S30" s="36">
        <v>247.4</v>
      </c>
      <c r="T30" s="4">
        <f t="shared" si="21"/>
        <v>1.0016194331983805</v>
      </c>
      <c r="U30" s="11">
        <v>10</v>
      </c>
      <c r="V30" s="36">
        <v>6.8</v>
      </c>
      <c r="W30" s="36">
        <v>10.4</v>
      </c>
      <c r="X30" s="4">
        <f t="shared" si="22"/>
        <v>1.2329411764705882</v>
      </c>
      <c r="Y30" s="11">
        <v>10</v>
      </c>
      <c r="Z30" s="45">
        <f t="shared" si="23"/>
        <v>0.9722586943582946</v>
      </c>
      <c r="AA30" s="46">
        <v>18862</v>
      </c>
      <c r="AB30" s="36">
        <f t="shared" si="15"/>
        <v>1714.7272727272727</v>
      </c>
      <c r="AC30" s="36">
        <f t="shared" si="16"/>
        <v>1667.2</v>
      </c>
      <c r="AD30" s="36">
        <f t="shared" si="17"/>
        <v>-47.527272727272702</v>
      </c>
      <c r="AE30" s="36">
        <v>-141.30000000000001</v>
      </c>
      <c r="AF30" s="36">
        <f t="shared" si="18"/>
        <v>1525.9</v>
      </c>
      <c r="AG30" s="36"/>
      <c r="AH30" s="36">
        <f t="shared" si="19"/>
        <v>1525.9</v>
      </c>
      <c r="AI30" s="36"/>
      <c r="AJ30" s="36">
        <f t="shared" si="20"/>
        <v>1525.9</v>
      </c>
    </row>
    <row r="31" spans="1:36" s="2" customFormat="1" ht="16.95" customHeight="1">
      <c r="A31" s="13" t="s">
        <v>33</v>
      </c>
      <c r="B31" s="36">
        <v>184326</v>
      </c>
      <c r="C31" s="36">
        <v>197845</v>
      </c>
      <c r="D31" s="4">
        <f t="shared" si="12"/>
        <v>1.0733428816336275</v>
      </c>
      <c r="E31" s="11">
        <v>10</v>
      </c>
      <c r="F31" s="61" t="s">
        <v>394</v>
      </c>
      <c r="G31" s="61" t="s">
        <v>394</v>
      </c>
      <c r="H31" s="61" t="s">
        <v>394</v>
      </c>
      <c r="I31" s="61" t="s">
        <v>394</v>
      </c>
      <c r="J31" s="46">
        <v>210</v>
      </c>
      <c r="K31" s="46">
        <v>174</v>
      </c>
      <c r="L31" s="4">
        <f t="shared" si="13"/>
        <v>1.2006896551724138</v>
      </c>
      <c r="M31" s="11">
        <v>10</v>
      </c>
      <c r="N31" s="36">
        <v>14994.1</v>
      </c>
      <c r="O31" s="36">
        <v>12046.5</v>
      </c>
      <c r="P31" s="4">
        <f t="shared" si="14"/>
        <v>0.80341601029738363</v>
      </c>
      <c r="Q31" s="11">
        <v>20</v>
      </c>
      <c r="R31" s="36">
        <v>1541</v>
      </c>
      <c r="S31" s="36">
        <v>1908.3</v>
      </c>
      <c r="T31" s="4">
        <f t="shared" si="21"/>
        <v>1.2038351719662557</v>
      </c>
      <c r="U31" s="11">
        <v>10</v>
      </c>
      <c r="V31" s="36">
        <v>85.1</v>
      </c>
      <c r="W31" s="36">
        <v>106.4</v>
      </c>
      <c r="X31" s="4">
        <f t="shared" si="22"/>
        <v>1.2050293772032903</v>
      </c>
      <c r="Y31" s="11">
        <v>5</v>
      </c>
      <c r="Z31" s="45">
        <f t="shared" si="23"/>
        <v>1.0340389850852199</v>
      </c>
      <c r="AA31" s="46">
        <v>32606</v>
      </c>
      <c r="AB31" s="36">
        <f t="shared" si="15"/>
        <v>2964.181818181818</v>
      </c>
      <c r="AC31" s="36">
        <f t="shared" si="16"/>
        <v>3065.1</v>
      </c>
      <c r="AD31" s="36">
        <f t="shared" si="17"/>
        <v>100.91818181818189</v>
      </c>
      <c r="AE31" s="36">
        <v>-356.1</v>
      </c>
      <c r="AF31" s="36">
        <f t="shared" si="18"/>
        <v>2709</v>
      </c>
      <c r="AG31" s="36"/>
      <c r="AH31" s="36">
        <f t="shared" si="19"/>
        <v>2709</v>
      </c>
      <c r="AI31" s="36"/>
      <c r="AJ31" s="36">
        <f t="shared" si="20"/>
        <v>2709</v>
      </c>
    </row>
    <row r="32" spans="1:36" s="2" customFormat="1" ht="16.95" customHeight="1">
      <c r="A32" s="13" t="s">
        <v>34</v>
      </c>
      <c r="B32" s="36">
        <v>12561</v>
      </c>
      <c r="C32" s="36">
        <v>11703.4</v>
      </c>
      <c r="D32" s="4">
        <f t="shared" si="12"/>
        <v>0.9317251811161531</v>
      </c>
      <c r="E32" s="11">
        <v>10</v>
      </c>
      <c r="F32" s="61" t="s">
        <v>394</v>
      </c>
      <c r="G32" s="61" t="s">
        <v>394</v>
      </c>
      <c r="H32" s="61" t="s">
        <v>394</v>
      </c>
      <c r="I32" s="61" t="s">
        <v>394</v>
      </c>
      <c r="J32" s="46">
        <v>210</v>
      </c>
      <c r="K32" s="46">
        <v>222</v>
      </c>
      <c r="L32" s="4">
        <f t="shared" si="13"/>
        <v>0.94594594594594594</v>
      </c>
      <c r="M32" s="11">
        <v>15</v>
      </c>
      <c r="N32" s="36">
        <v>10682.8</v>
      </c>
      <c r="O32" s="36">
        <v>10197.5</v>
      </c>
      <c r="P32" s="4">
        <f t="shared" si="14"/>
        <v>0.95457183509941224</v>
      </c>
      <c r="Q32" s="11">
        <v>20</v>
      </c>
      <c r="R32" s="36">
        <v>262</v>
      </c>
      <c r="S32" s="36">
        <v>299</v>
      </c>
      <c r="T32" s="4">
        <f t="shared" si="21"/>
        <v>1.1412213740458015</v>
      </c>
      <c r="U32" s="11">
        <v>10</v>
      </c>
      <c r="V32" s="36">
        <v>27.3</v>
      </c>
      <c r="W32" s="36">
        <v>25</v>
      </c>
      <c r="X32" s="4">
        <f t="shared" si="22"/>
        <v>0.91575091575091572</v>
      </c>
      <c r="Y32" s="11">
        <v>10</v>
      </c>
      <c r="Z32" s="45">
        <f t="shared" si="23"/>
        <v>0.9718092400047097</v>
      </c>
      <c r="AA32" s="46">
        <v>32166</v>
      </c>
      <c r="AB32" s="36">
        <f t="shared" si="15"/>
        <v>2924.181818181818</v>
      </c>
      <c r="AC32" s="36">
        <f t="shared" si="16"/>
        <v>2841.7</v>
      </c>
      <c r="AD32" s="36">
        <f t="shared" si="17"/>
        <v>-82.481818181818198</v>
      </c>
      <c r="AE32" s="36">
        <v>-92.3</v>
      </c>
      <c r="AF32" s="36">
        <f t="shared" si="18"/>
        <v>2749.4</v>
      </c>
      <c r="AG32" s="36"/>
      <c r="AH32" s="36">
        <f t="shared" si="19"/>
        <v>2749.4</v>
      </c>
      <c r="AI32" s="36"/>
      <c r="AJ32" s="36">
        <f t="shared" si="20"/>
        <v>2749.4</v>
      </c>
    </row>
    <row r="33" spans="1:186" s="2" customFormat="1" ht="16.95" customHeight="1">
      <c r="A33" s="13" t="s">
        <v>1</v>
      </c>
      <c r="B33" s="36">
        <v>537057</v>
      </c>
      <c r="C33" s="36">
        <v>398073.9</v>
      </c>
      <c r="D33" s="4">
        <f t="shared" si="12"/>
        <v>0.74121350247739071</v>
      </c>
      <c r="E33" s="11">
        <v>10</v>
      </c>
      <c r="F33" s="61" t="s">
        <v>394</v>
      </c>
      <c r="G33" s="61" t="s">
        <v>394</v>
      </c>
      <c r="H33" s="61" t="s">
        <v>394</v>
      </c>
      <c r="I33" s="61" t="s">
        <v>394</v>
      </c>
      <c r="J33" s="46">
        <v>260</v>
      </c>
      <c r="K33" s="46">
        <v>279</v>
      </c>
      <c r="L33" s="4">
        <f t="shared" si="13"/>
        <v>0.93189964157706096</v>
      </c>
      <c r="M33" s="11">
        <v>10</v>
      </c>
      <c r="N33" s="36">
        <v>50506.8</v>
      </c>
      <c r="O33" s="36">
        <v>39781.5</v>
      </c>
      <c r="P33" s="4">
        <f t="shared" si="14"/>
        <v>0.78764641592815221</v>
      </c>
      <c r="Q33" s="11">
        <v>20</v>
      </c>
      <c r="R33" s="36">
        <v>621.1</v>
      </c>
      <c r="S33" s="36">
        <v>615.6</v>
      </c>
      <c r="T33" s="4">
        <f t="shared" si="21"/>
        <v>0.99114474319755275</v>
      </c>
      <c r="U33" s="11">
        <v>5</v>
      </c>
      <c r="V33" s="36">
        <v>456.1</v>
      </c>
      <c r="W33" s="36">
        <v>665.4</v>
      </c>
      <c r="X33" s="4">
        <f t="shared" si="22"/>
        <v>1.2258890594167946</v>
      </c>
      <c r="Y33" s="11">
        <v>10</v>
      </c>
      <c r="Z33" s="45">
        <f t="shared" si="23"/>
        <v>0.90361225580478677</v>
      </c>
      <c r="AA33" s="46">
        <v>57733</v>
      </c>
      <c r="AB33" s="36">
        <f t="shared" si="15"/>
        <v>5248.454545454545</v>
      </c>
      <c r="AC33" s="36">
        <f t="shared" si="16"/>
        <v>4742.6000000000004</v>
      </c>
      <c r="AD33" s="36">
        <f t="shared" si="17"/>
        <v>-505.85454545454468</v>
      </c>
      <c r="AE33" s="36">
        <v>181.2</v>
      </c>
      <c r="AF33" s="36">
        <f t="shared" si="18"/>
        <v>4923.8</v>
      </c>
      <c r="AG33" s="36"/>
      <c r="AH33" s="36">
        <f t="shared" si="19"/>
        <v>4923.8</v>
      </c>
      <c r="AI33" s="36"/>
      <c r="AJ33" s="36">
        <f t="shared" si="20"/>
        <v>4923.8</v>
      </c>
    </row>
    <row r="34" spans="1:186" s="2" customFormat="1" ht="16.95" customHeight="1">
      <c r="A34" s="13" t="s">
        <v>35</v>
      </c>
      <c r="B34" s="36">
        <v>893997</v>
      </c>
      <c r="C34" s="36">
        <v>1055550.8999999999</v>
      </c>
      <c r="D34" s="4">
        <f t="shared" si="12"/>
        <v>1.1807096668109625</v>
      </c>
      <c r="E34" s="11">
        <v>10</v>
      </c>
      <c r="F34" s="61" t="s">
        <v>394</v>
      </c>
      <c r="G34" s="61" t="s">
        <v>394</v>
      </c>
      <c r="H34" s="61" t="s">
        <v>394</v>
      </c>
      <c r="I34" s="61" t="s">
        <v>394</v>
      </c>
      <c r="J34" s="46">
        <v>270</v>
      </c>
      <c r="K34" s="46">
        <v>260</v>
      </c>
      <c r="L34" s="4">
        <f t="shared" si="13"/>
        <v>1.0384615384615385</v>
      </c>
      <c r="M34" s="11">
        <v>10</v>
      </c>
      <c r="N34" s="36">
        <v>36156.1</v>
      </c>
      <c r="O34" s="36">
        <v>20494.5</v>
      </c>
      <c r="P34" s="4">
        <f t="shared" si="14"/>
        <v>0.5668338122751071</v>
      </c>
      <c r="Q34" s="11">
        <v>20</v>
      </c>
      <c r="R34" s="36">
        <v>200.5</v>
      </c>
      <c r="S34" s="36">
        <v>217.4</v>
      </c>
      <c r="T34" s="4">
        <f t="shared" si="21"/>
        <v>1.0842892768079802</v>
      </c>
      <c r="U34" s="11">
        <v>5</v>
      </c>
      <c r="V34" s="36">
        <v>24.5</v>
      </c>
      <c r="W34" s="36">
        <v>18.5</v>
      </c>
      <c r="X34" s="4">
        <f t="shared" si="22"/>
        <v>0.75510204081632648</v>
      </c>
      <c r="Y34" s="11">
        <v>5</v>
      </c>
      <c r="Z34" s="45">
        <f t="shared" si="23"/>
        <v>0.85450689772697375</v>
      </c>
      <c r="AA34" s="46">
        <v>28386</v>
      </c>
      <c r="AB34" s="36">
        <f t="shared" si="15"/>
        <v>2580.5454545454545</v>
      </c>
      <c r="AC34" s="36">
        <f t="shared" si="16"/>
        <v>2205.1</v>
      </c>
      <c r="AD34" s="36">
        <f t="shared" si="17"/>
        <v>-375.4454545454546</v>
      </c>
      <c r="AE34" s="36">
        <v>-71.8</v>
      </c>
      <c r="AF34" s="36">
        <f t="shared" si="18"/>
        <v>2133.3000000000002</v>
      </c>
      <c r="AG34" s="36"/>
      <c r="AH34" s="36">
        <f t="shared" si="19"/>
        <v>2133.3000000000002</v>
      </c>
      <c r="AI34" s="36"/>
      <c r="AJ34" s="36">
        <f t="shared" si="20"/>
        <v>2133.3000000000002</v>
      </c>
    </row>
    <row r="35" spans="1:186" s="2" customFormat="1" ht="16.95" customHeight="1">
      <c r="A35" s="13" t="s">
        <v>36</v>
      </c>
      <c r="B35" s="36">
        <v>102550</v>
      </c>
      <c r="C35" s="36">
        <v>107887</v>
      </c>
      <c r="D35" s="4">
        <f t="shared" si="12"/>
        <v>1.0520429058995613</v>
      </c>
      <c r="E35" s="11">
        <v>10</v>
      </c>
      <c r="F35" s="61" t="s">
        <v>394</v>
      </c>
      <c r="G35" s="61" t="s">
        <v>394</v>
      </c>
      <c r="H35" s="61" t="s">
        <v>394</v>
      </c>
      <c r="I35" s="61" t="s">
        <v>394</v>
      </c>
      <c r="J35" s="46">
        <v>290</v>
      </c>
      <c r="K35" s="46">
        <v>272</v>
      </c>
      <c r="L35" s="4">
        <f t="shared" si="13"/>
        <v>1.0661764705882353</v>
      </c>
      <c r="M35" s="11">
        <v>15</v>
      </c>
      <c r="N35" s="36">
        <v>10794.1</v>
      </c>
      <c r="O35" s="36">
        <v>8090.4</v>
      </c>
      <c r="P35" s="4">
        <f t="shared" si="14"/>
        <v>0.74952057142327744</v>
      </c>
      <c r="Q35" s="11">
        <v>20</v>
      </c>
      <c r="R35" s="36">
        <v>159</v>
      </c>
      <c r="S35" s="36">
        <v>206.1</v>
      </c>
      <c r="T35" s="4">
        <f t="shared" si="21"/>
        <v>1.209622641509434</v>
      </c>
      <c r="U35" s="11">
        <v>10</v>
      </c>
      <c r="V35" s="36">
        <v>22</v>
      </c>
      <c r="W35" s="36">
        <v>26.1</v>
      </c>
      <c r="X35" s="4">
        <f t="shared" si="22"/>
        <v>1.1863636363636365</v>
      </c>
      <c r="Y35" s="11">
        <v>5</v>
      </c>
      <c r="Z35" s="45">
        <f t="shared" si="23"/>
        <v>0.99219220238662009</v>
      </c>
      <c r="AA35" s="46">
        <v>21062</v>
      </c>
      <c r="AB35" s="36">
        <f t="shared" si="15"/>
        <v>1914.7272727272727</v>
      </c>
      <c r="AC35" s="36">
        <f t="shared" si="16"/>
        <v>1899.8</v>
      </c>
      <c r="AD35" s="36">
        <f t="shared" si="17"/>
        <v>-14.927272727272793</v>
      </c>
      <c r="AE35" s="36">
        <v>-269.5</v>
      </c>
      <c r="AF35" s="36">
        <f t="shared" si="18"/>
        <v>1630.3</v>
      </c>
      <c r="AG35" s="36"/>
      <c r="AH35" s="36">
        <f t="shared" si="19"/>
        <v>1630.3</v>
      </c>
      <c r="AI35" s="36"/>
      <c r="AJ35" s="36">
        <f t="shared" si="20"/>
        <v>1630.3</v>
      </c>
    </row>
    <row r="36" spans="1:186" s="2" customFormat="1" ht="16.95" customHeight="1">
      <c r="A36" s="13" t="s">
        <v>37</v>
      </c>
      <c r="B36" s="36">
        <v>13896</v>
      </c>
      <c r="C36" s="36">
        <v>17789.599999999999</v>
      </c>
      <c r="D36" s="4">
        <f t="shared" si="12"/>
        <v>1.2080195739781232</v>
      </c>
      <c r="E36" s="11">
        <v>10</v>
      </c>
      <c r="F36" s="61" t="s">
        <v>394</v>
      </c>
      <c r="G36" s="61" t="s">
        <v>394</v>
      </c>
      <c r="H36" s="61" t="s">
        <v>394</v>
      </c>
      <c r="I36" s="61" t="s">
        <v>394</v>
      </c>
      <c r="J36" s="46">
        <v>310</v>
      </c>
      <c r="K36" s="46">
        <v>275</v>
      </c>
      <c r="L36" s="4">
        <f t="shared" si="13"/>
        <v>1.1272727272727272</v>
      </c>
      <c r="M36" s="11">
        <v>15</v>
      </c>
      <c r="N36" s="36">
        <v>12029.6</v>
      </c>
      <c r="O36" s="36">
        <v>9734.7000000000007</v>
      </c>
      <c r="P36" s="4">
        <f t="shared" si="14"/>
        <v>0.80922890204163067</v>
      </c>
      <c r="Q36" s="11">
        <v>20</v>
      </c>
      <c r="R36" s="36">
        <v>1039</v>
      </c>
      <c r="S36" s="36">
        <v>1044.7</v>
      </c>
      <c r="T36" s="4">
        <f t="shared" si="21"/>
        <v>1.0054860442733398</v>
      </c>
      <c r="U36" s="11">
        <v>10</v>
      </c>
      <c r="V36" s="36">
        <v>562.70000000000005</v>
      </c>
      <c r="W36" s="36">
        <v>562.9</v>
      </c>
      <c r="X36" s="4">
        <f t="shared" si="22"/>
        <v>1.0003554291807357</v>
      </c>
      <c r="Y36" s="11">
        <v>10</v>
      </c>
      <c r="Z36" s="45">
        <f t="shared" si="23"/>
        <v>1.0035735296037771</v>
      </c>
      <c r="AA36" s="46">
        <v>69675</v>
      </c>
      <c r="AB36" s="36">
        <f t="shared" si="15"/>
        <v>6334.090909090909</v>
      </c>
      <c r="AC36" s="36">
        <f t="shared" si="16"/>
        <v>6356.7</v>
      </c>
      <c r="AD36" s="36">
        <f t="shared" si="17"/>
        <v>22.60909090909081</v>
      </c>
      <c r="AE36" s="36">
        <v>-232.4</v>
      </c>
      <c r="AF36" s="36">
        <f t="shared" si="18"/>
        <v>6124.3</v>
      </c>
      <c r="AG36" s="36"/>
      <c r="AH36" s="36">
        <f t="shared" si="19"/>
        <v>6124.3</v>
      </c>
      <c r="AI36" s="36"/>
      <c r="AJ36" s="36">
        <f t="shared" si="20"/>
        <v>6124.3</v>
      </c>
    </row>
    <row r="37" spans="1:186" s="2" customFormat="1" ht="16.95" customHeight="1">
      <c r="A37" s="13" t="s">
        <v>38</v>
      </c>
      <c r="B37" s="36">
        <v>16259</v>
      </c>
      <c r="C37" s="36">
        <v>16816</v>
      </c>
      <c r="D37" s="4">
        <f t="shared" si="12"/>
        <v>1.0342579494433852</v>
      </c>
      <c r="E37" s="11">
        <v>10</v>
      </c>
      <c r="F37" s="61" t="s">
        <v>394</v>
      </c>
      <c r="G37" s="61" t="s">
        <v>394</v>
      </c>
      <c r="H37" s="61" t="s">
        <v>394</v>
      </c>
      <c r="I37" s="61" t="s">
        <v>394</v>
      </c>
      <c r="J37" s="46">
        <v>770</v>
      </c>
      <c r="K37" s="46">
        <v>662</v>
      </c>
      <c r="L37" s="4">
        <f t="shared" si="13"/>
        <v>1.1631419939577039</v>
      </c>
      <c r="M37" s="11">
        <v>15</v>
      </c>
      <c r="N37" s="36">
        <v>6635.1</v>
      </c>
      <c r="O37" s="36">
        <v>12382.8</v>
      </c>
      <c r="P37" s="4">
        <f t="shared" si="14"/>
        <v>1.2666256725595695</v>
      </c>
      <c r="Q37" s="11">
        <v>20</v>
      </c>
      <c r="R37" s="36">
        <v>230</v>
      </c>
      <c r="S37" s="36">
        <v>234.9</v>
      </c>
      <c r="T37" s="4">
        <f t="shared" si="21"/>
        <v>1.021304347826087</v>
      </c>
      <c r="U37" s="11">
        <v>10</v>
      </c>
      <c r="V37" s="36">
        <v>44</v>
      </c>
      <c r="W37" s="36">
        <v>47.6</v>
      </c>
      <c r="X37" s="4">
        <f t="shared" si="22"/>
        <v>1.0818181818181818</v>
      </c>
      <c r="Y37" s="11">
        <v>10</v>
      </c>
      <c r="Z37" s="45">
        <f t="shared" si="23"/>
        <v>1.1408222792528229</v>
      </c>
      <c r="AA37" s="46">
        <v>31093</v>
      </c>
      <c r="AB37" s="36">
        <f t="shared" si="15"/>
        <v>2826.6363636363635</v>
      </c>
      <c r="AC37" s="36">
        <f t="shared" si="16"/>
        <v>3224.7</v>
      </c>
      <c r="AD37" s="36">
        <f t="shared" si="17"/>
        <v>398.06363636363631</v>
      </c>
      <c r="AE37" s="36">
        <v>-205</v>
      </c>
      <c r="AF37" s="36">
        <f t="shared" si="18"/>
        <v>3019.7</v>
      </c>
      <c r="AG37" s="36"/>
      <c r="AH37" s="36">
        <f t="shared" si="19"/>
        <v>3019.7</v>
      </c>
      <c r="AI37" s="36"/>
      <c r="AJ37" s="36">
        <f t="shared" si="20"/>
        <v>3019.7</v>
      </c>
    </row>
    <row r="38" spans="1:186" s="2" customFormat="1" ht="16.95" customHeight="1">
      <c r="A38" s="13" t="s">
        <v>39</v>
      </c>
      <c r="B38" s="36">
        <v>99108</v>
      </c>
      <c r="C38" s="36">
        <v>114667.7</v>
      </c>
      <c r="D38" s="4">
        <f t="shared" si="12"/>
        <v>1.1569974169592767</v>
      </c>
      <c r="E38" s="11">
        <v>10</v>
      </c>
      <c r="F38" s="61" t="s">
        <v>394</v>
      </c>
      <c r="G38" s="61" t="s">
        <v>394</v>
      </c>
      <c r="H38" s="61" t="s">
        <v>394</v>
      </c>
      <c r="I38" s="61" t="s">
        <v>394</v>
      </c>
      <c r="J38" s="46">
        <v>360</v>
      </c>
      <c r="K38" s="46">
        <v>330</v>
      </c>
      <c r="L38" s="4">
        <f t="shared" si="13"/>
        <v>1.0909090909090908</v>
      </c>
      <c r="M38" s="11">
        <v>10</v>
      </c>
      <c r="N38" s="36">
        <v>31474.799999999999</v>
      </c>
      <c r="O38" s="36">
        <v>31399.9</v>
      </c>
      <c r="P38" s="4">
        <f t="shared" si="14"/>
        <v>0.99762031847700394</v>
      </c>
      <c r="Q38" s="11">
        <v>20</v>
      </c>
      <c r="R38" s="36">
        <v>160</v>
      </c>
      <c r="S38" s="36">
        <v>164.1</v>
      </c>
      <c r="T38" s="4">
        <f t="shared" si="21"/>
        <v>1.025625</v>
      </c>
      <c r="U38" s="11">
        <v>5</v>
      </c>
      <c r="V38" s="36">
        <v>15.2</v>
      </c>
      <c r="W38" s="36">
        <v>15.8</v>
      </c>
      <c r="X38" s="4">
        <f t="shared" si="22"/>
        <v>1.0394736842105263</v>
      </c>
      <c r="Y38" s="11">
        <v>5</v>
      </c>
      <c r="Z38" s="45">
        <f t="shared" si="23"/>
        <v>1.0551392973855276</v>
      </c>
      <c r="AA38" s="46">
        <v>22612</v>
      </c>
      <c r="AB38" s="36">
        <f t="shared" si="15"/>
        <v>2055.6363636363635</v>
      </c>
      <c r="AC38" s="36">
        <f t="shared" si="16"/>
        <v>2169</v>
      </c>
      <c r="AD38" s="36">
        <f t="shared" si="17"/>
        <v>113.36363636363649</v>
      </c>
      <c r="AE38" s="36">
        <v>-197.1</v>
      </c>
      <c r="AF38" s="36">
        <f t="shared" si="18"/>
        <v>1971.9</v>
      </c>
      <c r="AG38" s="36"/>
      <c r="AH38" s="36">
        <f t="shared" si="19"/>
        <v>1971.9</v>
      </c>
      <c r="AI38" s="36"/>
      <c r="AJ38" s="36">
        <f t="shared" si="20"/>
        <v>1971.9</v>
      </c>
    </row>
    <row r="39" spans="1:186" s="2" customFormat="1" ht="16.95" customHeight="1">
      <c r="A39" s="13" t="s">
        <v>40</v>
      </c>
      <c r="B39" s="36">
        <v>1480973</v>
      </c>
      <c r="C39" s="36">
        <v>919892.9</v>
      </c>
      <c r="D39" s="4">
        <f t="shared" si="12"/>
        <v>0.62114089858491683</v>
      </c>
      <c r="E39" s="11">
        <v>10</v>
      </c>
      <c r="F39" s="61" t="s">
        <v>394</v>
      </c>
      <c r="G39" s="61" t="s">
        <v>394</v>
      </c>
      <c r="H39" s="61" t="s">
        <v>394</v>
      </c>
      <c r="I39" s="61" t="s">
        <v>394</v>
      </c>
      <c r="J39" s="46">
        <v>280</v>
      </c>
      <c r="K39" s="46">
        <v>299</v>
      </c>
      <c r="L39" s="4">
        <f t="shared" si="13"/>
        <v>0.9364548494983278</v>
      </c>
      <c r="M39" s="11">
        <v>5</v>
      </c>
      <c r="N39" s="36">
        <v>45744</v>
      </c>
      <c r="O39" s="36">
        <v>37331.699999999997</v>
      </c>
      <c r="P39" s="4">
        <f t="shared" si="14"/>
        <v>0.81610047219307447</v>
      </c>
      <c r="Q39" s="11">
        <v>20</v>
      </c>
      <c r="R39" s="36">
        <v>1363</v>
      </c>
      <c r="S39" s="36">
        <v>1555.8</v>
      </c>
      <c r="T39" s="4">
        <f t="shared" si="21"/>
        <v>1.141452677916361</v>
      </c>
      <c r="U39" s="11">
        <v>10</v>
      </c>
      <c r="V39" s="36">
        <v>1270</v>
      </c>
      <c r="W39" s="36">
        <v>940.6</v>
      </c>
      <c r="X39" s="4">
        <f t="shared" si="22"/>
        <v>0.74062992125984251</v>
      </c>
      <c r="Y39" s="11">
        <v>10</v>
      </c>
      <c r="Z39" s="45">
        <f t="shared" si="23"/>
        <v>0.83702761216298793</v>
      </c>
      <c r="AA39" s="46">
        <v>81789</v>
      </c>
      <c r="AB39" s="36">
        <f t="shared" si="15"/>
        <v>7435.363636363636</v>
      </c>
      <c r="AC39" s="36">
        <f t="shared" si="16"/>
        <v>6223.6</v>
      </c>
      <c r="AD39" s="36">
        <f t="shared" si="17"/>
        <v>-1211.7636363636357</v>
      </c>
      <c r="AE39" s="36">
        <v>-348.3</v>
      </c>
      <c r="AF39" s="36">
        <f t="shared" si="18"/>
        <v>5875.3</v>
      </c>
      <c r="AG39" s="36"/>
      <c r="AH39" s="36">
        <f t="shared" si="19"/>
        <v>5875.3</v>
      </c>
      <c r="AI39" s="36"/>
      <c r="AJ39" s="36">
        <f t="shared" si="20"/>
        <v>5875.3</v>
      </c>
    </row>
    <row r="40" spans="1:186" s="2" customFormat="1" ht="16.95" customHeight="1">
      <c r="A40" s="13" t="s">
        <v>41</v>
      </c>
      <c r="B40" s="36">
        <v>42597</v>
      </c>
      <c r="C40" s="36">
        <v>38922.199999999997</v>
      </c>
      <c r="D40" s="4">
        <f t="shared" si="12"/>
        <v>0.91373101392116807</v>
      </c>
      <c r="E40" s="11">
        <v>10</v>
      </c>
      <c r="F40" s="61" t="s">
        <v>394</v>
      </c>
      <c r="G40" s="61" t="s">
        <v>394</v>
      </c>
      <c r="H40" s="61" t="s">
        <v>394</v>
      </c>
      <c r="I40" s="61" t="s">
        <v>394</v>
      </c>
      <c r="J40" s="46">
        <v>120</v>
      </c>
      <c r="K40" s="46">
        <v>131</v>
      </c>
      <c r="L40" s="4">
        <f t="shared" si="13"/>
        <v>0.91603053435114501</v>
      </c>
      <c r="M40" s="11">
        <v>5</v>
      </c>
      <c r="N40" s="36">
        <v>12386.8</v>
      </c>
      <c r="O40" s="36">
        <v>13635.6</v>
      </c>
      <c r="P40" s="4">
        <f t="shared" si="14"/>
        <v>1.1008169987405949</v>
      </c>
      <c r="Q40" s="11">
        <v>20</v>
      </c>
      <c r="R40" s="36">
        <v>579</v>
      </c>
      <c r="S40" s="36">
        <v>632.5</v>
      </c>
      <c r="T40" s="4">
        <f t="shared" si="21"/>
        <v>1.0924006908462867</v>
      </c>
      <c r="U40" s="11">
        <v>5</v>
      </c>
      <c r="V40" s="36">
        <v>16.7</v>
      </c>
      <c r="W40" s="36">
        <v>23.9</v>
      </c>
      <c r="X40" s="4">
        <f t="shared" si="22"/>
        <v>1.2231137724550898</v>
      </c>
      <c r="Y40" s="11">
        <v>5</v>
      </c>
      <c r="Z40" s="45">
        <f t="shared" si="23"/>
        <v>1.0513638911619154</v>
      </c>
      <c r="AA40" s="46">
        <v>32620</v>
      </c>
      <c r="AB40" s="36">
        <f t="shared" si="15"/>
        <v>2965.4545454545455</v>
      </c>
      <c r="AC40" s="36">
        <f t="shared" si="16"/>
        <v>3117.8</v>
      </c>
      <c r="AD40" s="36">
        <f t="shared" si="17"/>
        <v>152.34545454545469</v>
      </c>
      <c r="AE40" s="36">
        <v>-420.2</v>
      </c>
      <c r="AF40" s="36">
        <f t="shared" si="18"/>
        <v>2697.6</v>
      </c>
      <c r="AG40" s="36"/>
      <c r="AH40" s="36">
        <f t="shared" si="19"/>
        <v>2697.6</v>
      </c>
      <c r="AI40" s="36"/>
      <c r="AJ40" s="36">
        <f t="shared" si="20"/>
        <v>2697.6</v>
      </c>
    </row>
    <row r="41" spans="1:186" s="2" customFormat="1" ht="16.95" customHeight="1">
      <c r="A41" s="13" t="s">
        <v>2</v>
      </c>
      <c r="B41" s="36">
        <v>10005</v>
      </c>
      <c r="C41" s="36">
        <v>11299.1</v>
      </c>
      <c r="D41" s="4">
        <f t="shared" si="12"/>
        <v>1.1293453273363319</v>
      </c>
      <c r="E41" s="11">
        <v>10</v>
      </c>
      <c r="F41" s="61" t="s">
        <v>394</v>
      </c>
      <c r="G41" s="61" t="s">
        <v>394</v>
      </c>
      <c r="H41" s="61" t="s">
        <v>394</v>
      </c>
      <c r="I41" s="61" t="s">
        <v>394</v>
      </c>
      <c r="J41" s="46">
        <v>250</v>
      </c>
      <c r="K41" s="46">
        <v>250</v>
      </c>
      <c r="L41" s="4">
        <f t="shared" si="13"/>
        <v>1</v>
      </c>
      <c r="M41" s="11">
        <v>15</v>
      </c>
      <c r="N41" s="36">
        <v>6406.2</v>
      </c>
      <c r="O41" s="36">
        <v>5403.6</v>
      </c>
      <c r="P41" s="4">
        <f t="shared" si="14"/>
        <v>0.84349536386625468</v>
      </c>
      <c r="Q41" s="11">
        <v>20</v>
      </c>
      <c r="R41" s="36">
        <v>346</v>
      </c>
      <c r="S41" s="36">
        <v>413.8</v>
      </c>
      <c r="T41" s="4">
        <f t="shared" si="21"/>
        <v>1.1959537572254335</v>
      </c>
      <c r="U41" s="11">
        <v>5</v>
      </c>
      <c r="V41" s="36">
        <v>38</v>
      </c>
      <c r="W41" s="36">
        <v>42.5</v>
      </c>
      <c r="X41" s="4">
        <f t="shared" si="22"/>
        <v>1.118421052631579</v>
      </c>
      <c r="Y41" s="11">
        <v>5</v>
      </c>
      <c r="Z41" s="45">
        <f t="shared" si="23"/>
        <v>0.99518608363588135</v>
      </c>
      <c r="AA41" s="46">
        <v>41942</v>
      </c>
      <c r="AB41" s="36">
        <f t="shared" si="15"/>
        <v>3812.909090909091</v>
      </c>
      <c r="AC41" s="36">
        <f t="shared" si="16"/>
        <v>3794.6</v>
      </c>
      <c r="AD41" s="36">
        <f t="shared" si="17"/>
        <v>-18.309090909091083</v>
      </c>
      <c r="AE41" s="36">
        <v>-228.5</v>
      </c>
      <c r="AF41" s="36">
        <f t="shared" si="18"/>
        <v>3566.1</v>
      </c>
      <c r="AG41" s="36"/>
      <c r="AH41" s="36">
        <f t="shared" si="19"/>
        <v>3566.1</v>
      </c>
      <c r="AI41" s="36"/>
      <c r="AJ41" s="36">
        <f t="shared" si="20"/>
        <v>3566.1</v>
      </c>
    </row>
    <row r="42" spans="1:186" s="2" customFormat="1" ht="16.95" customHeight="1">
      <c r="A42" s="13" t="s">
        <v>42</v>
      </c>
      <c r="B42" s="36">
        <v>27773</v>
      </c>
      <c r="C42" s="36">
        <v>32312.3</v>
      </c>
      <c r="D42" s="4">
        <f t="shared" si="12"/>
        <v>1.1634429121808951</v>
      </c>
      <c r="E42" s="11">
        <v>10</v>
      </c>
      <c r="F42" s="61" t="s">
        <v>394</v>
      </c>
      <c r="G42" s="61" t="s">
        <v>394</v>
      </c>
      <c r="H42" s="61" t="s">
        <v>394</v>
      </c>
      <c r="I42" s="61" t="s">
        <v>394</v>
      </c>
      <c r="J42" s="46">
        <v>180</v>
      </c>
      <c r="K42" s="46">
        <v>129</v>
      </c>
      <c r="L42" s="4">
        <f t="shared" si="13"/>
        <v>1.2195348837209301</v>
      </c>
      <c r="M42" s="11">
        <v>10</v>
      </c>
      <c r="N42" s="36">
        <v>7041.8</v>
      </c>
      <c r="O42" s="36">
        <v>5908.9</v>
      </c>
      <c r="P42" s="4">
        <f t="shared" si="14"/>
        <v>0.83911783918884364</v>
      </c>
      <c r="Q42" s="11">
        <v>20</v>
      </c>
      <c r="R42" s="36">
        <v>208.5</v>
      </c>
      <c r="S42" s="36">
        <v>209</v>
      </c>
      <c r="T42" s="4">
        <f t="shared" si="21"/>
        <v>1.0023980815347722</v>
      </c>
      <c r="U42" s="11">
        <v>5</v>
      </c>
      <c r="V42" s="36">
        <v>28.5</v>
      </c>
      <c r="W42" s="36">
        <v>30</v>
      </c>
      <c r="X42" s="4">
        <f t="shared" si="22"/>
        <v>1.0526315789473684</v>
      </c>
      <c r="Y42" s="11">
        <v>5</v>
      </c>
      <c r="Z42" s="45">
        <f t="shared" si="23"/>
        <v>1.0177456609041164</v>
      </c>
      <c r="AA42" s="46">
        <v>22266</v>
      </c>
      <c r="AB42" s="36">
        <f t="shared" si="15"/>
        <v>2024.1818181818182</v>
      </c>
      <c r="AC42" s="36">
        <f t="shared" si="16"/>
        <v>2060.1</v>
      </c>
      <c r="AD42" s="36">
        <f t="shared" si="17"/>
        <v>35.918181818181665</v>
      </c>
      <c r="AE42" s="36">
        <v>-92.5</v>
      </c>
      <c r="AF42" s="36">
        <f t="shared" si="18"/>
        <v>1967.6</v>
      </c>
      <c r="AG42" s="36"/>
      <c r="AH42" s="36">
        <f t="shared" si="19"/>
        <v>1967.6</v>
      </c>
      <c r="AI42" s="36"/>
      <c r="AJ42" s="36">
        <f t="shared" si="20"/>
        <v>1967.6</v>
      </c>
    </row>
    <row r="43" spans="1:186" s="2" customFormat="1" ht="16.95" customHeight="1">
      <c r="A43" s="13" t="s">
        <v>3</v>
      </c>
      <c r="B43" s="36">
        <v>55506</v>
      </c>
      <c r="C43" s="36">
        <v>44779.7</v>
      </c>
      <c r="D43" s="4">
        <f t="shared" si="12"/>
        <v>0.80675422476849346</v>
      </c>
      <c r="E43" s="11">
        <v>10</v>
      </c>
      <c r="F43" s="61" t="s">
        <v>394</v>
      </c>
      <c r="G43" s="61" t="s">
        <v>394</v>
      </c>
      <c r="H43" s="61" t="s">
        <v>394</v>
      </c>
      <c r="I43" s="61" t="s">
        <v>394</v>
      </c>
      <c r="J43" s="46">
        <v>210</v>
      </c>
      <c r="K43" s="46">
        <v>185</v>
      </c>
      <c r="L43" s="4">
        <f t="shared" si="13"/>
        <v>1.1351351351351351</v>
      </c>
      <c r="M43" s="11">
        <v>10</v>
      </c>
      <c r="N43" s="36">
        <v>5217.3</v>
      </c>
      <c r="O43" s="36">
        <v>8525.6</v>
      </c>
      <c r="P43" s="4">
        <f t="shared" si="14"/>
        <v>1.243410193011711</v>
      </c>
      <c r="Q43" s="11">
        <v>20</v>
      </c>
      <c r="R43" s="36">
        <v>467</v>
      </c>
      <c r="S43" s="36">
        <v>473.3</v>
      </c>
      <c r="T43" s="4">
        <f t="shared" si="21"/>
        <v>1.013490364025696</v>
      </c>
      <c r="U43" s="11">
        <v>5</v>
      </c>
      <c r="V43" s="36">
        <v>22.7</v>
      </c>
      <c r="W43" s="36">
        <v>25.8</v>
      </c>
      <c r="X43" s="4">
        <f t="shared" si="22"/>
        <v>1.1365638766519826</v>
      </c>
      <c r="Y43" s="11">
        <v>5</v>
      </c>
      <c r="Z43" s="45">
        <f t="shared" si="23"/>
        <v>1.1007473732531781</v>
      </c>
      <c r="AA43" s="46">
        <v>23959</v>
      </c>
      <c r="AB43" s="36">
        <f t="shared" si="15"/>
        <v>2178.090909090909</v>
      </c>
      <c r="AC43" s="36">
        <f t="shared" si="16"/>
        <v>2397.5</v>
      </c>
      <c r="AD43" s="36">
        <f t="shared" si="17"/>
        <v>219.40909090909099</v>
      </c>
      <c r="AE43" s="36">
        <v>136.69999999999999</v>
      </c>
      <c r="AF43" s="36">
        <f t="shared" si="18"/>
        <v>2534.1999999999998</v>
      </c>
      <c r="AG43" s="36"/>
      <c r="AH43" s="36">
        <f t="shared" si="19"/>
        <v>2534.1999999999998</v>
      </c>
      <c r="AI43" s="36"/>
      <c r="AJ43" s="36">
        <f t="shared" si="20"/>
        <v>2534.1999999999998</v>
      </c>
    </row>
    <row r="44" spans="1:186" s="2" customFormat="1" ht="16.95" customHeight="1">
      <c r="A44" s="13" t="s">
        <v>43</v>
      </c>
      <c r="B44" s="36">
        <v>12721</v>
      </c>
      <c r="C44" s="36">
        <v>11868.3</v>
      </c>
      <c r="D44" s="4">
        <f t="shared" si="12"/>
        <v>0.93296910620234252</v>
      </c>
      <c r="E44" s="11">
        <v>10</v>
      </c>
      <c r="F44" s="61" t="s">
        <v>394</v>
      </c>
      <c r="G44" s="61" t="s">
        <v>394</v>
      </c>
      <c r="H44" s="61" t="s">
        <v>394</v>
      </c>
      <c r="I44" s="61" t="s">
        <v>394</v>
      </c>
      <c r="J44" s="46">
        <v>180</v>
      </c>
      <c r="K44" s="46">
        <v>155</v>
      </c>
      <c r="L44" s="4">
        <f t="shared" si="13"/>
        <v>1.1612903225806452</v>
      </c>
      <c r="M44" s="11">
        <v>10</v>
      </c>
      <c r="N44" s="36">
        <v>7770.2</v>
      </c>
      <c r="O44" s="36">
        <v>12364.1</v>
      </c>
      <c r="P44" s="4">
        <f t="shared" si="14"/>
        <v>1.2391220303209698</v>
      </c>
      <c r="Q44" s="11">
        <v>20</v>
      </c>
      <c r="R44" s="36">
        <v>38</v>
      </c>
      <c r="S44" s="36">
        <v>41.8</v>
      </c>
      <c r="T44" s="4">
        <f t="shared" si="21"/>
        <v>1.0999999999999999</v>
      </c>
      <c r="U44" s="11">
        <v>5</v>
      </c>
      <c r="V44" s="36">
        <v>5</v>
      </c>
      <c r="W44" s="36">
        <v>4.0999999999999996</v>
      </c>
      <c r="X44" s="4">
        <f t="shared" si="22"/>
        <v>0.82</v>
      </c>
      <c r="Y44" s="11">
        <v>5</v>
      </c>
      <c r="Z44" s="45">
        <f t="shared" si="23"/>
        <v>1.1065006978849856</v>
      </c>
      <c r="AA44" s="46">
        <v>33161</v>
      </c>
      <c r="AB44" s="36">
        <f t="shared" si="15"/>
        <v>3014.6363636363635</v>
      </c>
      <c r="AC44" s="36">
        <f t="shared" si="16"/>
        <v>3335.7</v>
      </c>
      <c r="AD44" s="36">
        <f t="shared" si="17"/>
        <v>321.06363636363631</v>
      </c>
      <c r="AE44" s="36">
        <v>-465.3</v>
      </c>
      <c r="AF44" s="36">
        <f t="shared" si="18"/>
        <v>2870.4</v>
      </c>
      <c r="AG44" s="36"/>
      <c r="AH44" s="36">
        <f t="shared" si="19"/>
        <v>2870.4</v>
      </c>
      <c r="AI44" s="36"/>
      <c r="AJ44" s="36">
        <f t="shared" si="20"/>
        <v>2870.4</v>
      </c>
    </row>
    <row r="45" spans="1:186" s="2" customFormat="1" ht="16.95" customHeight="1">
      <c r="A45" s="17" t="s">
        <v>44</v>
      </c>
      <c r="B45" s="35">
        <f>SUM(B46:B376)</f>
        <v>7105421</v>
      </c>
      <c r="C45" s="35">
        <f>SUM(C46:C376)</f>
        <v>7334726.2000000002</v>
      </c>
      <c r="D45" s="6">
        <f>IF(C45/B45&gt;1.2,IF((C45/B45-1.2)*0.1+1.2&gt;1.3,1.3,(C45/B45-1.2)*0.1+1.2),C45/B45)</f>
        <v>1.0322718667901594</v>
      </c>
      <c r="E45" s="16"/>
      <c r="F45" s="7"/>
      <c r="G45" s="6"/>
      <c r="H45" s="6"/>
      <c r="I45" s="16"/>
      <c r="J45" s="7"/>
      <c r="K45" s="7"/>
      <c r="L45" s="7"/>
      <c r="M45" s="16"/>
      <c r="N45" s="35">
        <f>SUM(N46:N376)</f>
        <v>222582.80000000002</v>
      </c>
      <c r="O45" s="35">
        <f>SUM(O46:O376)</f>
        <v>162744.5</v>
      </c>
      <c r="P45" s="6">
        <f>IF(O45/N45&gt;1.2,IF((O45/N45-1.2)*0.1+1.2&gt;1.3,1.3,(O45/N45-1.2)*0.1+1.2),O45/N45)</f>
        <v>0.73116386351506035</v>
      </c>
      <c r="Q45" s="16"/>
      <c r="R45" s="35">
        <f>SUM(R46:R376)</f>
        <v>13110.300000000003</v>
      </c>
      <c r="S45" s="35">
        <f>SUM(S46:S376)</f>
        <v>14380.499999999996</v>
      </c>
      <c r="T45" s="6">
        <f>IF(S45/R45&gt;1.2,IF((S45/R45-1.2)*0.1+1.2&gt;1.3,1.3,(S45/R45-1.2)*0.1+1.2),S45/R45)</f>
        <v>1.0968856547905077</v>
      </c>
      <c r="U45" s="16"/>
      <c r="V45" s="35">
        <f>SUM(V46:V376)</f>
        <v>5511.1</v>
      </c>
      <c r="W45" s="35">
        <f>SUM(W46:W376)</f>
        <v>7115.1000000000049</v>
      </c>
      <c r="X45" s="6">
        <f>IF(W45/V45&gt;1.2,IF((W45/V45-1.2)*0.1+1.2&gt;1.3,1.3,(W45/V45-1.2)*0.1+1.2),W45/V45)</f>
        <v>1.209104897388906</v>
      </c>
      <c r="Y45" s="16"/>
      <c r="Z45" s="8"/>
      <c r="AA45" s="21">
        <f>SUM(AA46:AA376)</f>
        <v>616086</v>
      </c>
      <c r="AB45" s="35">
        <f t="shared" ref="AB45:AJ45" si="24">SUM(AB46:AB376)</f>
        <v>56007.818181818155</v>
      </c>
      <c r="AC45" s="35">
        <f t="shared" si="24"/>
        <v>54570.099999999962</v>
      </c>
      <c r="AD45" s="35">
        <f t="shared" si="24"/>
        <v>-1437.7181818181816</v>
      </c>
      <c r="AE45" s="35">
        <f t="shared" si="24"/>
        <v>-80.700000000000088</v>
      </c>
      <c r="AF45" s="35">
        <f t="shared" si="24"/>
        <v>54489.399999999987</v>
      </c>
      <c r="AG45" s="35">
        <f t="shared" si="24"/>
        <v>1682.7</v>
      </c>
      <c r="AH45" s="35">
        <f t="shared" si="24"/>
        <v>52806.699999999975</v>
      </c>
      <c r="AI45" s="35">
        <f t="shared" si="24"/>
        <v>0</v>
      </c>
      <c r="AJ45" s="35">
        <f t="shared" si="24"/>
        <v>52806.699999999975</v>
      </c>
    </row>
    <row r="46" spans="1:186" s="2" customFormat="1" ht="16.95" customHeight="1">
      <c r="A46" s="18" t="s">
        <v>45</v>
      </c>
      <c r="B46" s="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186" s="2" customFormat="1" ht="16.95" customHeight="1">
      <c r="A47" s="14" t="s">
        <v>46</v>
      </c>
      <c r="B47" s="36">
        <v>50</v>
      </c>
      <c r="C47" s="36">
        <v>59</v>
      </c>
      <c r="D47" s="4">
        <f t="shared" ref="D47:D110" si="25">IF(E47=0,0,IF(B47=0,1,IF(C47&lt;0,0,IF(C47/B47&gt;1.2,IF((C47/B47-1.2)*0.1+1.2&gt;1.3,1.3,(C47/B47-1.2)*0.1+1.2),C47/B47))))</f>
        <v>1.18</v>
      </c>
      <c r="E47" s="11">
        <v>10</v>
      </c>
      <c r="F47" s="5" t="s">
        <v>370</v>
      </c>
      <c r="G47" s="5" t="s">
        <v>370</v>
      </c>
      <c r="H47" s="5" t="s">
        <v>370</v>
      </c>
      <c r="I47" s="5" t="s">
        <v>370</v>
      </c>
      <c r="J47" s="5" t="s">
        <v>370</v>
      </c>
      <c r="K47" s="5" t="s">
        <v>370</v>
      </c>
      <c r="L47" s="5" t="s">
        <v>370</v>
      </c>
      <c r="M47" s="5" t="s">
        <v>370</v>
      </c>
      <c r="N47" s="36">
        <v>312.7</v>
      </c>
      <c r="O47" s="36">
        <v>114.5</v>
      </c>
      <c r="P47" s="4">
        <f t="shared" ref="P47:P110" si="26">IF(Q47=0,0,IF(N47=0,1,IF(O47&lt;0,0,IF(O47/N47&gt;1.2,IF((O47/N47-1.2)*0.1+1.2&gt;1.3,1.3,(O47/N47-1.2)*0.1+1.2),O47/N47))))</f>
        <v>0.3661656539814519</v>
      </c>
      <c r="Q47" s="11">
        <v>20</v>
      </c>
      <c r="R47" s="36">
        <v>22</v>
      </c>
      <c r="S47" s="36">
        <v>22.9</v>
      </c>
      <c r="T47" s="4">
        <f t="shared" ref="T47:T110" si="27">IF(U47=0,0,IF(R47=0,1,IF(S47&lt;0,0,IF(S47/R47&gt;1.2,IF((S47/R47-1.2)*0.1+1.2&gt;1.3,1.3,(S47/R47-1.2)*0.1+1.2),S47/R47))))</f>
        <v>1.0409090909090908</v>
      </c>
      <c r="U47" s="11">
        <v>30</v>
      </c>
      <c r="V47" s="36">
        <v>3</v>
      </c>
      <c r="W47" s="36">
        <v>3.2</v>
      </c>
      <c r="X47" s="4">
        <f t="shared" ref="X47:X110" si="28">IF(Y47=0,0,IF(V47=0,1,IF(W47&lt;0,0,IF(W47/V47&gt;1.2,IF((W47/V47-1.2)*0.1+1.2&gt;1.3,1.3,(W47/V47-1.2)*0.1+1.2),W47/V47))))</f>
        <v>1.0666666666666667</v>
      </c>
      <c r="Y47" s="11">
        <v>20</v>
      </c>
      <c r="Z47" s="45">
        <f>(D47*E47+P47*Q47+T47*U47+X47*Y47)/(E47+Q47+U47+Y47)</f>
        <v>0.89604898925293863</v>
      </c>
      <c r="AA47" s="46">
        <v>2669</v>
      </c>
      <c r="AB47" s="36">
        <f t="shared" ref="AB47:AB110" si="29">AA47/11</f>
        <v>242.63636363636363</v>
      </c>
      <c r="AC47" s="36">
        <f t="shared" ref="AC47:AC110" si="30">ROUND(Z47*AB47,1)</f>
        <v>217.4</v>
      </c>
      <c r="AD47" s="36">
        <f t="shared" ref="AD47:AD110" si="31">AC47-AB47</f>
        <v>-25.23636363636362</v>
      </c>
      <c r="AE47" s="36">
        <v>0.7</v>
      </c>
      <c r="AF47" s="36">
        <f t="shared" ref="AF47:AF110" si="32">IF((AC47+AE47)&gt;0,ROUND(AC47+AE47,1),0)</f>
        <v>218.1</v>
      </c>
      <c r="AG47" s="36"/>
      <c r="AH47" s="36">
        <f t="shared" ref="AH47:AH110" si="33">IF((AF47-AG47)&gt;0,ROUND(AF47-AG47,1),0)</f>
        <v>218.1</v>
      </c>
      <c r="AI47" s="36"/>
      <c r="AJ47" s="36">
        <f t="shared" ref="AJ47:AJ110" si="34">IF((AH47-AI47)&gt;0,ROUND(AH47-AI47,1),0)</f>
        <v>218.1</v>
      </c>
      <c r="AK47" s="9"/>
      <c r="AL47" s="9"/>
      <c r="AM47" s="9"/>
      <c r="AN47" s="9"/>
      <c r="AO47" s="9"/>
      <c r="AP47" s="9"/>
      <c r="AQ47" s="9"/>
      <c r="AR47" s="10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0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0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10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10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10"/>
      <c r="GC47" s="9"/>
      <c r="GD47" s="9"/>
    </row>
    <row r="48" spans="1:186" s="2" customFormat="1" ht="16.95" customHeight="1">
      <c r="A48" s="14" t="s">
        <v>47</v>
      </c>
      <c r="B48" s="36">
        <v>5150</v>
      </c>
      <c r="C48" s="36">
        <v>4373.3</v>
      </c>
      <c r="D48" s="4">
        <f t="shared" si="25"/>
        <v>0.84918446601941755</v>
      </c>
      <c r="E48" s="11">
        <v>10</v>
      </c>
      <c r="F48" s="5" t="s">
        <v>370</v>
      </c>
      <c r="G48" s="5" t="s">
        <v>370</v>
      </c>
      <c r="H48" s="5" t="s">
        <v>370</v>
      </c>
      <c r="I48" s="5" t="s">
        <v>370</v>
      </c>
      <c r="J48" s="5" t="s">
        <v>370</v>
      </c>
      <c r="K48" s="5" t="s">
        <v>370</v>
      </c>
      <c r="L48" s="5" t="s">
        <v>370</v>
      </c>
      <c r="M48" s="5" t="s">
        <v>370</v>
      </c>
      <c r="N48" s="36">
        <v>1140.7</v>
      </c>
      <c r="O48" s="36">
        <v>650.9</v>
      </c>
      <c r="P48" s="4">
        <f t="shared" si="26"/>
        <v>0.57061453493468917</v>
      </c>
      <c r="Q48" s="11">
        <v>20</v>
      </c>
      <c r="R48" s="36">
        <v>37</v>
      </c>
      <c r="S48" s="36">
        <v>44.2</v>
      </c>
      <c r="T48" s="4">
        <f t="shared" si="27"/>
        <v>1.1945945945945946</v>
      </c>
      <c r="U48" s="11">
        <v>25</v>
      </c>
      <c r="V48" s="36">
        <v>7</v>
      </c>
      <c r="W48" s="36">
        <v>4.9000000000000004</v>
      </c>
      <c r="X48" s="4">
        <f t="shared" si="28"/>
        <v>0.70000000000000007</v>
      </c>
      <c r="Y48" s="11">
        <v>25</v>
      </c>
      <c r="Z48" s="45">
        <f t="shared" ref="Z48:Z111" si="35">(D48*E48+P48*Q48+T48*U48+X48*Y48)/(E48+Q48+U48+Y48)</f>
        <v>0.84086250279691033</v>
      </c>
      <c r="AA48" s="46">
        <v>4599</v>
      </c>
      <c r="AB48" s="36">
        <f t="shared" si="29"/>
        <v>418.09090909090907</v>
      </c>
      <c r="AC48" s="36">
        <f t="shared" si="30"/>
        <v>351.6</v>
      </c>
      <c r="AD48" s="36">
        <f t="shared" si="31"/>
        <v>-66.490909090909042</v>
      </c>
      <c r="AE48" s="36">
        <v>-7.9</v>
      </c>
      <c r="AF48" s="36">
        <f t="shared" si="32"/>
        <v>343.7</v>
      </c>
      <c r="AG48" s="36"/>
      <c r="AH48" s="36">
        <f t="shared" si="33"/>
        <v>343.7</v>
      </c>
      <c r="AI48" s="36"/>
      <c r="AJ48" s="36">
        <f t="shared" si="34"/>
        <v>343.7</v>
      </c>
      <c r="AK48" s="9"/>
      <c r="AL48" s="9"/>
      <c r="AM48" s="9"/>
      <c r="AN48" s="9"/>
      <c r="AO48" s="9"/>
      <c r="AP48" s="9"/>
      <c r="AQ48" s="9"/>
      <c r="AR48" s="10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0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10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10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10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10"/>
      <c r="GC48" s="9"/>
      <c r="GD48" s="9"/>
    </row>
    <row r="49" spans="1:186" s="2" customFormat="1" ht="16.95" customHeight="1">
      <c r="A49" s="14" t="s">
        <v>48</v>
      </c>
      <c r="B49" s="36">
        <v>608</v>
      </c>
      <c r="C49" s="36">
        <v>457.6</v>
      </c>
      <c r="D49" s="4">
        <f t="shared" si="25"/>
        <v>0.75263157894736843</v>
      </c>
      <c r="E49" s="11">
        <v>10</v>
      </c>
      <c r="F49" s="5" t="s">
        <v>370</v>
      </c>
      <c r="G49" s="5" t="s">
        <v>370</v>
      </c>
      <c r="H49" s="5" t="s">
        <v>370</v>
      </c>
      <c r="I49" s="5" t="s">
        <v>370</v>
      </c>
      <c r="J49" s="5" t="s">
        <v>370</v>
      </c>
      <c r="K49" s="5" t="s">
        <v>370</v>
      </c>
      <c r="L49" s="5" t="s">
        <v>370</v>
      </c>
      <c r="M49" s="5" t="s">
        <v>370</v>
      </c>
      <c r="N49" s="36">
        <v>264</v>
      </c>
      <c r="O49" s="36">
        <v>77.5</v>
      </c>
      <c r="P49" s="4">
        <f t="shared" si="26"/>
        <v>0.29356060606060608</v>
      </c>
      <c r="Q49" s="11">
        <v>20</v>
      </c>
      <c r="R49" s="36">
        <v>19</v>
      </c>
      <c r="S49" s="36">
        <v>19</v>
      </c>
      <c r="T49" s="4">
        <f t="shared" si="27"/>
        <v>1</v>
      </c>
      <c r="U49" s="11">
        <v>30</v>
      </c>
      <c r="V49" s="36">
        <v>3</v>
      </c>
      <c r="W49" s="36">
        <v>3.2</v>
      </c>
      <c r="X49" s="4">
        <f t="shared" si="28"/>
        <v>1.0666666666666667</v>
      </c>
      <c r="Y49" s="11">
        <v>20</v>
      </c>
      <c r="Z49" s="45">
        <f t="shared" si="35"/>
        <v>0.80913576555023925</v>
      </c>
      <c r="AA49" s="46">
        <v>2452</v>
      </c>
      <c r="AB49" s="36">
        <f t="shared" si="29"/>
        <v>222.90909090909091</v>
      </c>
      <c r="AC49" s="36">
        <f t="shared" si="30"/>
        <v>180.4</v>
      </c>
      <c r="AD49" s="36">
        <f t="shared" si="31"/>
        <v>-42.509090909090901</v>
      </c>
      <c r="AE49" s="36">
        <v>-10.6</v>
      </c>
      <c r="AF49" s="36">
        <f t="shared" si="32"/>
        <v>169.8</v>
      </c>
      <c r="AG49" s="36"/>
      <c r="AH49" s="36">
        <f t="shared" si="33"/>
        <v>169.8</v>
      </c>
      <c r="AI49" s="36"/>
      <c r="AJ49" s="36">
        <f t="shared" si="34"/>
        <v>169.8</v>
      </c>
      <c r="AK49" s="9"/>
      <c r="AL49" s="9"/>
      <c r="AM49" s="9"/>
      <c r="AN49" s="9"/>
      <c r="AO49" s="9"/>
      <c r="AP49" s="9"/>
      <c r="AQ49" s="9"/>
      <c r="AR49" s="10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10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10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10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10"/>
      <c r="GC49" s="9"/>
      <c r="GD49" s="9"/>
    </row>
    <row r="50" spans="1:186" s="2" customFormat="1" ht="16.95" customHeight="1">
      <c r="A50" s="14" t="s">
        <v>49</v>
      </c>
      <c r="B50" s="36">
        <v>0</v>
      </c>
      <c r="C50" s="36">
        <v>0</v>
      </c>
      <c r="D50" s="4">
        <f t="shared" si="25"/>
        <v>0</v>
      </c>
      <c r="E50" s="11">
        <v>0</v>
      </c>
      <c r="F50" s="5" t="s">
        <v>370</v>
      </c>
      <c r="G50" s="5" t="s">
        <v>370</v>
      </c>
      <c r="H50" s="5" t="s">
        <v>370</v>
      </c>
      <c r="I50" s="5" t="s">
        <v>370</v>
      </c>
      <c r="J50" s="5" t="s">
        <v>370</v>
      </c>
      <c r="K50" s="5" t="s">
        <v>370</v>
      </c>
      <c r="L50" s="5" t="s">
        <v>370</v>
      </c>
      <c r="M50" s="5" t="s">
        <v>370</v>
      </c>
      <c r="N50" s="36">
        <v>77.8</v>
      </c>
      <c r="O50" s="36">
        <v>43.8</v>
      </c>
      <c r="P50" s="4">
        <f t="shared" si="26"/>
        <v>0.56298200514138819</v>
      </c>
      <c r="Q50" s="11">
        <v>20</v>
      </c>
      <c r="R50" s="36">
        <v>18</v>
      </c>
      <c r="S50" s="36">
        <v>18.600000000000001</v>
      </c>
      <c r="T50" s="4">
        <f t="shared" si="27"/>
        <v>1.0333333333333334</v>
      </c>
      <c r="U50" s="11">
        <v>25</v>
      </c>
      <c r="V50" s="36">
        <v>4</v>
      </c>
      <c r="W50" s="36">
        <v>4.3</v>
      </c>
      <c r="X50" s="4">
        <f t="shared" si="28"/>
        <v>1.075</v>
      </c>
      <c r="Y50" s="11">
        <v>25</v>
      </c>
      <c r="Z50" s="45">
        <f t="shared" si="35"/>
        <v>0.91382819194515863</v>
      </c>
      <c r="AA50" s="46">
        <v>1488</v>
      </c>
      <c r="AB50" s="36">
        <f t="shared" si="29"/>
        <v>135.27272727272728</v>
      </c>
      <c r="AC50" s="36">
        <f t="shared" si="30"/>
        <v>123.6</v>
      </c>
      <c r="AD50" s="36">
        <f t="shared" si="31"/>
        <v>-11.672727272727286</v>
      </c>
      <c r="AE50" s="36">
        <v>4</v>
      </c>
      <c r="AF50" s="36">
        <f t="shared" si="32"/>
        <v>127.6</v>
      </c>
      <c r="AG50" s="36"/>
      <c r="AH50" s="36">
        <f t="shared" si="33"/>
        <v>127.6</v>
      </c>
      <c r="AI50" s="36"/>
      <c r="AJ50" s="36">
        <f t="shared" si="34"/>
        <v>127.6</v>
      </c>
      <c r="AK50" s="9"/>
      <c r="AL50" s="9"/>
      <c r="AM50" s="9"/>
      <c r="AN50" s="9"/>
      <c r="AO50" s="9"/>
      <c r="AP50" s="9"/>
      <c r="AQ50" s="9"/>
      <c r="AR50" s="10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0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10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10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10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10"/>
      <c r="GC50" s="9"/>
      <c r="GD50" s="9"/>
    </row>
    <row r="51" spans="1:186" s="2" customFormat="1" ht="16.95" customHeight="1">
      <c r="A51" s="14" t="s">
        <v>50</v>
      </c>
      <c r="B51" s="36">
        <v>135</v>
      </c>
      <c r="C51" s="36">
        <v>144</v>
      </c>
      <c r="D51" s="4">
        <f t="shared" si="25"/>
        <v>1.0666666666666667</v>
      </c>
      <c r="E51" s="11">
        <v>10</v>
      </c>
      <c r="F51" s="5" t="s">
        <v>370</v>
      </c>
      <c r="G51" s="5" t="s">
        <v>370</v>
      </c>
      <c r="H51" s="5" t="s">
        <v>370</v>
      </c>
      <c r="I51" s="5" t="s">
        <v>370</v>
      </c>
      <c r="J51" s="5" t="s">
        <v>370</v>
      </c>
      <c r="K51" s="5" t="s">
        <v>370</v>
      </c>
      <c r="L51" s="5" t="s">
        <v>370</v>
      </c>
      <c r="M51" s="5" t="s">
        <v>370</v>
      </c>
      <c r="N51" s="36">
        <v>145.69999999999999</v>
      </c>
      <c r="O51" s="36">
        <v>36.700000000000003</v>
      </c>
      <c r="P51" s="4">
        <f t="shared" si="26"/>
        <v>0.25188743994509272</v>
      </c>
      <c r="Q51" s="11">
        <v>20</v>
      </c>
      <c r="R51" s="36">
        <v>28</v>
      </c>
      <c r="S51" s="36">
        <v>23.6</v>
      </c>
      <c r="T51" s="4">
        <f t="shared" si="27"/>
        <v>0.84285714285714286</v>
      </c>
      <c r="U51" s="11">
        <v>30</v>
      </c>
      <c r="V51" s="36">
        <v>3</v>
      </c>
      <c r="W51" s="36">
        <v>3.4</v>
      </c>
      <c r="X51" s="4">
        <f t="shared" si="28"/>
        <v>1.1333333333333333</v>
      </c>
      <c r="Y51" s="11">
        <v>20</v>
      </c>
      <c r="Z51" s="45">
        <f t="shared" si="35"/>
        <v>0.79570995522436838</v>
      </c>
      <c r="AA51" s="46">
        <v>3235</v>
      </c>
      <c r="AB51" s="36">
        <f t="shared" si="29"/>
        <v>294.09090909090907</v>
      </c>
      <c r="AC51" s="36">
        <f t="shared" si="30"/>
        <v>234</v>
      </c>
      <c r="AD51" s="36">
        <f t="shared" si="31"/>
        <v>-60.090909090909065</v>
      </c>
      <c r="AE51" s="36">
        <v>-5.4</v>
      </c>
      <c r="AF51" s="36">
        <f t="shared" si="32"/>
        <v>228.6</v>
      </c>
      <c r="AG51" s="36"/>
      <c r="AH51" s="36">
        <f t="shared" si="33"/>
        <v>228.6</v>
      </c>
      <c r="AI51" s="36"/>
      <c r="AJ51" s="36">
        <f t="shared" si="34"/>
        <v>228.6</v>
      </c>
      <c r="AK51" s="9"/>
      <c r="AL51" s="9"/>
      <c r="AM51" s="9"/>
      <c r="AN51" s="9"/>
      <c r="AO51" s="9"/>
      <c r="AP51" s="9"/>
      <c r="AQ51" s="9"/>
      <c r="AR51" s="10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0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10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10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10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10"/>
      <c r="GC51" s="9"/>
      <c r="GD51" s="9"/>
    </row>
    <row r="52" spans="1:186" s="2" customFormat="1" ht="16.95" customHeight="1">
      <c r="A52" s="18" t="s">
        <v>51</v>
      </c>
      <c r="B52" s="6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9"/>
      <c r="AL52" s="9"/>
      <c r="AM52" s="9"/>
      <c r="AN52" s="9"/>
      <c r="AO52" s="9"/>
      <c r="AP52" s="9"/>
      <c r="AQ52" s="9"/>
      <c r="AR52" s="10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10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10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0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10"/>
      <c r="GC52" s="9"/>
      <c r="GD52" s="9"/>
    </row>
    <row r="53" spans="1:186" s="2" customFormat="1" ht="16.95" customHeight="1">
      <c r="A53" s="14" t="s">
        <v>52</v>
      </c>
      <c r="B53" s="36">
        <v>805145</v>
      </c>
      <c r="C53" s="36">
        <v>970693.5</v>
      </c>
      <c r="D53" s="4">
        <f t="shared" si="25"/>
        <v>1.2005613274627551</v>
      </c>
      <c r="E53" s="11">
        <v>10</v>
      </c>
      <c r="F53" s="5" t="s">
        <v>370</v>
      </c>
      <c r="G53" s="5" t="s">
        <v>370</v>
      </c>
      <c r="H53" s="5" t="s">
        <v>370</v>
      </c>
      <c r="I53" s="5" t="s">
        <v>370</v>
      </c>
      <c r="J53" s="5" t="s">
        <v>370</v>
      </c>
      <c r="K53" s="5" t="s">
        <v>370</v>
      </c>
      <c r="L53" s="5" t="s">
        <v>370</v>
      </c>
      <c r="M53" s="5" t="s">
        <v>370</v>
      </c>
      <c r="N53" s="36">
        <v>2320</v>
      </c>
      <c r="O53" s="36">
        <v>5228.8</v>
      </c>
      <c r="P53" s="4">
        <f t="shared" si="26"/>
        <v>1.3</v>
      </c>
      <c r="Q53" s="11">
        <v>20</v>
      </c>
      <c r="R53" s="36">
        <v>1</v>
      </c>
      <c r="S53" s="36">
        <v>0</v>
      </c>
      <c r="T53" s="4">
        <f t="shared" si="27"/>
        <v>0</v>
      </c>
      <c r="U53" s="11">
        <v>25</v>
      </c>
      <c r="V53" s="36">
        <v>6.5</v>
      </c>
      <c r="W53" s="36">
        <v>6.7</v>
      </c>
      <c r="X53" s="4">
        <f t="shared" si="28"/>
        <v>1.0307692307692309</v>
      </c>
      <c r="Y53" s="11">
        <v>25</v>
      </c>
      <c r="Z53" s="45">
        <f t="shared" si="35"/>
        <v>0.79718555054822904</v>
      </c>
      <c r="AA53" s="46">
        <v>2813</v>
      </c>
      <c r="AB53" s="36">
        <f t="shared" si="29"/>
        <v>255.72727272727272</v>
      </c>
      <c r="AC53" s="36">
        <f t="shared" si="30"/>
        <v>203.9</v>
      </c>
      <c r="AD53" s="36">
        <f t="shared" si="31"/>
        <v>-51.827272727272714</v>
      </c>
      <c r="AE53" s="36">
        <v>-1.5</v>
      </c>
      <c r="AF53" s="36">
        <f t="shared" si="32"/>
        <v>202.4</v>
      </c>
      <c r="AG53" s="36"/>
      <c r="AH53" s="36">
        <f t="shared" si="33"/>
        <v>202.4</v>
      </c>
      <c r="AI53" s="36"/>
      <c r="AJ53" s="36">
        <f t="shared" si="34"/>
        <v>202.4</v>
      </c>
      <c r="AK53" s="9"/>
      <c r="AL53" s="9"/>
      <c r="AM53" s="9"/>
      <c r="AN53" s="9"/>
      <c r="AO53" s="9"/>
      <c r="AP53" s="9"/>
      <c r="AQ53" s="9"/>
      <c r="AR53" s="10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10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10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0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10"/>
      <c r="GC53" s="9"/>
      <c r="GD53" s="9"/>
    </row>
    <row r="54" spans="1:186" s="2" customFormat="1" ht="16.95" customHeight="1">
      <c r="A54" s="14" t="s">
        <v>53</v>
      </c>
      <c r="B54" s="36">
        <v>20</v>
      </c>
      <c r="C54" s="36">
        <v>20</v>
      </c>
      <c r="D54" s="4">
        <f t="shared" si="25"/>
        <v>1</v>
      </c>
      <c r="E54" s="11">
        <v>10</v>
      </c>
      <c r="F54" s="5" t="s">
        <v>370</v>
      </c>
      <c r="G54" s="5" t="s">
        <v>370</v>
      </c>
      <c r="H54" s="5" t="s">
        <v>370</v>
      </c>
      <c r="I54" s="5" t="s">
        <v>370</v>
      </c>
      <c r="J54" s="5" t="s">
        <v>370</v>
      </c>
      <c r="K54" s="5" t="s">
        <v>370</v>
      </c>
      <c r="L54" s="5" t="s">
        <v>370</v>
      </c>
      <c r="M54" s="5" t="s">
        <v>370</v>
      </c>
      <c r="N54" s="36">
        <v>83</v>
      </c>
      <c r="O54" s="36">
        <v>33.6</v>
      </c>
      <c r="P54" s="4">
        <f t="shared" si="26"/>
        <v>0.40481927710843374</v>
      </c>
      <c r="Q54" s="11">
        <v>20</v>
      </c>
      <c r="R54" s="36">
        <v>0</v>
      </c>
      <c r="S54" s="36">
        <v>0</v>
      </c>
      <c r="T54" s="4">
        <f t="shared" si="27"/>
        <v>1</v>
      </c>
      <c r="U54" s="11">
        <v>20</v>
      </c>
      <c r="V54" s="36">
        <v>6.5</v>
      </c>
      <c r="W54" s="36">
        <v>6.7</v>
      </c>
      <c r="X54" s="4">
        <f t="shared" si="28"/>
        <v>1.0307692307692309</v>
      </c>
      <c r="Y54" s="11">
        <v>30</v>
      </c>
      <c r="Z54" s="45">
        <f t="shared" si="35"/>
        <v>0.86274328081556995</v>
      </c>
      <c r="AA54" s="46">
        <v>1234</v>
      </c>
      <c r="AB54" s="36">
        <f t="shared" si="29"/>
        <v>112.18181818181819</v>
      </c>
      <c r="AC54" s="36">
        <f t="shared" si="30"/>
        <v>96.8</v>
      </c>
      <c r="AD54" s="36">
        <f t="shared" si="31"/>
        <v>-15.38181818181819</v>
      </c>
      <c r="AE54" s="36">
        <v>2.6</v>
      </c>
      <c r="AF54" s="36">
        <f t="shared" si="32"/>
        <v>99.4</v>
      </c>
      <c r="AG54" s="36"/>
      <c r="AH54" s="36">
        <f t="shared" si="33"/>
        <v>99.4</v>
      </c>
      <c r="AI54" s="36"/>
      <c r="AJ54" s="36">
        <f t="shared" si="34"/>
        <v>99.4</v>
      </c>
      <c r="AK54" s="9"/>
      <c r="AL54" s="9"/>
      <c r="AM54" s="9"/>
      <c r="AN54" s="9"/>
      <c r="AO54" s="9"/>
      <c r="AP54" s="9"/>
      <c r="AQ54" s="9"/>
      <c r="AR54" s="10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10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0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10"/>
      <c r="GC54" s="9"/>
      <c r="GD54" s="9"/>
    </row>
    <row r="55" spans="1:186" s="2" customFormat="1" ht="16.95" customHeight="1">
      <c r="A55" s="14" t="s">
        <v>54</v>
      </c>
      <c r="B55" s="36">
        <v>0</v>
      </c>
      <c r="C55" s="36">
        <v>0</v>
      </c>
      <c r="D55" s="4">
        <f t="shared" si="25"/>
        <v>0</v>
      </c>
      <c r="E55" s="11">
        <v>0</v>
      </c>
      <c r="F55" s="5" t="s">
        <v>370</v>
      </c>
      <c r="G55" s="5" t="s">
        <v>370</v>
      </c>
      <c r="H55" s="5" t="s">
        <v>370</v>
      </c>
      <c r="I55" s="5" t="s">
        <v>370</v>
      </c>
      <c r="J55" s="5" t="s">
        <v>370</v>
      </c>
      <c r="K55" s="5" t="s">
        <v>370</v>
      </c>
      <c r="L55" s="5" t="s">
        <v>370</v>
      </c>
      <c r="M55" s="5" t="s">
        <v>370</v>
      </c>
      <c r="N55" s="36">
        <v>187</v>
      </c>
      <c r="O55" s="36">
        <v>138.4</v>
      </c>
      <c r="P55" s="4">
        <f t="shared" si="26"/>
        <v>0.74010695187165776</v>
      </c>
      <c r="Q55" s="11">
        <v>20</v>
      </c>
      <c r="R55" s="36">
        <v>0</v>
      </c>
      <c r="S55" s="36">
        <v>0</v>
      </c>
      <c r="T55" s="4">
        <f t="shared" si="27"/>
        <v>1</v>
      </c>
      <c r="U55" s="11">
        <v>30</v>
      </c>
      <c r="V55" s="36">
        <v>2.6</v>
      </c>
      <c r="W55" s="36">
        <v>2.8</v>
      </c>
      <c r="X55" s="4">
        <f t="shared" si="28"/>
        <v>1.0769230769230769</v>
      </c>
      <c r="Y55" s="11">
        <v>20</v>
      </c>
      <c r="Z55" s="45">
        <f t="shared" si="35"/>
        <v>0.94772286536992423</v>
      </c>
      <c r="AA55" s="46">
        <v>2579</v>
      </c>
      <c r="AB55" s="36">
        <f t="shared" si="29"/>
        <v>234.45454545454547</v>
      </c>
      <c r="AC55" s="36">
        <f t="shared" si="30"/>
        <v>222.2</v>
      </c>
      <c r="AD55" s="36">
        <f t="shared" si="31"/>
        <v>-12.254545454545479</v>
      </c>
      <c r="AE55" s="36">
        <v>-2</v>
      </c>
      <c r="AF55" s="36">
        <f t="shared" si="32"/>
        <v>220.2</v>
      </c>
      <c r="AG55" s="36"/>
      <c r="AH55" s="36">
        <f t="shared" si="33"/>
        <v>220.2</v>
      </c>
      <c r="AI55" s="36"/>
      <c r="AJ55" s="36">
        <f t="shared" si="34"/>
        <v>220.2</v>
      </c>
      <c r="AK55" s="9"/>
      <c r="AL55" s="9"/>
      <c r="AM55" s="9"/>
      <c r="AN55" s="9"/>
      <c r="AO55" s="9"/>
      <c r="AP55" s="9"/>
      <c r="AQ55" s="9"/>
      <c r="AR55" s="10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0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10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10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0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10"/>
      <c r="GC55" s="9"/>
      <c r="GD55" s="9"/>
    </row>
    <row r="56" spans="1:186" s="2" customFormat="1" ht="16.95" customHeight="1">
      <c r="A56" s="14" t="s">
        <v>55</v>
      </c>
      <c r="B56" s="36">
        <v>0</v>
      </c>
      <c r="C56" s="36">
        <v>0</v>
      </c>
      <c r="D56" s="4">
        <f t="shared" si="25"/>
        <v>0</v>
      </c>
      <c r="E56" s="11">
        <v>0</v>
      </c>
      <c r="F56" s="5" t="s">
        <v>370</v>
      </c>
      <c r="G56" s="5" t="s">
        <v>370</v>
      </c>
      <c r="H56" s="5" t="s">
        <v>370</v>
      </c>
      <c r="I56" s="5" t="s">
        <v>370</v>
      </c>
      <c r="J56" s="5" t="s">
        <v>370</v>
      </c>
      <c r="K56" s="5" t="s">
        <v>370</v>
      </c>
      <c r="L56" s="5" t="s">
        <v>370</v>
      </c>
      <c r="M56" s="5" t="s">
        <v>370</v>
      </c>
      <c r="N56" s="36">
        <v>69</v>
      </c>
      <c r="O56" s="36">
        <v>67.900000000000006</v>
      </c>
      <c r="P56" s="4">
        <f t="shared" si="26"/>
        <v>0.98405797101449288</v>
      </c>
      <c r="Q56" s="11">
        <v>20</v>
      </c>
      <c r="R56" s="36">
        <v>110</v>
      </c>
      <c r="S56" s="36">
        <v>72.400000000000006</v>
      </c>
      <c r="T56" s="4">
        <f t="shared" si="27"/>
        <v>0.6581818181818182</v>
      </c>
      <c r="U56" s="11">
        <v>25</v>
      </c>
      <c r="V56" s="36">
        <v>7</v>
      </c>
      <c r="W56" s="36">
        <v>7.3</v>
      </c>
      <c r="X56" s="4">
        <f t="shared" si="28"/>
        <v>1.0428571428571429</v>
      </c>
      <c r="Y56" s="11">
        <v>25</v>
      </c>
      <c r="Z56" s="45">
        <f t="shared" si="35"/>
        <v>0.88867333494662692</v>
      </c>
      <c r="AA56" s="46">
        <v>2265</v>
      </c>
      <c r="AB56" s="36">
        <f t="shared" si="29"/>
        <v>205.90909090909091</v>
      </c>
      <c r="AC56" s="36">
        <f t="shared" si="30"/>
        <v>183</v>
      </c>
      <c r="AD56" s="36">
        <f t="shared" si="31"/>
        <v>-22.909090909090907</v>
      </c>
      <c r="AE56" s="36">
        <v>-3.8</v>
      </c>
      <c r="AF56" s="36">
        <f t="shared" si="32"/>
        <v>179.2</v>
      </c>
      <c r="AG56" s="36">
        <f>MIN(AF56,42.7)</f>
        <v>42.7</v>
      </c>
      <c r="AH56" s="36">
        <f t="shared" si="33"/>
        <v>136.5</v>
      </c>
      <c r="AI56" s="36"/>
      <c r="AJ56" s="36">
        <f t="shared" si="34"/>
        <v>136.5</v>
      </c>
      <c r="AK56" s="9"/>
      <c r="AL56" s="9"/>
      <c r="AM56" s="9"/>
      <c r="AN56" s="9"/>
      <c r="AO56" s="9"/>
      <c r="AP56" s="9"/>
      <c r="AQ56" s="9"/>
      <c r="AR56" s="10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10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10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0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10"/>
      <c r="GC56" s="9"/>
      <c r="GD56" s="9"/>
    </row>
    <row r="57" spans="1:186" s="2" customFormat="1" ht="16.95" customHeight="1">
      <c r="A57" s="14" t="s">
        <v>56</v>
      </c>
      <c r="B57" s="36">
        <v>0</v>
      </c>
      <c r="C57" s="36">
        <v>0</v>
      </c>
      <c r="D57" s="4">
        <f t="shared" si="25"/>
        <v>0</v>
      </c>
      <c r="E57" s="11">
        <v>0</v>
      </c>
      <c r="F57" s="5" t="s">
        <v>370</v>
      </c>
      <c r="G57" s="5" t="s">
        <v>370</v>
      </c>
      <c r="H57" s="5" t="s">
        <v>370</v>
      </c>
      <c r="I57" s="5" t="s">
        <v>370</v>
      </c>
      <c r="J57" s="5" t="s">
        <v>370</v>
      </c>
      <c r="K57" s="5" t="s">
        <v>370</v>
      </c>
      <c r="L57" s="5" t="s">
        <v>370</v>
      </c>
      <c r="M57" s="5" t="s">
        <v>370</v>
      </c>
      <c r="N57" s="36">
        <v>97</v>
      </c>
      <c r="O57" s="36">
        <v>54.7</v>
      </c>
      <c r="P57" s="4">
        <f t="shared" si="26"/>
        <v>0.56391752577319587</v>
      </c>
      <c r="Q57" s="11">
        <v>20</v>
      </c>
      <c r="R57" s="36">
        <v>320</v>
      </c>
      <c r="S57" s="36">
        <v>301.5</v>
      </c>
      <c r="T57" s="4">
        <f t="shared" si="27"/>
        <v>0.94218749999999996</v>
      </c>
      <c r="U57" s="11">
        <v>30</v>
      </c>
      <c r="V57" s="36">
        <v>9.3000000000000007</v>
      </c>
      <c r="W57" s="36">
        <v>9.5</v>
      </c>
      <c r="X57" s="4">
        <f t="shared" si="28"/>
        <v>1.021505376344086</v>
      </c>
      <c r="Y57" s="11">
        <v>20</v>
      </c>
      <c r="Z57" s="45">
        <f t="shared" si="35"/>
        <v>0.85677261489065193</v>
      </c>
      <c r="AA57" s="46">
        <v>1890</v>
      </c>
      <c r="AB57" s="36">
        <f t="shared" si="29"/>
        <v>171.81818181818181</v>
      </c>
      <c r="AC57" s="36">
        <f t="shared" si="30"/>
        <v>147.19999999999999</v>
      </c>
      <c r="AD57" s="36">
        <f t="shared" si="31"/>
        <v>-24.618181818181824</v>
      </c>
      <c r="AE57" s="36">
        <v>-14.8</v>
      </c>
      <c r="AF57" s="36">
        <f t="shared" si="32"/>
        <v>132.4</v>
      </c>
      <c r="AG57" s="36"/>
      <c r="AH57" s="36">
        <f t="shared" si="33"/>
        <v>132.4</v>
      </c>
      <c r="AI57" s="36"/>
      <c r="AJ57" s="36">
        <f t="shared" si="34"/>
        <v>132.4</v>
      </c>
      <c r="AK57" s="9"/>
      <c r="AL57" s="9"/>
      <c r="AM57" s="9"/>
      <c r="AN57" s="9"/>
      <c r="AO57" s="9"/>
      <c r="AP57" s="9"/>
      <c r="AQ57" s="9"/>
      <c r="AR57" s="10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10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10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0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10"/>
      <c r="GC57" s="9"/>
      <c r="GD57" s="9"/>
    </row>
    <row r="58" spans="1:186" s="2" customFormat="1" ht="16.95" customHeight="1">
      <c r="A58" s="14" t="s">
        <v>57</v>
      </c>
      <c r="B58" s="36">
        <v>0</v>
      </c>
      <c r="C58" s="36">
        <v>0</v>
      </c>
      <c r="D58" s="4">
        <f t="shared" si="25"/>
        <v>0</v>
      </c>
      <c r="E58" s="11">
        <v>0</v>
      </c>
      <c r="F58" s="5" t="s">
        <v>370</v>
      </c>
      <c r="G58" s="5" t="s">
        <v>370</v>
      </c>
      <c r="H58" s="5" t="s">
        <v>370</v>
      </c>
      <c r="I58" s="5" t="s">
        <v>370</v>
      </c>
      <c r="J58" s="5" t="s">
        <v>370</v>
      </c>
      <c r="K58" s="5" t="s">
        <v>370</v>
      </c>
      <c r="L58" s="5" t="s">
        <v>370</v>
      </c>
      <c r="M58" s="5" t="s">
        <v>370</v>
      </c>
      <c r="N58" s="36">
        <v>76</v>
      </c>
      <c r="O58" s="36">
        <v>37.200000000000003</v>
      </c>
      <c r="P58" s="4">
        <f t="shared" si="26"/>
        <v>0.48947368421052634</v>
      </c>
      <c r="Q58" s="11">
        <v>20</v>
      </c>
      <c r="R58" s="36">
        <v>0</v>
      </c>
      <c r="S58" s="36">
        <v>0</v>
      </c>
      <c r="T58" s="4">
        <f t="shared" si="27"/>
        <v>1</v>
      </c>
      <c r="U58" s="11">
        <v>30</v>
      </c>
      <c r="V58" s="36">
        <v>0.6</v>
      </c>
      <c r="W58" s="36">
        <v>0.6</v>
      </c>
      <c r="X58" s="4">
        <f t="shared" si="28"/>
        <v>1</v>
      </c>
      <c r="Y58" s="11">
        <v>20</v>
      </c>
      <c r="Z58" s="45">
        <f t="shared" si="35"/>
        <v>0.85413533834586464</v>
      </c>
      <c r="AA58" s="46">
        <v>404</v>
      </c>
      <c r="AB58" s="36">
        <f t="shared" si="29"/>
        <v>36.727272727272727</v>
      </c>
      <c r="AC58" s="36">
        <f t="shared" si="30"/>
        <v>31.4</v>
      </c>
      <c r="AD58" s="36">
        <f t="shared" si="31"/>
        <v>-5.327272727272728</v>
      </c>
      <c r="AE58" s="36">
        <v>-0.8</v>
      </c>
      <c r="AF58" s="36">
        <f t="shared" si="32"/>
        <v>30.6</v>
      </c>
      <c r="AG58" s="36"/>
      <c r="AH58" s="36">
        <f t="shared" si="33"/>
        <v>30.6</v>
      </c>
      <c r="AI58" s="36"/>
      <c r="AJ58" s="36">
        <f t="shared" si="34"/>
        <v>30.6</v>
      </c>
      <c r="AK58" s="9"/>
      <c r="AL58" s="9"/>
      <c r="AM58" s="9"/>
      <c r="AN58" s="9"/>
      <c r="AO58" s="9"/>
      <c r="AP58" s="9"/>
      <c r="AQ58" s="9"/>
      <c r="AR58" s="10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10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10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0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10"/>
      <c r="GC58" s="9"/>
      <c r="GD58" s="9"/>
    </row>
    <row r="59" spans="1:186" s="2" customFormat="1" ht="16.95" customHeight="1">
      <c r="A59" s="14" t="s">
        <v>58</v>
      </c>
      <c r="B59" s="36">
        <v>0</v>
      </c>
      <c r="C59" s="36">
        <v>0</v>
      </c>
      <c r="D59" s="4">
        <f t="shared" si="25"/>
        <v>0</v>
      </c>
      <c r="E59" s="11">
        <v>0</v>
      </c>
      <c r="F59" s="5" t="s">
        <v>370</v>
      </c>
      <c r="G59" s="5" t="s">
        <v>370</v>
      </c>
      <c r="H59" s="5" t="s">
        <v>370</v>
      </c>
      <c r="I59" s="5" t="s">
        <v>370</v>
      </c>
      <c r="J59" s="5" t="s">
        <v>370</v>
      </c>
      <c r="K59" s="5" t="s">
        <v>370</v>
      </c>
      <c r="L59" s="5" t="s">
        <v>370</v>
      </c>
      <c r="M59" s="5" t="s">
        <v>370</v>
      </c>
      <c r="N59" s="36">
        <v>14</v>
      </c>
      <c r="O59" s="36">
        <v>26.2</v>
      </c>
      <c r="P59" s="4">
        <f t="shared" si="26"/>
        <v>1.2671428571428571</v>
      </c>
      <c r="Q59" s="11">
        <v>20</v>
      </c>
      <c r="R59" s="36">
        <v>11</v>
      </c>
      <c r="S59" s="36">
        <v>11.2</v>
      </c>
      <c r="T59" s="4">
        <f t="shared" si="27"/>
        <v>1.0181818181818181</v>
      </c>
      <c r="U59" s="11">
        <v>30</v>
      </c>
      <c r="V59" s="36">
        <v>2</v>
      </c>
      <c r="W59" s="36">
        <v>2.2999999999999998</v>
      </c>
      <c r="X59" s="4">
        <f t="shared" si="28"/>
        <v>1.1499999999999999</v>
      </c>
      <c r="Y59" s="11">
        <v>20</v>
      </c>
      <c r="Z59" s="45">
        <f t="shared" si="35"/>
        <v>1.1269758812615955</v>
      </c>
      <c r="AA59" s="46">
        <v>1340</v>
      </c>
      <c r="AB59" s="36">
        <f t="shared" si="29"/>
        <v>121.81818181818181</v>
      </c>
      <c r="AC59" s="36">
        <f t="shared" si="30"/>
        <v>137.30000000000001</v>
      </c>
      <c r="AD59" s="36">
        <f t="shared" si="31"/>
        <v>15.481818181818198</v>
      </c>
      <c r="AE59" s="36">
        <v>-0.8</v>
      </c>
      <c r="AF59" s="36">
        <f t="shared" si="32"/>
        <v>136.5</v>
      </c>
      <c r="AG59" s="36">
        <f>MIN(AF59,3)</f>
        <v>3</v>
      </c>
      <c r="AH59" s="36">
        <f t="shared" si="33"/>
        <v>133.5</v>
      </c>
      <c r="AI59" s="36"/>
      <c r="AJ59" s="36">
        <f t="shared" si="34"/>
        <v>133.5</v>
      </c>
      <c r="AK59" s="9"/>
      <c r="AL59" s="9"/>
      <c r="AM59" s="9"/>
      <c r="AN59" s="9"/>
      <c r="AO59" s="9"/>
      <c r="AP59" s="9"/>
      <c r="AQ59" s="9"/>
      <c r="AR59" s="10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10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10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0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10"/>
      <c r="GC59" s="9"/>
      <c r="GD59" s="9"/>
    </row>
    <row r="60" spans="1:186" s="2" customFormat="1" ht="16.95" customHeight="1">
      <c r="A60" s="14" t="s">
        <v>59</v>
      </c>
      <c r="B60" s="36">
        <v>0</v>
      </c>
      <c r="C60" s="36">
        <v>0</v>
      </c>
      <c r="D60" s="4">
        <f t="shared" si="25"/>
        <v>0</v>
      </c>
      <c r="E60" s="11">
        <v>0</v>
      </c>
      <c r="F60" s="5" t="s">
        <v>370</v>
      </c>
      <c r="G60" s="5" t="s">
        <v>370</v>
      </c>
      <c r="H60" s="5" t="s">
        <v>370</v>
      </c>
      <c r="I60" s="5" t="s">
        <v>370</v>
      </c>
      <c r="J60" s="5" t="s">
        <v>370</v>
      </c>
      <c r="K60" s="5" t="s">
        <v>370</v>
      </c>
      <c r="L60" s="5" t="s">
        <v>370</v>
      </c>
      <c r="M60" s="5" t="s">
        <v>370</v>
      </c>
      <c r="N60" s="36">
        <v>42.6</v>
      </c>
      <c r="O60" s="36">
        <v>49.2</v>
      </c>
      <c r="P60" s="4">
        <f t="shared" si="26"/>
        <v>1.1549295774647887</v>
      </c>
      <c r="Q60" s="11">
        <v>20</v>
      </c>
      <c r="R60" s="36">
        <v>19</v>
      </c>
      <c r="S60" s="36">
        <v>6.5</v>
      </c>
      <c r="T60" s="4">
        <f t="shared" si="27"/>
        <v>0.34210526315789475</v>
      </c>
      <c r="U60" s="11">
        <v>30</v>
      </c>
      <c r="V60" s="36">
        <v>2.2000000000000002</v>
      </c>
      <c r="W60" s="36">
        <v>2.4</v>
      </c>
      <c r="X60" s="4">
        <f t="shared" si="28"/>
        <v>1.0909090909090908</v>
      </c>
      <c r="Y60" s="11">
        <v>20</v>
      </c>
      <c r="Z60" s="45">
        <f t="shared" si="35"/>
        <v>0.78828473231734908</v>
      </c>
      <c r="AA60" s="46">
        <v>2056</v>
      </c>
      <c r="AB60" s="36">
        <f t="shared" si="29"/>
        <v>186.90909090909091</v>
      </c>
      <c r="AC60" s="36">
        <f t="shared" si="30"/>
        <v>147.30000000000001</v>
      </c>
      <c r="AD60" s="36">
        <f t="shared" si="31"/>
        <v>-39.609090909090895</v>
      </c>
      <c r="AE60" s="36">
        <v>-0.3</v>
      </c>
      <c r="AF60" s="36">
        <f t="shared" si="32"/>
        <v>147</v>
      </c>
      <c r="AG60" s="36"/>
      <c r="AH60" s="36">
        <f t="shared" si="33"/>
        <v>147</v>
      </c>
      <c r="AI60" s="36"/>
      <c r="AJ60" s="36">
        <f t="shared" si="34"/>
        <v>147</v>
      </c>
      <c r="AK60" s="9"/>
      <c r="AL60" s="9"/>
      <c r="AM60" s="9"/>
      <c r="AN60" s="9"/>
      <c r="AO60" s="9"/>
      <c r="AP60" s="9"/>
      <c r="AQ60" s="9"/>
      <c r="AR60" s="10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0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10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10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0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10"/>
      <c r="GC60" s="9"/>
      <c r="GD60" s="9"/>
    </row>
    <row r="61" spans="1:186" s="2" customFormat="1" ht="16.95" customHeight="1">
      <c r="A61" s="14" t="s">
        <v>60</v>
      </c>
      <c r="B61" s="36">
        <v>7806</v>
      </c>
      <c r="C61" s="36">
        <v>8475.4</v>
      </c>
      <c r="D61" s="4">
        <f t="shared" si="25"/>
        <v>1.085754547783756</v>
      </c>
      <c r="E61" s="11">
        <v>10</v>
      </c>
      <c r="F61" s="5" t="s">
        <v>370</v>
      </c>
      <c r="G61" s="5" t="s">
        <v>370</v>
      </c>
      <c r="H61" s="5" t="s">
        <v>370</v>
      </c>
      <c r="I61" s="5" t="s">
        <v>370</v>
      </c>
      <c r="J61" s="5" t="s">
        <v>370</v>
      </c>
      <c r="K61" s="5" t="s">
        <v>370</v>
      </c>
      <c r="L61" s="5" t="s">
        <v>370</v>
      </c>
      <c r="M61" s="5" t="s">
        <v>370</v>
      </c>
      <c r="N61" s="36">
        <v>551</v>
      </c>
      <c r="O61" s="36">
        <v>1027.2</v>
      </c>
      <c r="P61" s="4">
        <f t="shared" si="26"/>
        <v>1.2664246823956442</v>
      </c>
      <c r="Q61" s="11">
        <v>20</v>
      </c>
      <c r="R61" s="36">
        <v>9</v>
      </c>
      <c r="S61" s="36">
        <v>9.4</v>
      </c>
      <c r="T61" s="4">
        <f t="shared" si="27"/>
        <v>1.0444444444444445</v>
      </c>
      <c r="U61" s="11">
        <v>30</v>
      </c>
      <c r="V61" s="36">
        <v>3.5</v>
      </c>
      <c r="W61" s="36">
        <v>3.7</v>
      </c>
      <c r="X61" s="4">
        <f t="shared" si="28"/>
        <v>1.0571428571428572</v>
      </c>
      <c r="Y61" s="11">
        <v>20</v>
      </c>
      <c r="Z61" s="45">
        <f t="shared" si="35"/>
        <v>1.1082778700242615</v>
      </c>
      <c r="AA61" s="46">
        <v>1440</v>
      </c>
      <c r="AB61" s="36">
        <f t="shared" si="29"/>
        <v>130.90909090909091</v>
      </c>
      <c r="AC61" s="36">
        <f t="shared" si="30"/>
        <v>145.1</v>
      </c>
      <c r="AD61" s="36">
        <f t="shared" si="31"/>
        <v>14.190909090909088</v>
      </c>
      <c r="AE61" s="36">
        <v>23.8</v>
      </c>
      <c r="AF61" s="36">
        <f t="shared" si="32"/>
        <v>168.9</v>
      </c>
      <c r="AG61" s="36"/>
      <c r="AH61" s="36">
        <f t="shared" si="33"/>
        <v>168.9</v>
      </c>
      <c r="AI61" s="36"/>
      <c r="AJ61" s="36">
        <f t="shared" si="34"/>
        <v>168.9</v>
      </c>
      <c r="AK61" s="9"/>
      <c r="AL61" s="9"/>
      <c r="AM61" s="9"/>
      <c r="AN61" s="9"/>
      <c r="AO61" s="9"/>
      <c r="AP61" s="9"/>
      <c r="AQ61" s="9"/>
      <c r="AR61" s="10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0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10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10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0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10"/>
      <c r="GC61" s="9"/>
      <c r="GD61" s="9"/>
    </row>
    <row r="62" spans="1:186" s="2" customFormat="1" ht="16.95" customHeight="1">
      <c r="A62" s="14" t="s">
        <v>61</v>
      </c>
      <c r="B62" s="36">
        <v>0</v>
      </c>
      <c r="C62" s="36">
        <v>0</v>
      </c>
      <c r="D62" s="4">
        <f t="shared" si="25"/>
        <v>0</v>
      </c>
      <c r="E62" s="11">
        <v>0</v>
      </c>
      <c r="F62" s="5" t="s">
        <v>370</v>
      </c>
      <c r="G62" s="5" t="s">
        <v>370</v>
      </c>
      <c r="H62" s="5" t="s">
        <v>370</v>
      </c>
      <c r="I62" s="5" t="s">
        <v>370</v>
      </c>
      <c r="J62" s="5" t="s">
        <v>370</v>
      </c>
      <c r="K62" s="5" t="s">
        <v>370</v>
      </c>
      <c r="L62" s="5" t="s">
        <v>370</v>
      </c>
      <c r="M62" s="5" t="s">
        <v>370</v>
      </c>
      <c r="N62" s="36">
        <v>147</v>
      </c>
      <c r="O62" s="36">
        <v>247.1</v>
      </c>
      <c r="P62" s="4">
        <f t="shared" si="26"/>
        <v>1.2480952380952381</v>
      </c>
      <c r="Q62" s="11">
        <v>20</v>
      </c>
      <c r="R62" s="36">
        <v>145</v>
      </c>
      <c r="S62" s="36">
        <v>123.1</v>
      </c>
      <c r="T62" s="4">
        <f t="shared" si="27"/>
        <v>0.84896551724137925</v>
      </c>
      <c r="U62" s="11">
        <v>30</v>
      </c>
      <c r="V62" s="36">
        <v>10</v>
      </c>
      <c r="W62" s="36">
        <v>10.5</v>
      </c>
      <c r="X62" s="4">
        <f t="shared" si="28"/>
        <v>1.05</v>
      </c>
      <c r="Y62" s="11">
        <v>20</v>
      </c>
      <c r="Z62" s="45">
        <f t="shared" si="35"/>
        <v>1.020441003987802</v>
      </c>
      <c r="AA62" s="46">
        <v>901</v>
      </c>
      <c r="AB62" s="36">
        <f t="shared" si="29"/>
        <v>81.909090909090907</v>
      </c>
      <c r="AC62" s="36">
        <f t="shared" si="30"/>
        <v>83.6</v>
      </c>
      <c r="AD62" s="36">
        <f t="shared" si="31"/>
        <v>1.6909090909090878</v>
      </c>
      <c r="AE62" s="36">
        <v>-0.3</v>
      </c>
      <c r="AF62" s="36">
        <f t="shared" si="32"/>
        <v>83.3</v>
      </c>
      <c r="AG62" s="36"/>
      <c r="AH62" s="36">
        <f t="shared" si="33"/>
        <v>83.3</v>
      </c>
      <c r="AI62" s="36"/>
      <c r="AJ62" s="36">
        <f t="shared" si="34"/>
        <v>83.3</v>
      </c>
      <c r="AK62" s="9"/>
      <c r="AL62" s="9"/>
      <c r="AM62" s="9"/>
      <c r="AN62" s="9"/>
      <c r="AO62" s="9"/>
      <c r="AP62" s="9"/>
      <c r="AQ62" s="9"/>
      <c r="AR62" s="10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0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10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10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10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10"/>
      <c r="GC62" s="9"/>
      <c r="GD62" s="9"/>
    </row>
    <row r="63" spans="1:186" s="2" customFormat="1" ht="16.95" customHeight="1">
      <c r="A63" s="14" t="s">
        <v>62</v>
      </c>
      <c r="B63" s="36">
        <v>140</v>
      </c>
      <c r="C63" s="36">
        <v>0</v>
      </c>
      <c r="D63" s="4">
        <f t="shared" si="25"/>
        <v>0</v>
      </c>
      <c r="E63" s="11">
        <v>10</v>
      </c>
      <c r="F63" s="5" t="s">
        <v>370</v>
      </c>
      <c r="G63" s="5" t="s">
        <v>370</v>
      </c>
      <c r="H63" s="5" t="s">
        <v>370</v>
      </c>
      <c r="I63" s="5" t="s">
        <v>370</v>
      </c>
      <c r="J63" s="5" t="s">
        <v>370</v>
      </c>
      <c r="K63" s="5" t="s">
        <v>370</v>
      </c>
      <c r="L63" s="5" t="s">
        <v>370</v>
      </c>
      <c r="M63" s="5" t="s">
        <v>370</v>
      </c>
      <c r="N63" s="36">
        <v>27</v>
      </c>
      <c r="O63" s="36">
        <v>266.3</v>
      </c>
      <c r="P63" s="4">
        <f t="shared" si="26"/>
        <v>1.3</v>
      </c>
      <c r="Q63" s="11">
        <v>20</v>
      </c>
      <c r="R63" s="36">
        <v>10</v>
      </c>
      <c r="S63" s="36">
        <v>0</v>
      </c>
      <c r="T63" s="4">
        <f t="shared" si="27"/>
        <v>0</v>
      </c>
      <c r="U63" s="11">
        <v>30</v>
      </c>
      <c r="V63" s="36">
        <v>3.7</v>
      </c>
      <c r="W63" s="36">
        <v>3.8</v>
      </c>
      <c r="X63" s="4">
        <f t="shared" si="28"/>
        <v>1.027027027027027</v>
      </c>
      <c r="Y63" s="11">
        <v>20</v>
      </c>
      <c r="Z63" s="45">
        <f t="shared" si="35"/>
        <v>0.58175675675675675</v>
      </c>
      <c r="AA63" s="46">
        <v>1248</v>
      </c>
      <c r="AB63" s="36">
        <f t="shared" si="29"/>
        <v>113.45454545454545</v>
      </c>
      <c r="AC63" s="36">
        <f t="shared" si="30"/>
        <v>66</v>
      </c>
      <c r="AD63" s="36">
        <f t="shared" si="31"/>
        <v>-47.454545454545453</v>
      </c>
      <c r="AE63" s="36">
        <v>-2</v>
      </c>
      <c r="AF63" s="36">
        <f t="shared" si="32"/>
        <v>64</v>
      </c>
      <c r="AG63" s="36"/>
      <c r="AH63" s="36">
        <f t="shared" si="33"/>
        <v>64</v>
      </c>
      <c r="AI63" s="36"/>
      <c r="AJ63" s="36">
        <f t="shared" si="34"/>
        <v>64</v>
      </c>
      <c r="AK63" s="9"/>
      <c r="AL63" s="9"/>
      <c r="AM63" s="9"/>
      <c r="AN63" s="9"/>
      <c r="AO63" s="9"/>
      <c r="AP63" s="9"/>
      <c r="AQ63" s="9"/>
      <c r="AR63" s="10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0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10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10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10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10"/>
      <c r="GC63" s="9"/>
      <c r="GD63" s="9"/>
    </row>
    <row r="64" spans="1:186" s="2" customFormat="1" ht="16.95" customHeight="1">
      <c r="A64" s="14" t="s">
        <v>63</v>
      </c>
      <c r="B64" s="36">
        <v>0</v>
      </c>
      <c r="C64" s="36">
        <v>0</v>
      </c>
      <c r="D64" s="4">
        <f t="shared" si="25"/>
        <v>0</v>
      </c>
      <c r="E64" s="11">
        <v>0</v>
      </c>
      <c r="F64" s="5" t="s">
        <v>370</v>
      </c>
      <c r="G64" s="5" t="s">
        <v>370</v>
      </c>
      <c r="H64" s="5" t="s">
        <v>370</v>
      </c>
      <c r="I64" s="5" t="s">
        <v>370</v>
      </c>
      <c r="J64" s="5" t="s">
        <v>370</v>
      </c>
      <c r="K64" s="5" t="s">
        <v>370</v>
      </c>
      <c r="L64" s="5" t="s">
        <v>370</v>
      </c>
      <c r="M64" s="5" t="s">
        <v>370</v>
      </c>
      <c r="N64" s="36">
        <v>76.099999999999994</v>
      </c>
      <c r="O64" s="36">
        <v>40.700000000000003</v>
      </c>
      <c r="P64" s="4">
        <f t="shared" si="26"/>
        <v>0.53482260183968466</v>
      </c>
      <c r="Q64" s="11">
        <v>20</v>
      </c>
      <c r="R64" s="36">
        <v>0</v>
      </c>
      <c r="S64" s="36">
        <v>0</v>
      </c>
      <c r="T64" s="4">
        <f t="shared" si="27"/>
        <v>1</v>
      </c>
      <c r="U64" s="11">
        <v>35</v>
      </c>
      <c r="V64" s="36">
        <v>1.1000000000000001</v>
      </c>
      <c r="W64" s="36">
        <v>1.2</v>
      </c>
      <c r="X64" s="4">
        <f t="shared" si="28"/>
        <v>1.0909090909090908</v>
      </c>
      <c r="Y64" s="11">
        <v>15</v>
      </c>
      <c r="Z64" s="45">
        <f t="shared" si="35"/>
        <v>0.88657269143471518</v>
      </c>
      <c r="AA64" s="46">
        <v>1183</v>
      </c>
      <c r="AB64" s="36">
        <f t="shared" si="29"/>
        <v>107.54545454545455</v>
      </c>
      <c r="AC64" s="36">
        <f t="shared" si="30"/>
        <v>95.3</v>
      </c>
      <c r="AD64" s="36">
        <f t="shared" si="31"/>
        <v>-12.24545454545455</v>
      </c>
      <c r="AE64" s="36">
        <v>0.7</v>
      </c>
      <c r="AF64" s="36">
        <f t="shared" si="32"/>
        <v>96</v>
      </c>
      <c r="AG64" s="36"/>
      <c r="AH64" s="36">
        <f t="shared" si="33"/>
        <v>96</v>
      </c>
      <c r="AI64" s="36"/>
      <c r="AJ64" s="36">
        <f t="shared" si="34"/>
        <v>96</v>
      </c>
      <c r="AK64" s="9"/>
      <c r="AL64" s="9"/>
      <c r="AM64" s="9"/>
      <c r="AN64" s="9"/>
      <c r="AO64" s="9"/>
      <c r="AP64" s="9"/>
      <c r="AQ64" s="9"/>
      <c r="AR64" s="10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10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10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10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10"/>
      <c r="GC64" s="9"/>
      <c r="GD64" s="9"/>
    </row>
    <row r="65" spans="1:186" s="2" customFormat="1" ht="16.95" customHeight="1">
      <c r="A65" s="14" t="s">
        <v>64</v>
      </c>
      <c r="B65" s="36">
        <v>0</v>
      </c>
      <c r="C65" s="36">
        <v>947</v>
      </c>
      <c r="D65" s="4">
        <f t="shared" si="25"/>
        <v>0</v>
      </c>
      <c r="E65" s="11">
        <v>0</v>
      </c>
      <c r="F65" s="5" t="s">
        <v>370</v>
      </c>
      <c r="G65" s="5" t="s">
        <v>370</v>
      </c>
      <c r="H65" s="5" t="s">
        <v>370</v>
      </c>
      <c r="I65" s="5" t="s">
        <v>370</v>
      </c>
      <c r="J65" s="5" t="s">
        <v>370</v>
      </c>
      <c r="K65" s="5" t="s">
        <v>370</v>
      </c>
      <c r="L65" s="5" t="s">
        <v>370</v>
      </c>
      <c r="M65" s="5" t="s">
        <v>370</v>
      </c>
      <c r="N65" s="36">
        <v>66</v>
      </c>
      <c r="O65" s="36">
        <v>122</v>
      </c>
      <c r="P65" s="4">
        <f t="shared" si="26"/>
        <v>1.2648484848484849</v>
      </c>
      <c r="Q65" s="11">
        <v>20</v>
      </c>
      <c r="R65" s="36">
        <v>10</v>
      </c>
      <c r="S65" s="36">
        <v>10.9</v>
      </c>
      <c r="T65" s="4">
        <f t="shared" si="27"/>
        <v>1.0900000000000001</v>
      </c>
      <c r="U65" s="11">
        <v>25</v>
      </c>
      <c r="V65" s="36">
        <v>8.5</v>
      </c>
      <c r="W65" s="36">
        <v>10</v>
      </c>
      <c r="X65" s="4">
        <f t="shared" si="28"/>
        <v>1.1764705882352942</v>
      </c>
      <c r="Y65" s="11">
        <v>25</v>
      </c>
      <c r="Z65" s="45">
        <f t="shared" si="35"/>
        <v>1.1708390628978866</v>
      </c>
      <c r="AA65" s="46">
        <v>1429</v>
      </c>
      <c r="AB65" s="36">
        <f t="shared" si="29"/>
        <v>129.90909090909091</v>
      </c>
      <c r="AC65" s="36">
        <f t="shared" si="30"/>
        <v>152.1</v>
      </c>
      <c r="AD65" s="36">
        <f t="shared" si="31"/>
        <v>22.190909090909088</v>
      </c>
      <c r="AE65" s="36">
        <v>-1.7</v>
      </c>
      <c r="AF65" s="36">
        <f t="shared" si="32"/>
        <v>150.4</v>
      </c>
      <c r="AG65" s="36"/>
      <c r="AH65" s="36">
        <f t="shared" si="33"/>
        <v>150.4</v>
      </c>
      <c r="AI65" s="36"/>
      <c r="AJ65" s="36">
        <f t="shared" si="34"/>
        <v>150.4</v>
      </c>
      <c r="AK65" s="9"/>
      <c r="AL65" s="9"/>
      <c r="AM65" s="9"/>
      <c r="AN65" s="9"/>
      <c r="AO65" s="9"/>
      <c r="AP65" s="9"/>
      <c r="AQ65" s="9"/>
      <c r="AR65" s="10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0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10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10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10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10"/>
      <c r="GC65" s="9"/>
      <c r="GD65" s="9"/>
    </row>
    <row r="66" spans="1:186" s="2" customFormat="1" ht="16.95" customHeight="1">
      <c r="A66" s="18" t="s">
        <v>65</v>
      </c>
      <c r="B66" s="6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9"/>
      <c r="AL66" s="9"/>
      <c r="AM66" s="9"/>
      <c r="AN66" s="9"/>
      <c r="AO66" s="9"/>
      <c r="AP66" s="9"/>
      <c r="AQ66" s="9"/>
      <c r="AR66" s="10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10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10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10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10"/>
      <c r="GC66" s="9"/>
      <c r="GD66" s="9"/>
    </row>
    <row r="67" spans="1:186" s="2" customFormat="1" ht="16.95" customHeight="1">
      <c r="A67" s="14" t="s">
        <v>66</v>
      </c>
      <c r="B67" s="36">
        <v>14</v>
      </c>
      <c r="C67" s="36">
        <v>1</v>
      </c>
      <c r="D67" s="4">
        <f t="shared" si="25"/>
        <v>7.1428571428571425E-2</v>
      </c>
      <c r="E67" s="11">
        <v>10</v>
      </c>
      <c r="F67" s="5" t="s">
        <v>370</v>
      </c>
      <c r="G67" s="5" t="s">
        <v>370</v>
      </c>
      <c r="H67" s="5" t="s">
        <v>370</v>
      </c>
      <c r="I67" s="5" t="s">
        <v>370</v>
      </c>
      <c r="J67" s="5" t="s">
        <v>370</v>
      </c>
      <c r="K67" s="5" t="s">
        <v>370</v>
      </c>
      <c r="L67" s="5" t="s">
        <v>370</v>
      </c>
      <c r="M67" s="5" t="s">
        <v>370</v>
      </c>
      <c r="N67" s="36">
        <v>306</v>
      </c>
      <c r="O67" s="36">
        <v>109.9</v>
      </c>
      <c r="P67" s="4">
        <f t="shared" si="26"/>
        <v>0.35915032679738562</v>
      </c>
      <c r="Q67" s="11">
        <v>20</v>
      </c>
      <c r="R67" s="36">
        <v>731.8</v>
      </c>
      <c r="S67" s="36">
        <v>874.2</v>
      </c>
      <c r="T67" s="4">
        <f t="shared" si="27"/>
        <v>1.1945886854331786</v>
      </c>
      <c r="U67" s="11">
        <v>30</v>
      </c>
      <c r="V67" s="36">
        <v>2.2999999999999998</v>
      </c>
      <c r="W67" s="36">
        <v>2.7</v>
      </c>
      <c r="X67" s="4">
        <f t="shared" si="28"/>
        <v>1.173913043478261</v>
      </c>
      <c r="Y67" s="11">
        <v>20</v>
      </c>
      <c r="Z67" s="45">
        <f t="shared" si="35"/>
        <v>0.84016517103492505</v>
      </c>
      <c r="AA67" s="46">
        <v>3750</v>
      </c>
      <c r="AB67" s="36">
        <f t="shared" si="29"/>
        <v>340.90909090909093</v>
      </c>
      <c r="AC67" s="36">
        <f t="shared" si="30"/>
        <v>286.39999999999998</v>
      </c>
      <c r="AD67" s="36">
        <f t="shared" si="31"/>
        <v>-54.509090909090958</v>
      </c>
      <c r="AE67" s="36">
        <v>7.3</v>
      </c>
      <c r="AF67" s="36">
        <f t="shared" si="32"/>
        <v>293.7</v>
      </c>
      <c r="AG67" s="36"/>
      <c r="AH67" s="36">
        <f t="shared" si="33"/>
        <v>293.7</v>
      </c>
      <c r="AI67" s="36"/>
      <c r="AJ67" s="36">
        <f t="shared" si="34"/>
        <v>293.7</v>
      </c>
      <c r="AK67" s="9"/>
      <c r="AL67" s="9"/>
      <c r="AM67" s="9"/>
      <c r="AN67" s="9"/>
      <c r="AO67" s="9"/>
      <c r="AP67" s="9"/>
      <c r="AQ67" s="9"/>
      <c r="AR67" s="10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10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10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10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10"/>
      <c r="GC67" s="9"/>
      <c r="GD67" s="9"/>
    </row>
    <row r="68" spans="1:186" s="2" customFormat="1" ht="16.95" customHeight="1">
      <c r="A68" s="14" t="s">
        <v>67</v>
      </c>
      <c r="B68" s="36">
        <v>20806</v>
      </c>
      <c r="C68" s="36">
        <v>14168.7</v>
      </c>
      <c r="D68" s="4">
        <f t="shared" si="25"/>
        <v>0.6809910602710757</v>
      </c>
      <c r="E68" s="11">
        <v>10</v>
      </c>
      <c r="F68" s="5" t="s">
        <v>370</v>
      </c>
      <c r="G68" s="5" t="s">
        <v>370</v>
      </c>
      <c r="H68" s="5" t="s">
        <v>370</v>
      </c>
      <c r="I68" s="5" t="s">
        <v>370</v>
      </c>
      <c r="J68" s="5" t="s">
        <v>370</v>
      </c>
      <c r="K68" s="5" t="s">
        <v>370</v>
      </c>
      <c r="L68" s="5" t="s">
        <v>370</v>
      </c>
      <c r="M68" s="5" t="s">
        <v>370</v>
      </c>
      <c r="N68" s="36">
        <v>1399.9</v>
      </c>
      <c r="O68" s="36">
        <v>989.2</v>
      </c>
      <c r="P68" s="4">
        <f t="shared" si="26"/>
        <v>0.70662190156439741</v>
      </c>
      <c r="Q68" s="11">
        <v>20</v>
      </c>
      <c r="R68" s="36">
        <v>6</v>
      </c>
      <c r="S68" s="36">
        <v>4.8</v>
      </c>
      <c r="T68" s="4">
        <f t="shared" si="27"/>
        <v>0.79999999999999993</v>
      </c>
      <c r="U68" s="11">
        <v>5</v>
      </c>
      <c r="V68" s="36">
        <v>95</v>
      </c>
      <c r="W68" s="36">
        <v>253.4</v>
      </c>
      <c r="X68" s="4">
        <f t="shared" si="28"/>
        <v>1.3</v>
      </c>
      <c r="Y68" s="11">
        <v>45</v>
      </c>
      <c r="Z68" s="45">
        <f t="shared" si="35"/>
        <v>1.0430293579249839</v>
      </c>
      <c r="AA68" s="46">
        <v>6011</v>
      </c>
      <c r="AB68" s="36">
        <f t="shared" si="29"/>
        <v>546.4545454545455</v>
      </c>
      <c r="AC68" s="36">
        <f t="shared" si="30"/>
        <v>570</v>
      </c>
      <c r="AD68" s="36">
        <f t="shared" si="31"/>
        <v>23.545454545454504</v>
      </c>
      <c r="AE68" s="36">
        <v>-2.2000000000000002</v>
      </c>
      <c r="AF68" s="36">
        <f t="shared" si="32"/>
        <v>567.79999999999995</v>
      </c>
      <c r="AG68" s="36"/>
      <c r="AH68" s="36">
        <f t="shared" si="33"/>
        <v>567.79999999999995</v>
      </c>
      <c r="AI68" s="36"/>
      <c r="AJ68" s="36">
        <f t="shared" si="34"/>
        <v>567.79999999999995</v>
      </c>
      <c r="AK68" s="9"/>
      <c r="AL68" s="9"/>
      <c r="AM68" s="9"/>
      <c r="AN68" s="9"/>
      <c r="AO68" s="9"/>
      <c r="AP68" s="9"/>
      <c r="AQ68" s="9"/>
      <c r="AR68" s="10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0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10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10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10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10"/>
      <c r="GC68" s="9"/>
      <c r="GD68" s="9"/>
    </row>
    <row r="69" spans="1:186" s="2" customFormat="1" ht="16.95" customHeight="1">
      <c r="A69" s="14" t="s">
        <v>68</v>
      </c>
      <c r="B69" s="36">
        <v>191</v>
      </c>
      <c r="C69" s="36">
        <v>121.2</v>
      </c>
      <c r="D69" s="4">
        <f t="shared" si="25"/>
        <v>0.63455497382198955</v>
      </c>
      <c r="E69" s="11">
        <v>10</v>
      </c>
      <c r="F69" s="5" t="s">
        <v>370</v>
      </c>
      <c r="G69" s="5" t="s">
        <v>370</v>
      </c>
      <c r="H69" s="5" t="s">
        <v>370</v>
      </c>
      <c r="I69" s="5" t="s">
        <v>370</v>
      </c>
      <c r="J69" s="5" t="s">
        <v>370</v>
      </c>
      <c r="K69" s="5" t="s">
        <v>370</v>
      </c>
      <c r="L69" s="5" t="s">
        <v>370</v>
      </c>
      <c r="M69" s="5" t="s">
        <v>370</v>
      </c>
      <c r="N69" s="36">
        <v>211.1</v>
      </c>
      <c r="O69" s="36">
        <v>47.1</v>
      </c>
      <c r="P69" s="4">
        <f t="shared" si="26"/>
        <v>0.22311700615821886</v>
      </c>
      <c r="Q69" s="11">
        <v>20</v>
      </c>
      <c r="R69" s="36">
        <v>26</v>
      </c>
      <c r="S69" s="36">
        <v>29.7</v>
      </c>
      <c r="T69" s="4">
        <f t="shared" si="27"/>
        <v>1.1423076923076922</v>
      </c>
      <c r="U69" s="11">
        <v>20</v>
      </c>
      <c r="V69" s="36">
        <v>9.1</v>
      </c>
      <c r="W69" s="36">
        <v>13.6</v>
      </c>
      <c r="X69" s="4">
        <f t="shared" si="28"/>
        <v>1.2294505494505494</v>
      </c>
      <c r="Y69" s="11">
        <v>30</v>
      </c>
      <c r="Z69" s="45">
        <f t="shared" si="35"/>
        <v>0.88171950238818264</v>
      </c>
      <c r="AA69" s="46">
        <v>1755</v>
      </c>
      <c r="AB69" s="36">
        <f t="shared" si="29"/>
        <v>159.54545454545453</v>
      </c>
      <c r="AC69" s="36">
        <f t="shared" si="30"/>
        <v>140.69999999999999</v>
      </c>
      <c r="AD69" s="36">
        <f t="shared" si="31"/>
        <v>-18.845454545454544</v>
      </c>
      <c r="AE69" s="36">
        <v>0.6</v>
      </c>
      <c r="AF69" s="36">
        <f t="shared" si="32"/>
        <v>141.30000000000001</v>
      </c>
      <c r="AG69" s="36"/>
      <c r="AH69" s="36">
        <f t="shared" si="33"/>
        <v>141.30000000000001</v>
      </c>
      <c r="AI69" s="36"/>
      <c r="AJ69" s="36">
        <f t="shared" si="34"/>
        <v>141.30000000000001</v>
      </c>
      <c r="AK69" s="9"/>
      <c r="AL69" s="9"/>
      <c r="AM69" s="9"/>
      <c r="AN69" s="9"/>
      <c r="AO69" s="9"/>
      <c r="AP69" s="9"/>
      <c r="AQ69" s="9"/>
      <c r="AR69" s="10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10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10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10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10"/>
      <c r="GC69" s="9"/>
      <c r="GD69" s="9"/>
    </row>
    <row r="70" spans="1:186" s="2" customFormat="1" ht="16.95" customHeight="1">
      <c r="A70" s="14" t="s">
        <v>69</v>
      </c>
      <c r="B70" s="36">
        <v>176654</v>
      </c>
      <c r="C70" s="36">
        <v>165559</v>
      </c>
      <c r="D70" s="4">
        <f t="shared" si="25"/>
        <v>0.93719361010789448</v>
      </c>
      <c r="E70" s="11">
        <v>10</v>
      </c>
      <c r="F70" s="5" t="s">
        <v>370</v>
      </c>
      <c r="G70" s="5" t="s">
        <v>370</v>
      </c>
      <c r="H70" s="5" t="s">
        <v>370</v>
      </c>
      <c r="I70" s="5" t="s">
        <v>370</v>
      </c>
      <c r="J70" s="5" t="s">
        <v>370</v>
      </c>
      <c r="K70" s="5" t="s">
        <v>370</v>
      </c>
      <c r="L70" s="5" t="s">
        <v>370</v>
      </c>
      <c r="M70" s="5" t="s">
        <v>370</v>
      </c>
      <c r="N70" s="36">
        <v>842</v>
      </c>
      <c r="O70" s="36">
        <v>587.6</v>
      </c>
      <c r="P70" s="4">
        <f t="shared" si="26"/>
        <v>0.69786223277909742</v>
      </c>
      <c r="Q70" s="11">
        <v>20</v>
      </c>
      <c r="R70" s="36">
        <v>0</v>
      </c>
      <c r="S70" s="36">
        <v>3.8</v>
      </c>
      <c r="T70" s="4">
        <f t="shared" si="27"/>
        <v>1</v>
      </c>
      <c r="U70" s="11">
        <v>10</v>
      </c>
      <c r="V70" s="36">
        <v>0.8</v>
      </c>
      <c r="W70" s="36">
        <v>3.8</v>
      </c>
      <c r="X70" s="4">
        <f t="shared" si="28"/>
        <v>1.3</v>
      </c>
      <c r="Y70" s="11">
        <v>40</v>
      </c>
      <c r="Z70" s="45">
        <f t="shared" si="35"/>
        <v>1.0666147594582611</v>
      </c>
      <c r="AA70" s="46">
        <v>1473</v>
      </c>
      <c r="AB70" s="36">
        <f t="shared" si="29"/>
        <v>133.90909090909091</v>
      </c>
      <c r="AC70" s="36">
        <f t="shared" si="30"/>
        <v>142.80000000000001</v>
      </c>
      <c r="AD70" s="36">
        <f t="shared" si="31"/>
        <v>8.8909090909091049</v>
      </c>
      <c r="AE70" s="36">
        <v>0</v>
      </c>
      <c r="AF70" s="36">
        <f t="shared" si="32"/>
        <v>142.80000000000001</v>
      </c>
      <c r="AG70" s="36"/>
      <c r="AH70" s="36">
        <f t="shared" si="33"/>
        <v>142.80000000000001</v>
      </c>
      <c r="AI70" s="36"/>
      <c r="AJ70" s="36">
        <f t="shared" si="34"/>
        <v>142.80000000000001</v>
      </c>
      <c r="AK70" s="9"/>
      <c r="AL70" s="9"/>
      <c r="AM70" s="9"/>
      <c r="AN70" s="9"/>
      <c r="AO70" s="9"/>
      <c r="AP70" s="9"/>
      <c r="AQ70" s="9"/>
      <c r="AR70" s="10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0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10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10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10"/>
      <c r="GC70" s="9"/>
      <c r="GD70" s="9"/>
    </row>
    <row r="71" spans="1:186" s="2" customFormat="1" ht="16.95" customHeight="1">
      <c r="A71" s="14" t="s">
        <v>70</v>
      </c>
      <c r="B71" s="36">
        <v>0</v>
      </c>
      <c r="C71" s="36">
        <v>0</v>
      </c>
      <c r="D71" s="4">
        <f t="shared" si="25"/>
        <v>0</v>
      </c>
      <c r="E71" s="11">
        <v>0</v>
      </c>
      <c r="F71" s="5" t="s">
        <v>370</v>
      </c>
      <c r="G71" s="5" t="s">
        <v>370</v>
      </c>
      <c r="H71" s="5" t="s">
        <v>370</v>
      </c>
      <c r="I71" s="5" t="s">
        <v>370</v>
      </c>
      <c r="J71" s="5" t="s">
        <v>370</v>
      </c>
      <c r="K71" s="5" t="s">
        <v>370</v>
      </c>
      <c r="L71" s="5" t="s">
        <v>370</v>
      </c>
      <c r="M71" s="5" t="s">
        <v>370</v>
      </c>
      <c r="N71" s="36">
        <v>162.80000000000001</v>
      </c>
      <c r="O71" s="36">
        <v>99.7</v>
      </c>
      <c r="P71" s="4">
        <f t="shared" si="26"/>
        <v>0.61240786240786238</v>
      </c>
      <c r="Q71" s="11">
        <v>20</v>
      </c>
      <c r="R71" s="36">
        <v>28</v>
      </c>
      <c r="S71" s="36">
        <v>43.1</v>
      </c>
      <c r="T71" s="4">
        <f t="shared" si="27"/>
        <v>1.2339285714285715</v>
      </c>
      <c r="U71" s="11">
        <v>20</v>
      </c>
      <c r="V71" s="36">
        <v>5.4</v>
      </c>
      <c r="W71" s="36">
        <v>17.100000000000001</v>
      </c>
      <c r="X71" s="4">
        <f t="shared" si="28"/>
        <v>1.3</v>
      </c>
      <c r="Y71" s="11">
        <v>30</v>
      </c>
      <c r="Z71" s="45">
        <f t="shared" si="35"/>
        <v>1.0846675525246956</v>
      </c>
      <c r="AA71" s="46">
        <v>3008</v>
      </c>
      <c r="AB71" s="36">
        <f t="shared" si="29"/>
        <v>273.45454545454544</v>
      </c>
      <c r="AC71" s="36">
        <f t="shared" si="30"/>
        <v>296.60000000000002</v>
      </c>
      <c r="AD71" s="36">
        <f t="shared" si="31"/>
        <v>23.145454545454584</v>
      </c>
      <c r="AE71" s="36">
        <v>-2.4</v>
      </c>
      <c r="AF71" s="36">
        <f t="shared" si="32"/>
        <v>294.2</v>
      </c>
      <c r="AG71" s="36"/>
      <c r="AH71" s="36">
        <f t="shared" si="33"/>
        <v>294.2</v>
      </c>
      <c r="AI71" s="36"/>
      <c r="AJ71" s="36">
        <f t="shared" si="34"/>
        <v>294.2</v>
      </c>
      <c r="AK71" s="9"/>
      <c r="AL71" s="9"/>
      <c r="AM71" s="9"/>
      <c r="AN71" s="9"/>
      <c r="AO71" s="9"/>
      <c r="AP71" s="9"/>
      <c r="AQ71" s="9"/>
      <c r="AR71" s="10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0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10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10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10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10"/>
      <c r="GC71" s="9"/>
      <c r="GD71" s="9"/>
    </row>
    <row r="72" spans="1:186" s="2" customFormat="1" ht="16.95" customHeight="1">
      <c r="A72" s="18" t="s">
        <v>71</v>
      </c>
      <c r="B72" s="6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9"/>
      <c r="AL72" s="9"/>
      <c r="AM72" s="9"/>
      <c r="AN72" s="9"/>
      <c r="AO72" s="9"/>
      <c r="AP72" s="9"/>
      <c r="AQ72" s="9"/>
      <c r="AR72" s="10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0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10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10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10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10"/>
      <c r="GC72" s="9"/>
      <c r="GD72" s="9"/>
    </row>
    <row r="73" spans="1:186" s="2" customFormat="1" ht="16.95" customHeight="1">
      <c r="A73" s="14" t="s">
        <v>72</v>
      </c>
      <c r="B73" s="36">
        <v>933</v>
      </c>
      <c r="C73" s="36">
        <v>852.2</v>
      </c>
      <c r="D73" s="4">
        <f t="shared" si="25"/>
        <v>0.9133976420150054</v>
      </c>
      <c r="E73" s="11">
        <v>10</v>
      </c>
      <c r="F73" s="5" t="s">
        <v>370</v>
      </c>
      <c r="G73" s="5" t="s">
        <v>370</v>
      </c>
      <c r="H73" s="5" t="s">
        <v>370</v>
      </c>
      <c r="I73" s="5" t="s">
        <v>370</v>
      </c>
      <c r="J73" s="5" t="s">
        <v>370</v>
      </c>
      <c r="K73" s="5" t="s">
        <v>370</v>
      </c>
      <c r="L73" s="5" t="s">
        <v>370</v>
      </c>
      <c r="M73" s="5" t="s">
        <v>370</v>
      </c>
      <c r="N73" s="36">
        <v>327.60000000000002</v>
      </c>
      <c r="O73" s="36">
        <v>136.5</v>
      </c>
      <c r="P73" s="4">
        <f t="shared" si="26"/>
        <v>0.41666666666666663</v>
      </c>
      <c r="Q73" s="11">
        <v>20</v>
      </c>
      <c r="R73" s="36">
        <v>45</v>
      </c>
      <c r="S73" s="36">
        <v>52</v>
      </c>
      <c r="T73" s="4">
        <f t="shared" si="27"/>
        <v>1.1555555555555554</v>
      </c>
      <c r="U73" s="11">
        <v>30</v>
      </c>
      <c r="V73" s="36">
        <v>1</v>
      </c>
      <c r="W73" s="36">
        <v>2.7</v>
      </c>
      <c r="X73" s="4">
        <f t="shared" si="28"/>
        <v>1.3</v>
      </c>
      <c r="Y73" s="11">
        <v>20</v>
      </c>
      <c r="Z73" s="45">
        <f t="shared" si="35"/>
        <v>0.97667470525187561</v>
      </c>
      <c r="AA73" s="46">
        <v>1128</v>
      </c>
      <c r="AB73" s="36">
        <f t="shared" si="29"/>
        <v>102.54545454545455</v>
      </c>
      <c r="AC73" s="36">
        <f t="shared" si="30"/>
        <v>100.2</v>
      </c>
      <c r="AD73" s="36">
        <f t="shared" si="31"/>
        <v>-2.3454545454545439</v>
      </c>
      <c r="AE73" s="36">
        <v>-3.7</v>
      </c>
      <c r="AF73" s="36">
        <f t="shared" si="32"/>
        <v>96.5</v>
      </c>
      <c r="AG73" s="36"/>
      <c r="AH73" s="36">
        <f t="shared" si="33"/>
        <v>96.5</v>
      </c>
      <c r="AI73" s="36"/>
      <c r="AJ73" s="36">
        <f t="shared" si="34"/>
        <v>96.5</v>
      </c>
      <c r="AK73" s="9"/>
      <c r="AL73" s="9"/>
      <c r="AM73" s="9"/>
      <c r="AN73" s="9"/>
      <c r="AO73" s="9"/>
      <c r="AP73" s="9"/>
      <c r="AQ73" s="9"/>
      <c r="AR73" s="10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0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10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10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10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10"/>
      <c r="GC73" s="9"/>
      <c r="GD73" s="9"/>
    </row>
    <row r="74" spans="1:186" s="2" customFormat="1" ht="16.95" customHeight="1">
      <c r="A74" s="14" t="s">
        <v>73</v>
      </c>
      <c r="B74" s="36">
        <v>14935</v>
      </c>
      <c r="C74" s="36">
        <v>15130.8</v>
      </c>
      <c r="D74" s="4">
        <f t="shared" si="25"/>
        <v>1.0131101439571475</v>
      </c>
      <c r="E74" s="11">
        <v>10</v>
      </c>
      <c r="F74" s="5" t="s">
        <v>370</v>
      </c>
      <c r="G74" s="5" t="s">
        <v>370</v>
      </c>
      <c r="H74" s="5" t="s">
        <v>370</v>
      </c>
      <c r="I74" s="5" t="s">
        <v>370</v>
      </c>
      <c r="J74" s="5" t="s">
        <v>370</v>
      </c>
      <c r="K74" s="5" t="s">
        <v>370</v>
      </c>
      <c r="L74" s="5" t="s">
        <v>370</v>
      </c>
      <c r="M74" s="5" t="s">
        <v>370</v>
      </c>
      <c r="N74" s="36">
        <v>1396.7</v>
      </c>
      <c r="O74" s="36">
        <v>1630.5</v>
      </c>
      <c r="P74" s="4">
        <f t="shared" si="26"/>
        <v>1.1673945729218873</v>
      </c>
      <c r="Q74" s="11">
        <v>20</v>
      </c>
      <c r="R74" s="36">
        <v>35</v>
      </c>
      <c r="S74" s="36">
        <v>35.1</v>
      </c>
      <c r="T74" s="4">
        <f t="shared" si="27"/>
        <v>1.0028571428571429</v>
      </c>
      <c r="U74" s="11">
        <v>20</v>
      </c>
      <c r="V74" s="36">
        <v>7</v>
      </c>
      <c r="W74" s="36">
        <v>10.7</v>
      </c>
      <c r="X74" s="4">
        <f t="shared" si="28"/>
        <v>1.2328571428571429</v>
      </c>
      <c r="Y74" s="11">
        <v>30</v>
      </c>
      <c r="Z74" s="45">
        <f t="shared" si="35"/>
        <v>1.1315231255108296</v>
      </c>
      <c r="AA74" s="46">
        <v>5131</v>
      </c>
      <c r="AB74" s="36">
        <f t="shared" si="29"/>
        <v>466.45454545454544</v>
      </c>
      <c r="AC74" s="36">
        <f t="shared" si="30"/>
        <v>527.79999999999995</v>
      </c>
      <c r="AD74" s="36">
        <f t="shared" si="31"/>
        <v>61.345454545454515</v>
      </c>
      <c r="AE74" s="36">
        <v>11.6</v>
      </c>
      <c r="AF74" s="36">
        <f t="shared" si="32"/>
        <v>539.4</v>
      </c>
      <c r="AG74" s="36"/>
      <c r="AH74" s="36">
        <f t="shared" si="33"/>
        <v>539.4</v>
      </c>
      <c r="AI74" s="36"/>
      <c r="AJ74" s="36">
        <f t="shared" si="34"/>
        <v>539.4</v>
      </c>
      <c r="AK74" s="9"/>
      <c r="AL74" s="9"/>
      <c r="AM74" s="9"/>
      <c r="AN74" s="9"/>
      <c r="AO74" s="9"/>
      <c r="AP74" s="9"/>
      <c r="AQ74" s="9"/>
      <c r="AR74" s="10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0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10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10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10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10"/>
      <c r="GC74" s="9"/>
      <c r="GD74" s="9"/>
    </row>
    <row r="75" spans="1:186" s="2" customFormat="1" ht="16.95" customHeight="1">
      <c r="A75" s="14" t="s">
        <v>74</v>
      </c>
      <c r="B75" s="36">
        <v>151</v>
      </c>
      <c r="C75" s="36">
        <v>118</v>
      </c>
      <c r="D75" s="4">
        <f t="shared" si="25"/>
        <v>0.7814569536423841</v>
      </c>
      <c r="E75" s="11">
        <v>10</v>
      </c>
      <c r="F75" s="5" t="s">
        <v>370</v>
      </c>
      <c r="G75" s="5" t="s">
        <v>370</v>
      </c>
      <c r="H75" s="5" t="s">
        <v>370</v>
      </c>
      <c r="I75" s="5" t="s">
        <v>370</v>
      </c>
      <c r="J75" s="5" t="s">
        <v>370</v>
      </c>
      <c r="K75" s="5" t="s">
        <v>370</v>
      </c>
      <c r="L75" s="5" t="s">
        <v>370</v>
      </c>
      <c r="M75" s="5" t="s">
        <v>370</v>
      </c>
      <c r="N75" s="36">
        <v>76.3</v>
      </c>
      <c r="O75" s="36">
        <v>71.900000000000006</v>
      </c>
      <c r="P75" s="4">
        <f t="shared" si="26"/>
        <v>0.94233289646133689</v>
      </c>
      <c r="Q75" s="11">
        <v>20</v>
      </c>
      <c r="R75" s="36">
        <v>28</v>
      </c>
      <c r="S75" s="36">
        <v>40.299999999999997</v>
      </c>
      <c r="T75" s="4">
        <f t="shared" si="27"/>
        <v>1.2239285714285715</v>
      </c>
      <c r="U75" s="11">
        <v>25</v>
      </c>
      <c r="V75" s="36">
        <v>1</v>
      </c>
      <c r="W75" s="36">
        <v>1.1000000000000001</v>
      </c>
      <c r="X75" s="4">
        <f t="shared" si="28"/>
        <v>1.1000000000000001</v>
      </c>
      <c r="Y75" s="11">
        <v>25</v>
      </c>
      <c r="Z75" s="45">
        <f t="shared" si="35"/>
        <v>1.0594930218920608</v>
      </c>
      <c r="AA75" s="46">
        <v>793</v>
      </c>
      <c r="AB75" s="36">
        <f t="shared" si="29"/>
        <v>72.090909090909093</v>
      </c>
      <c r="AC75" s="36">
        <f t="shared" si="30"/>
        <v>76.400000000000006</v>
      </c>
      <c r="AD75" s="36">
        <f t="shared" si="31"/>
        <v>4.3090909090909122</v>
      </c>
      <c r="AE75" s="36">
        <v>2.2999999999999998</v>
      </c>
      <c r="AF75" s="36">
        <f t="shared" si="32"/>
        <v>78.7</v>
      </c>
      <c r="AG75" s="36"/>
      <c r="AH75" s="36">
        <f t="shared" si="33"/>
        <v>78.7</v>
      </c>
      <c r="AI75" s="36"/>
      <c r="AJ75" s="36">
        <f t="shared" si="34"/>
        <v>78.7</v>
      </c>
      <c r="AK75" s="9"/>
      <c r="AL75" s="9"/>
      <c r="AM75" s="9"/>
      <c r="AN75" s="9"/>
      <c r="AO75" s="9"/>
      <c r="AP75" s="9"/>
      <c r="AQ75" s="9"/>
      <c r="AR75" s="10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0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10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10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10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10"/>
      <c r="GC75" s="9"/>
      <c r="GD75" s="9"/>
    </row>
    <row r="76" spans="1:186" s="2" customFormat="1" ht="16.95" customHeight="1">
      <c r="A76" s="14" t="s">
        <v>75</v>
      </c>
      <c r="B76" s="36">
        <v>562</v>
      </c>
      <c r="C76" s="36">
        <v>537</v>
      </c>
      <c r="D76" s="4">
        <f t="shared" si="25"/>
        <v>0.95551601423487542</v>
      </c>
      <c r="E76" s="11">
        <v>10</v>
      </c>
      <c r="F76" s="5" t="s">
        <v>370</v>
      </c>
      <c r="G76" s="5" t="s">
        <v>370</v>
      </c>
      <c r="H76" s="5" t="s">
        <v>370</v>
      </c>
      <c r="I76" s="5" t="s">
        <v>370</v>
      </c>
      <c r="J76" s="5" t="s">
        <v>370</v>
      </c>
      <c r="K76" s="5" t="s">
        <v>370</v>
      </c>
      <c r="L76" s="5" t="s">
        <v>370</v>
      </c>
      <c r="M76" s="5" t="s">
        <v>370</v>
      </c>
      <c r="N76" s="36">
        <v>419.8</v>
      </c>
      <c r="O76" s="36">
        <v>230.3</v>
      </c>
      <c r="P76" s="4">
        <f t="shared" si="26"/>
        <v>0.54859456884230584</v>
      </c>
      <c r="Q76" s="11">
        <v>20</v>
      </c>
      <c r="R76" s="36">
        <v>54</v>
      </c>
      <c r="S76" s="36">
        <v>57.6</v>
      </c>
      <c r="T76" s="4">
        <f t="shared" si="27"/>
        <v>1.0666666666666667</v>
      </c>
      <c r="U76" s="11">
        <v>30</v>
      </c>
      <c r="V76" s="36">
        <v>3</v>
      </c>
      <c r="W76" s="36">
        <v>3.2</v>
      </c>
      <c r="X76" s="4">
        <f t="shared" si="28"/>
        <v>1.0666666666666667</v>
      </c>
      <c r="Y76" s="11">
        <v>20</v>
      </c>
      <c r="Z76" s="45">
        <f t="shared" si="35"/>
        <v>0.92325481065660253</v>
      </c>
      <c r="AA76" s="46">
        <v>1363</v>
      </c>
      <c r="AB76" s="36">
        <f t="shared" si="29"/>
        <v>123.90909090909091</v>
      </c>
      <c r="AC76" s="36">
        <f t="shared" si="30"/>
        <v>114.4</v>
      </c>
      <c r="AD76" s="36">
        <f t="shared" si="31"/>
        <v>-9.5090909090909008</v>
      </c>
      <c r="AE76" s="36">
        <v>-5.5</v>
      </c>
      <c r="AF76" s="36">
        <f t="shared" si="32"/>
        <v>108.9</v>
      </c>
      <c r="AG76" s="36"/>
      <c r="AH76" s="36">
        <f t="shared" si="33"/>
        <v>108.9</v>
      </c>
      <c r="AI76" s="36"/>
      <c r="AJ76" s="36">
        <f t="shared" si="34"/>
        <v>108.9</v>
      </c>
      <c r="AK76" s="9"/>
      <c r="AL76" s="9"/>
      <c r="AM76" s="9"/>
      <c r="AN76" s="9"/>
      <c r="AO76" s="9"/>
      <c r="AP76" s="9"/>
      <c r="AQ76" s="9"/>
      <c r="AR76" s="10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0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10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10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10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10"/>
      <c r="GC76" s="9"/>
      <c r="GD76" s="9"/>
    </row>
    <row r="77" spans="1:186" s="2" customFormat="1" ht="16.95" customHeight="1">
      <c r="A77" s="14" t="s">
        <v>76</v>
      </c>
      <c r="B77" s="36">
        <v>229</v>
      </c>
      <c r="C77" s="36">
        <v>228.4</v>
      </c>
      <c r="D77" s="4">
        <f t="shared" si="25"/>
        <v>0.99737991266375547</v>
      </c>
      <c r="E77" s="11">
        <v>10</v>
      </c>
      <c r="F77" s="5" t="s">
        <v>370</v>
      </c>
      <c r="G77" s="5" t="s">
        <v>370</v>
      </c>
      <c r="H77" s="5" t="s">
        <v>370</v>
      </c>
      <c r="I77" s="5" t="s">
        <v>370</v>
      </c>
      <c r="J77" s="5" t="s">
        <v>370</v>
      </c>
      <c r="K77" s="5" t="s">
        <v>370</v>
      </c>
      <c r="L77" s="5" t="s">
        <v>370</v>
      </c>
      <c r="M77" s="5" t="s">
        <v>370</v>
      </c>
      <c r="N77" s="36">
        <v>46.1</v>
      </c>
      <c r="O77" s="36">
        <v>94.1</v>
      </c>
      <c r="P77" s="4">
        <f t="shared" si="26"/>
        <v>1.2841214750542298</v>
      </c>
      <c r="Q77" s="11">
        <v>20</v>
      </c>
      <c r="R77" s="36">
        <v>19</v>
      </c>
      <c r="S77" s="36">
        <v>17.2</v>
      </c>
      <c r="T77" s="4">
        <f t="shared" si="27"/>
        <v>0.90526315789473677</v>
      </c>
      <c r="U77" s="11">
        <v>30</v>
      </c>
      <c r="V77" s="36">
        <v>1</v>
      </c>
      <c r="W77" s="36">
        <v>1.1000000000000001</v>
      </c>
      <c r="X77" s="4">
        <f t="shared" si="28"/>
        <v>1.1000000000000001</v>
      </c>
      <c r="Y77" s="11">
        <v>20</v>
      </c>
      <c r="Z77" s="45">
        <f t="shared" si="35"/>
        <v>1.0601765420570533</v>
      </c>
      <c r="AA77" s="46">
        <v>478</v>
      </c>
      <c r="AB77" s="36">
        <f t="shared" si="29"/>
        <v>43.454545454545453</v>
      </c>
      <c r="AC77" s="36">
        <f t="shared" si="30"/>
        <v>46.1</v>
      </c>
      <c r="AD77" s="36">
        <f t="shared" si="31"/>
        <v>2.6454545454545482</v>
      </c>
      <c r="AE77" s="36">
        <v>-2.8</v>
      </c>
      <c r="AF77" s="36">
        <f t="shared" si="32"/>
        <v>43.3</v>
      </c>
      <c r="AG77" s="36"/>
      <c r="AH77" s="36">
        <f t="shared" si="33"/>
        <v>43.3</v>
      </c>
      <c r="AI77" s="36"/>
      <c r="AJ77" s="36">
        <f t="shared" si="34"/>
        <v>43.3</v>
      </c>
      <c r="AK77" s="9"/>
      <c r="AL77" s="9"/>
      <c r="AM77" s="9"/>
      <c r="AN77" s="9"/>
      <c r="AO77" s="9"/>
      <c r="AP77" s="9"/>
      <c r="AQ77" s="9"/>
      <c r="AR77" s="10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0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10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10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10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10"/>
      <c r="GC77" s="9"/>
      <c r="GD77" s="9"/>
    </row>
    <row r="78" spans="1:186" s="2" customFormat="1" ht="16.95" customHeight="1">
      <c r="A78" s="14" t="s">
        <v>77</v>
      </c>
      <c r="B78" s="36">
        <v>135</v>
      </c>
      <c r="C78" s="36">
        <v>130</v>
      </c>
      <c r="D78" s="4">
        <f t="shared" si="25"/>
        <v>0.96296296296296291</v>
      </c>
      <c r="E78" s="11">
        <v>10</v>
      </c>
      <c r="F78" s="5" t="s">
        <v>370</v>
      </c>
      <c r="G78" s="5" t="s">
        <v>370</v>
      </c>
      <c r="H78" s="5" t="s">
        <v>370</v>
      </c>
      <c r="I78" s="5" t="s">
        <v>370</v>
      </c>
      <c r="J78" s="5" t="s">
        <v>370</v>
      </c>
      <c r="K78" s="5" t="s">
        <v>370</v>
      </c>
      <c r="L78" s="5" t="s">
        <v>370</v>
      </c>
      <c r="M78" s="5" t="s">
        <v>370</v>
      </c>
      <c r="N78" s="36">
        <v>87</v>
      </c>
      <c r="O78" s="36">
        <v>34.4</v>
      </c>
      <c r="P78" s="4">
        <f t="shared" si="26"/>
        <v>0.39540229885057471</v>
      </c>
      <c r="Q78" s="11">
        <v>20</v>
      </c>
      <c r="R78" s="36">
        <v>90</v>
      </c>
      <c r="S78" s="36">
        <v>77</v>
      </c>
      <c r="T78" s="4">
        <f t="shared" si="27"/>
        <v>0.85555555555555551</v>
      </c>
      <c r="U78" s="11">
        <v>30</v>
      </c>
      <c r="V78" s="36">
        <v>1</v>
      </c>
      <c r="W78" s="36">
        <v>1.1000000000000001</v>
      </c>
      <c r="X78" s="4">
        <f t="shared" si="28"/>
        <v>1.1000000000000001</v>
      </c>
      <c r="Y78" s="11">
        <v>20</v>
      </c>
      <c r="Z78" s="45">
        <f t="shared" si="35"/>
        <v>0.81505427841634737</v>
      </c>
      <c r="AA78" s="46">
        <v>2003</v>
      </c>
      <c r="AB78" s="36">
        <f t="shared" si="29"/>
        <v>182.09090909090909</v>
      </c>
      <c r="AC78" s="36">
        <f t="shared" si="30"/>
        <v>148.4</v>
      </c>
      <c r="AD78" s="36">
        <f t="shared" si="31"/>
        <v>-33.690909090909088</v>
      </c>
      <c r="AE78" s="36">
        <v>3.3</v>
      </c>
      <c r="AF78" s="36">
        <f t="shared" si="32"/>
        <v>151.69999999999999</v>
      </c>
      <c r="AG78" s="36"/>
      <c r="AH78" s="36">
        <f t="shared" si="33"/>
        <v>151.69999999999999</v>
      </c>
      <c r="AI78" s="36"/>
      <c r="AJ78" s="36">
        <f t="shared" si="34"/>
        <v>151.69999999999999</v>
      </c>
      <c r="AK78" s="9"/>
      <c r="AL78" s="9"/>
      <c r="AM78" s="9"/>
      <c r="AN78" s="9"/>
      <c r="AO78" s="9"/>
      <c r="AP78" s="9"/>
      <c r="AQ78" s="9"/>
      <c r="AR78" s="10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0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10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10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10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10"/>
      <c r="GC78" s="9"/>
      <c r="GD78" s="9"/>
    </row>
    <row r="79" spans="1:186" s="2" customFormat="1" ht="16.95" customHeight="1">
      <c r="A79" s="14" t="s">
        <v>78</v>
      </c>
      <c r="B79" s="36">
        <v>881</v>
      </c>
      <c r="C79" s="36">
        <v>830</v>
      </c>
      <c r="D79" s="4">
        <f t="shared" si="25"/>
        <v>0.94211123723042001</v>
      </c>
      <c r="E79" s="11">
        <v>10</v>
      </c>
      <c r="F79" s="5" t="s">
        <v>370</v>
      </c>
      <c r="G79" s="5" t="s">
        <v>370</v>
      </c>
      <c r="H79" s="5" t="s">
        <v>370</v>
      </c>
      <c r="I79" s="5" t="s">
        <v>370</v>
      </c>
      <c r="J79" s="5" t="s">
        <v>370</v>
      </c>
      <c r="K79" s="5" t="s">
        <v>370</v>
      </c>
      <c r="L79" s="5" t="s">
        <v>370</v>
      </c>
      <c r="M79" s="5" t="s">
        <v>370</v>
      </c>
      <c r="N79" s="36">
        <v>135.19999999999999</v>
      </c>
      <c r="O79" s="36">
        <v>165.6</v>
      </c>
      <c r="P79" s="4">
        <f t="shared" si="26"/>
        <v>1.2024852071005916</v>
      </c>
      <c r="Q79" s="11">
        <v>20</v>
      </c>
      <c r="R79" s="36">
        <v>23</v>
      </c>
      <c r="S79" s="36">
        <v>23.1</v>
      </c>
      <c r="T79" s="4">
        <f t="shared" si="27"/>
        <v>1.0043478260869565</v>
      </c>
      <c r="U79" s="11">
        <v>25</v>
      </c>
      <c r="V79" s="36">
        <v>1</v>
      </c>
      <c r="W79" s="36">
        <v>1.1000000000000001</v>
      </c>
      <c r="X79" s="4">
        <f t="shared" si="28"/>
        <v>1.1000000000000001</v>
      </c>
      <c r="Y79" s="11">
        <v>25</v>
      </c>
      <c r="Z79" s="45">
        <f t="shared" si="35"/>
        <v>1.0759939020811244</v>
      </c>
      <c r="AA79" s="46">
        <v>1890</v>
      </c>
      <c r="AB79" s="36">
        <f t="shared" si="29"/>
        <v>171.81818181818181</v>
      </c>
      <c r="AC79" s="36">
        <f t="shared" si="30"/>
        <v>184.9</v>
      </c>
      <c r="AD79" s="36">
        <f t="shared" si="31"/>
        <v>13.081818181818193</v>
      </c>
      <c r="AE79" s="36">
        <v>2.2000000000000002</v>
      </c>
      <c r="AF79" s="36">
        <f t="shared" si="32"/>
        <v>187.1</v>
      </c>
      <c r="AG79" s="36"/>
      <c r="AH79" s="36">
        <f t="shared" si="33"/>
        <v>187.1</v>
      </c>
      <c r="AI79" s="36"/>
      <c r="AJ79" s="36">
        <f t="shared" si="34"/>
        <v>187.1</v>
      </c>
      <c r="AK79" s="9"/>
      <c r="AL79" s="9"/>
      <c r="AM79" s="9"/>
      <c r="AN79" s="9"/>
      <c r="AO79" s="9"/>
      <c r="AP79" s="9"/>
      <c r="AQ79" s="9"/>
      <c r="AR79" s="10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10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10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10"/>
      <c r="GC79" s="9"/>
      <c r="GD79" s="9"/>
    </row>
    <row r="80" spans="1:186" s="2" customFormat="1" ht="16.95" customHeight="1">
      <c r="A80" s="14" t="s">
        <v>79</v>
      </c>
      <c r="B80" s="36">
        <v>734</v>
      </c>
      <c r="C80" s="36">
        <v>664.6</v>
      </c>
      <c r="D80" s="4">
        <f t="shared" si="25"/>
        <v>0.90544959128065394</v>
      </c>
      <c r="E80" s="11">
        <v>10</v>
      </c>
      <c r="F80" s="5" t="s">
        <v>370</v>
      </c>
      <c r="G80" s="5" t="s">
        <v>370</v>
      </c>
      <c r="H80" s="5" t="s">
        <v>370</v>
      </c>
      <c r="I80" s="5" t="s">
        <v>370</v>
      </c>
      <c r="J80" s="5" t="s">
        <v>370</v>
      </c>
      <c r="K80" s="5" t="s">
        <v>370</v>
      </c>
      <c r="L80" s="5" t="s">
        <v>370</v>
      </c>
      <c r="M80" s="5" t="s">
        <v>370</v>
      </c>
      <c r="N80" s="36">
        <v>522.20000000000005</v>
      </c>
      <c r="O80" s="36">
        <v>111.3</v>
      </c>
      <c r="P80" s="4">
        <f t="shared" si="26"/>
        <v>0.21313672922252008</v>
      </c>
      <c r="Q80" s="11">
        <v>20</v>
      </c>
      <c r="R80" s="36">
        <v>30</v>
      </c>
      <c r="S80" s="36">
        <v>30.1</v>
      </c>
      <c r="T80" s="4">
        <f t="shared" si="27"/>
        <v>1.0033333333333334</v>
      </c>
      <c r="U80" s="11">
        <v>20</v>
      </c>
      <c r="V80" s="36">
        <v>19</v>
      </c>
      <c r="W80" s="36">
        <v>19.2</v>
      </c>
      <c r="X80" s="4">
        <f t="shared" si="28"/>
        <v>1.0105263157894737</v>
      </c>
      <c r="Y80" s="11">
        <v>30</v>
      </c>
      <c r="Z80" s="45">
        <f t="shared" si="35"/>
        <v>0.79624608297009769</v>
      </c>
      <c r="AA80" s="46">
        <v>1517</v>
      </c>
      <c r="AB80" s="36">
        <f t="shared" si="29"/>
        <v>137.90909090909091</v>
      </c>
      <c r="AC80" s="36">
        <f t="shared" si="30"/>
        <v>109.8</v>
      </c>
      <c r="AD80" s="36">
        <f t="shared" si="31"/>
        <v>-28.109090909090909</v>
      </c>
      <c r="AE80" s="36">
        <v>-15.8</v>
      </c>
      <c r="AF80" s="36">
        <f t="shared" si="32"/>
        <v>94</v>
      </c>
      <c r="AG80" s="36"/>
      <c r="AH80" s="36">
        <f t="shared" si="33"/>
        <v>94</v>
      </c>
      <c r="AI80" s="36"/>
      <c r="AJ80" s="36">
        <f t="shared" si="34"/>
        <v>94</v>
      </c>
      <c r="AK80" s="9"/>
      <c r="AL80" s="9"/>
      <c r="AM80" s="9"/>
      <c r="AN80" s="9"/>
      <c r="AO80" s="9"/>
      <c r="AP80" s="9"/>
      <c r="AQ80" s="9"/>
      <c r="AR80" s="10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0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10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10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10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10"/>
      <c r="GC80" s="9"/>
      <c r="GD80" s="9"/>
    </row>
    <row r="81" spans="1:186" s="2" customFormat="1" ht="16.95" customHeight="1">
      <c r="A81" s="18" t="s">
        <v>80</v>
      </c>
      <c r="B81" s="6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9"/>
      <c r="AL81" s="9"/>
      <c r="AM81" s="9"/>
      <c r="AN81" s="9"/>
      <c r="AO81" s="9"/>
      <c r="AP81" s="9"/>
      <c r="AQ81" s="9"/>
      <c r="AR81" s="10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0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10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10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10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10"/>
      <c r="GC81" s="9"/>
      <c r="GD81" s="9"/>
    </row>
    <row r="82" spans="1:186" s="2" customFormat="1" ht="16.95" customHeight="1">
      <c r="A82" s="14" t="s">
        <v>81</v>
      </c>
      <c r="B82" s="36">
        <v>5184</v>
      </c>
      <c r="C82" s="36">
        <v>8025</v>
      </c>
      <c r="D82" s="4">
        <f t="shared" si="25"/>
        <v>1.2348032407407408</v>
      </c>
      <c r="E82" s="11">
        <v>10</v>
      </c>
      <c r="F82" s="5" t="s">
        <v>370</v>
      </c>
      <c r="G82" s="5" t="s">
        <v>370</v>
      </c>
      <c r="H82" s="5" t="s">
        <v>370</v>
      </c>
      <c r="I82" s="5" t="s">
        <v>370</v>
      </c>
      <c r="J82" s="5" t="s">
        <v>370</v>
      </c>
      <c r="K82" s="5" t="s">
        <v>370</v>
      </c>
      <c r="L82" s="5" t="s">
        <v>370</v>
      </c>
      <c r="M82" s="5" t="s">
        <v>370</v>
      </c>
      <c r="N82" s="36">
        <v>530.20000000000005</v>
      </c>
      <c r="O82" s="36">
        <v>346.1</v>
      </c>
      <c r="P82" s="4">
        <f t="shared" si="26"/>
        <v>0.65277253866465479</v>
      </c>
      <c r="Q82" s="11">
        <v>20</v>
      </c>
      <c r="R82" s="36">
        <v>23</v>
      </c>
      <c r="S82" s="36">
        <v>26.9</v>
      </c>
      <c r="T82" s="4">
        <f t="shared" si="27"/>
        <v>1.1695652173913043</v>
      </c>
      <c r="U82" s="11">
        <v>15</v>
      </c>
      <c r="V82" s="36">
        <v>10</v>
      </c>
      <c r="W82" s="36">
        <v>11.9</v>
      </c>
      <c r="X82" s="4">
        <f t="shared" si="28"/>
        <v>1.19</v>
      </c>
      <c r="Y82" s="11">
        <v>35</v>
      </c>
      <c r="Z82" s="45">
        <f t="shared" si="35"/>
        <v>1.0574620180196259</v>
      </c>
      <c r="AA82" s="46">
        <v>2441</v>
      </c>
      <c r="AB82" s="36">
        <f t="shared" si="29"/>
        <v>221.90909090909091</v>
      </c>
      <c r="AC82" s="36">
        <f t="shared" si="30"/>
        <v>234.7</v>
      </c>
      <c r="AD82" s="36">
        <f t="shared" si="31"/>
        <v>12.790909090909082</v>
      </c>
      <c r="AE82" s="36">
        <v>-2.6</v>
      </c>
      <c r="AF82" s="36">
        <f t="shared" si="32"/>
        <v>232.1</v>
      </c>
      <c r="AG82" s="36"/>
      <c r="AH82" s="36">
        <f t="shared" si="33"/>
        <v>232.1</v>
      </c>
      <c r="AI82" s="36"/>
      <c r="AJ82" s="36">
        <f t="shared" si="34"/>
        <v>232.1</v>
      </c>
      <c r="AK82" s="9"/>
      <c r="AL82" s="9"/>
      <c r="AM82" s="9"/>
      <c r="AN82" s="9"/>
      <c r="AO82" s="9"/>
      <c r="AP82" s="9"/>
      <c r="AQ82" s="9"/>
      <c r="AR82" s="10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0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10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10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10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10"/>
      <c r="GC82" s="9"/>
      <c r="GD82" s="9"/>
    </row>
    <row r="83" spans="1:186" s="2" customFormat="1" ht="16.95" customHeight="1">
      <c r="A83" s="47" t="s">
        <v>82</v>
      </c>
      <c r="B83" s="36">
        <v>11692</v>
      </c>
      <c r="C83" s="36">
        <v>12247</v>
      </c>
      <c r="D83" s="4">
        <f t="shared" si="25"/>
        <v>1.0474683544303798</v>
      </c>
      <c r="E83" s="11">
        <v>10</v>
      </c>
      <c r="F83" s="5" t="s">
        <v>370</v>
      </c>
      <c r="G83" s="5" t="s">
        <v>370</v>
      </c>
      <c r="H83" s="5" t="s">
        <v>370</v>
      </c>
      <c r="I83" s="5" t="s">
        <v>370</v>
      </c>
      <c r="J83" s="5" t="s">
        <v>370</v>
      </c>
      <c r="K83" s="5" t="s">
        <v>370</v>
      </c>
      <c r="L83" s="5" t="s">
        <v>370</v>
      </c>
      <c r="M83" s="5" t="s">
        <v>370</v>
      </c>
      <c r="N83" s="36">
        <v>1128.5999999999999</v>
      </c>
      <c r="O83" s="36">
        <v>952.5</v>
      </c>
      <c r="P83" s="4">
        <f t="shared" si="26"/>
        <v>0.84396597554492303</v>
      </c>
      <c r="Q83" s="11">
        <v>20</v>
      </c>
      <c r="R83" s="36">
        <v>93</v>
      </c>
      <c r="S83" s="36">
        <v>109.1</v>
      </c>
      <c r="T83" s="4">
        <f t="shared" si="27"/>
        <v>1.1731182795698925</v>
      </c>
      <c r="U83" s="11">
        <v>25</v>
      </c>
      <c r="V83" s="36">
        <v>7</v>
      </c>
      <c r="W83" s="36">
        <v>8.3000000000000007</v>
      </c>
      <c r="X83" s="4">
        <f t="shared" si="28"/>
        <v>1.1857142857142857</v>
      </c>
      <c r="Y83" s="11">
        <v>25</v>
      </c>
      <c r="Z83" s="45">
        <f t="shared" si="35"/>
        <v>1.0790602148413337</v>
      </c>
      <c r="AA83" s="46">
        <v>2958</v>
      </c>
      <c r="AB83" s="36">
        <f t="shared" si="29"/>
        <v>268.90909090909093</v>
      </c>
      <c r="AC83" s="36">
        <f t="shared" si="30"/>
        <v>290.2</v>
      </c>
      <c r="AD83" s="36">
        <f t="shared" si="31"/>
        <v>21.290909090909054</v>
      </c>
      <c r="AE83" s="36">
        <v>-3.9</v>
      </c>
      <c r="AF83" s="36">
        <f t="shared" si="32"/>
        <v>286.3</v>
      </c>
      <c r="AG83" s="36"/>
      <c r="AH83" s="36">
        <f t="shared" si="33"/>
        <v>286.3</v>
      </c>
      <c r="AI83" s="36"/>
      <c r="AJ83" s="36">
        <f t="shared" si="34"/>
        <v>286.3</v>
      </c>
      <c r="AK83" s="9"/>
      <c r="AL83" s="9"/>
      <c r="AM83" s="9"/>
      <c r="AN83" s="9"/>
      <c r="AO83" s="9"/>
      <c r="AP83" s="9"/>
      <c r="AQ83" s="9"/>
      <c r="AR83" s="10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10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10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10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10"/>
      <c r="GC83" s="9"/>
      <c r="GD83" s="9"/>
    </row>
    <row r="84" spans="1:186" s="2" customFormat="1" ht="16.95" customHeight="1">
      <c r="A84" s="14" t="s">
        <v>83</v>
      </c>
      <c r="B84" s="36">
        <v>38</v>
      </c>
      <c r="C84" s="36">
        <v>39</v>
      </c>
      <c r="D84" s="4">
        <f t="shared" si="25"/>
        <v>1.0263157894736843</v>
      </c>
      <c r="E84" s="11">
        <v>10</v>
      </c>
      <c r="F84" s="5" t="s">
        <v>370</v>
      </c>
      <c r="G84" s="5" t="s">
        <v>370</v>
      </c>
      <c r="H84" s="5" t="s">
        <v>370</v>
      </c>
      <c r="I84" s="5" t="s">
        <v>370</v>
      </c>
      <c r="J84" s="5" t="s">
        <v>370</v>
      </c>
      <c r="K84" s="5" t="s">
        <v>370</v>
      </c>
      <c r="L84" s="5" t="s">
        <v>370</v>
      </c>
      <c r="M84" s="5" t="s">
        <v>370</v>
      </c>
      <c r="N84" s="36">
        <v>186</v>
      </c>
      <c r="O84" s="36">
        <v>150.5</v>
      </c>
      <c r="P84" s="4">
        <f t="shared" si="26"/>
        <v>0.80913978494623651</v>
      </c>
      <c r="Q84" s="11">
        <v>20</v>
      </c>
      <c r="R84" s="36">
        <v>21</v>
      </c>
      <c r="S84" s="36">
        <v>24.4</v>
      </c>
      <c r="T84" s="4">
        <f t="shared" si="27"/>
        <v>1.1619047619047618</v>
      </c>
      <c r="U84" s="11">
        <v>20</v>
      </c>
      <c r="V84" s="36">
        <v>10</v>
      </c>
      <c r="W84" s="36">
        <v>11.8</v>
      </c>
      <c r="X84" s="4">
        <f t="shared" si="28"/>
        <v>1.1800000000000002</v>
      </c>
      <c r="Y84" s="11">
        <v>30</v>
      </c>
      <c r="Z84" s="45">
        <f t="shared" si="35"/>
        <v>1.0635506103969601</v>
      </c>
      <c r="AA84" s="46">
        <v>3776</v>
      </c>
      <c r="AB84" s="36">
        <f t="shared" si="29"/>
        <v>343.27272727272725</v>
      </c>
      <c r="AC84" s="36">
        <f t="shared" si="30"/>
        <v>365.1</v>
      </c>
      <c r="AD84" s="36">
        <f t="shared" si="31"/>
        <v>21.827272727272771</v>
      </c>
      <c r="AE84" s="36">
        <v>-0.1</v>
      </c>
      <c r="AF84" s="36">
        <f t="shared" si="32"/>
        <v>365</v>
      </c>
      <c r="AG84" s="36"/>
      <c r="AH84" s="36">
        <f t="shared" si="33"/>
        <v>365</v>
      </c>
      <c r="AI84" s="36"/>
      <c r="AJ84" s="36">
        <f t="shared" si="34"/>
        <v>365</v>
      </c>
      <c r="AK84" s="9"/>
      <c r="AL84" s="9"/>
      <c r="AM84" s="9"/>
      <c r="AN84" s="9"/>
      <c r="AO84" s="9"/>
      <c r="AP84" s="9"/>
      <c r="AQ84" s="9"/>
      <c r="AR84" s="10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0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10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10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10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10"/>
      <c r="GC84" s="9"/>
      <c r="GD84" s="9"/>
    </row>
    <row r="85" spans="1:186" s="2" customFormat="1" ht="16.95" customHeight="1">
      <c r="A85" s="14" t="s">
        <v>84</v>
      </c>
      <c r="B85" s="36">
        <v>493</v>
      </c>
      <c r="C85" s="36">
        <v>611.5</v>
      </c>
      <c r="D85" s="4">
        <f t="shared" si="25"/>
        <v>1.2040365111561866</v>
      </c>
      <c r="E85" s="11">
        <v>10</v>
      </c>
      <c r="F85" s="5" t="s">
        <v>370</v>
      </c>
      <c r="G85" s="5" t="s">
        <v>370</v>
      </c>
      <c r="H85" s="5" t="s">
        <v>370</v>
      </c>
      <c r="I85" s="5" t="s">
        <v>370</v>
      </c>
      <c r="J85" s="5" t="s">
        <v>370</v>
      </c>
      <c r="K85" s="5" t="s">
        <v>370</v>
      </c>
      <c r="L85" s="5" t="s">
        <v>370</v>
      </c>
      <c r="M85" s="5" t="s">
        <v>370</v>
      </c>
      <c r="N85" s="36">
        <v>135.4</v>
      </c>
      <c r="O85" s="36">
        <v>88.3</v>
      </c>
      <c r="P85" s="4">
        <f t="shared" si="26"/>
        <v>0.65214180206794681</v>
      </c>
      <c r="Q85" s="11">
        <v>20</v>
      </c>
      <c r="R85" s="36">
        <v>77</v>
      </c>
      <c r="S85" s="36">
        <v>89.7</v>
      </c>
      <c r="T85" s="4">
        <f t="shared" si="27"/>
        <v>1.1649350649350649</v>
      </c>
      <c r="U85" s="11">
        <v>25</v>
      </c>
      <c r="V85" s="36">
        <v>8</v>
      </c>
      <c r="W85" s="36">
        <v>9.6</v>
      </c>
      <c r="X85" s="4">
        <f t="shared" si="28"/>
        <v>1.2</v>
      </c>
      <c r="Y85" s="11">
        <v>25</v>
      </c>
      <c r="Z85" s="45">
        <f t="shared" si="35"/>
        <v>1.0525822222037178</v>
      </c>
      <c r="AA85" s="46">
        <v>4587</v>
      </c>
      <c r="AB85" s="36">
        <f t="shared" si="29"/>
        <v>417</v>
      </c>
      <c r="AC85" s="36">
        <f t="shared" si="30"/>
        <v>438.9</v>
      </c>
      <c r="AD85" s="36">
        <f t="shared" si="31"/>
        <v>21.899999999999977</v>
      </c>
      <c r="AE85" s="36">
        <v>-4.7</v>
      </c>
      <c r="AF85" s="36">
        <f t="shared" si="32"/>
        <v>434.2</v>
      </c>
      <c r="AG85" s="36"/>
      <c r="AH85" s="36">
        <f t="shared" si="33"/>
        <v>434.2</v>
      </c>
      <c r="AI85" s="36"/>
      <c r="AJ85" s="36">
        <f t="shared" si="34"/>
        <v>434.2</v>
      </c>
      <c r="AK85" s="9"/>
      <c r="AL85" s="9"/>
      <c r="AM85" s="9"/>
      <c r="AN85" s="9"/>
      <c r="AO85" s="9"/>
      <c r="AP85" s="9"/>
      <c r="AQ85" s="9"/>
      <c r="AR85" s="10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0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10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10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10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10"/>
      <c r="GC85" s="9"/>
      <c r="GD85" s="9"/>
    </row>
    <row r="86" spans="1:186" s="2" customFormat="1" ht="16.95" customHeight="1">
      <c r="A86" s="14" t="s">
        <v>85</v>
      </c>
      <c r="B86" s="36">
        <v>42</v>
      </c>
      <c r="C86" s="36">
        <v>43</v>
      </c>
      <c r="D86" s="4">
        <f t="shared" si="25"/>
        <v>1.0238095238095237</v>
      </c>
      <c r="E86" s="11">
        <v>10</v>
      </c>
      <c r="F86" s="5" t="s">
        <v>370</v>
      </c>
      <c r="G86" s="5" t="s">
        <v>370</v>
      </c>
      <c r="H86" s="5" t="s">
        <v>370</v>
      </c>
      <c r="I86" s="5" t="s">
        <v>370</v>
      </c>
      <c r="J86" s="5" t="s">
        <v>370</v>
      </c>
      <c r="K86" s="5" t="s">
        <v>370</v>
      </c>
      <c r="L86" s="5" t="s">
        <v>370</v>
      </c>
      <c r="M86" s="5" t="s">
        <v>370</v>
      </c>
      <c r="N86" s="36">
        <v>22.1</v>
      </c>
      <c r="O86" s="36">
        <v>257</v>
      </c>
      <c r="P86" s="4">
        <f t="shared" si="26"/>
        <v>1.3</v>
      </c>
      <c r="Q86" s="11">
        <v>20</v>
      </c>
      <c r="R86" s="36">
        <v>19</v>
      </c>
      <c r="S86" s="36">
        <v>22.3</v>
      </c>
      <c r="T86" s="4">
        <f t="shared" si="27"/>
        <v>1.1736842105263159</v>
      </c>
      <c r="U86" s="11">
        <v>20</v>
      </c>
      <c r="V86" s="36">
        <v>8</v>
      </c>
      <c r="W86" s="36">
        <v>9.6</v>
      </c>
      <c r="X86" s="4">
        <f t="shared" si="28"/>
        <v>1.2</v>
      </c>
      <c r="Y86" s="11">
        <v>30</v>
      </c>
      <c r="Z86" s="45">
        <f t="shared" si="35"/>
        <v>1.1963972431077694</v>
      </c>
      <c r="AA86" s="46">
        <v>3246</v>
      </c>
      <c r="AB86" s="36">
        <f t="shared" si="29"/>
        <v>295.09090909090907</v>
      </c>
      <c r="AC86" s="36">
        <f t="shared" si="30"/>
        <v>353</v>
      </c>
      <c r="AD86" s="36">
        <f t="shared" si="31"/>
        <v>57.909090909090935</v>
      </c>
      <c r="AE86" s="36">
        <v>-3.2</v>
      </c>
      <c r="AF86" s="36">
        <f t="shared" si="32"/>
        <v>349.8</v>
      </c>
      <c r="AG86" s="36"/>
      <c r="AH86" s="36">
        <f t="shared" si="33"/>
        <v>349.8</v>
      </c>
      <c r="AI86" s="36"/>
      <c r="AJ86" s="36">
        <f t="shared" si="34"/>
        <v>349.8</v>
      </c>
      <c r="AK86" s="9"/>
      <c r="AL86" s="9"/>
      <c r="AM86" s="9"/>
      <c r="AN86" s="9"/>
      <c r="AO86" s="9"/>
      <c r="AP86" s="9"/>
      <c r="AQ86" s="9"/>
      <c r="AR86" s="10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0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10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10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10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10"/>
      <c r="GC86" s="9"/>
      <c r="GD86" s="9"/>
    </row>
    <row r="87" spans="1:186" s="2" customFormat="1" ht="16.95" customHeight="1">
      <c r="A87" s="14" t="s">
        <v>86</v>
      </c>
      <c r="B87" s="36">
        <v>38</v>
      </c>
      <c r="C87" s="36">
        <v>39</v>
      </c>
      <c r="D87" s="4">
        <f t="shared" si="25"/>
        <v>1.0263157894736843</v>
      </c>
      <c r="E87" s="11">
        <v>10</v>
      </c>
      <c r="F87" s="5" t="s">
        <v>370</v>
      </c>
      <c r="G87" s="5" t="s">
        <v>370</v>
      </c>
      <c r="H87" s="5" t="s">
        <v>370</v>
      </c>
      <c r="I87" s="5" t="s">
        <v>370</v>
      </c>
      <c r="J87" s="5" t="s">
        <v>370</v>
      </c>
      <c r="K87" s="5" t="s">
        <v>370</v>
      </c>
      <c r="L87" s="5" t="s">
        <v>370</v>
      </c>
      <c r="M87" s="5" t="s">
        <v>370</v>
      </c>
      <c r="N87" s="36">
        <v>10.5</v>
      </c>
      <c r="O87" s="36">
        <v>620.6</v>
      </c>
      <c r="P87" s="4">
        <f t="shared" si="26"/>
        <v>1.3</v>
      </c>
      <c r="Q87" s="11">
        <v>20</v>
      </c>
      <c r="R87" s="36">
        <v>99</v>
      </c>
      <c r="S87" s="36">
        <v>117.3</v>
      </c>
      <c r="T87" s="4">
        <f t="shared" si="27"/>
        <v>1.1848484848484848</v>
      </c>
      <c r="U87" s="11">
        <v>30</v>
      </c>
      <c r="V87" s="36">
        <v>8</v>
      </c>
      <c r="W87" s="36">
        <v>9.5</v>
      </c>
      <c r="X87" s="4">
        <f t="shared" si="28"/>
        <v>1.1875</v>
      </c>
      <c r="Y87" s="11">
        <v>20</v>
      </c>
      <c r="Z87" s="45">
        <f t="shared" si="35"/>
        <v>1.1944826555023922</v>
      </c>
      <c r="AA87" s="46">
        <v>2505</v>
      </c>
      <c r="AB87" s="36">
        <f t="shared" si="29"/>
        <v>227.72727272727272</v>
      </c>
      <c r="AC87" s="36">
        <f t="shared" si="30"/>
        <v>272</v>
      </c>
      <c r="AD87" s="36">
        <f t="shared" si="31"/>
        <v>44.27272727272728</v>
      </c>
      <c r="AE87" s="36">
        <v>-5.2</v>
      </c>
      <c r="AF87" s="36">
        <f t="shared" si="32"/>
        <v>266.8</v>
      </c>
      <c r="AG87" s="36"/>
      <c r="AH87" s="36">
        <f t="shared" si="33"/>
        <v>266.8</v>
      </c>
      <c r="AI87" s="36"/>
      <c r="AJ87" s="36">
        <f t="shared" si="34"/>
        <v>266.8</v>
      </c>
      <c r="AK87" s="9"/>
      <c r="AL87" s="9"/>
      <c r="AM87" s="9"/>
      <c r="AN87" s="9"/>
      <c r="AO87" s="9"/>
      <c r="AP87" s="9"/>
      <c r="AQ87" s="9"/>
      <c r="AR87" s="10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0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0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10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10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0"/>
      <c r="GC87" s="9"/>
      <c r="GD87" s="9"/>
    </row>
    <row r="88" spans="1:186" s="2" customFormat="1" ht="16.95" customHeight="1">
      <c r="A88" s="14" t="s">
        <v>87</v>
      </c>
      <c r="B88" s="36">
        <v>18</v>
      </c>
      <c r="C88" s="36">
        <v>19</v>
      </c>
      <c r="D88" s="4">
        <f t="shared" si="25"/>
        <v>1.0555555555555556</v>
      </c>
      <c r="E88" s="11">
        <v>10</v>
      </c>
      <c r="F88" s="5" t="s">
        <v>370</v>
      </c>
      <c r="G88" s="5" t="s">
        <v>370</v>
      </c>
      <c r="H88" s="5" t="s">
        <v>370</v>
      </c>
      <c r="I88" s="5" t="s">
        <v>370</v>
      </c>
      <c r="J88" s="5" t="s">
        <v>370</v>
      </c>
      <c r="K88" s="5" t="s">
        <v>370</v>
      </c>
      <c r="L88" s="5" t="s">
        <v>370</v>
      </c>
      <c r="M88" s="5" t="s">
        <v>370</v>
      </c>
      <c r="N88" s="36">
        <v>169.9</v>
      </c>
      <c r="O88" s="36">
        <v>18.899999999999999</v>
      </c>
      <c r="P88" s="4">
        <f t="shared" si="26"/>
        <v>0.11124190700412005</v>
      </c>
      <c r="Q88" s="11">
        <v>20</v>
      </c>
      <c r="R88" s="36">
        <v>9</v>
      </c>
      <c r="S88" s="36">
        <v>10.7</v>
      </c>
      <c r="T88" s="4">
        <f t="shared" si="27"/>
        <v>1.1888888888888889</v>
      </c>
      <c r="U88" s="11">
        <v>25</v>
      </c>
      <c r="V88" s="36">
        <v>3</v>
      </c>
      <c r="W88" s="36">
        <v>3.6</v>
      </c>
      <c r="X88" s="4">
        <f t="shared" si="28"/>
        <v>1.2</v>
      </c>
      <c r="Y88" s="11">
        <v>25</v>
      </c>
      <c r="Z88" s="45">
        <f t="shared" si="35"/>
        <v>0.90628269897325209</v>
      </c>
      <c r="AA88" s="46">
        <v>2454</v>
      </c>
      <c r="AB88" s="36">
        <f t="shared" si="29"/>
        <v>223.09090909090909</v>
      </c>
      <c r="AC88" s="36">
        <f t="shared" si="30"/>
        <v>202.2</v>
      </c>
      <c r="AD88" s="36">
        <f t="shared" si="31"/>
        <v>-20.890909090909105</v>
      </c>
      <c r="AE88" s="36">
        <v>-1.9</v>
      </c>
      <c r="AF88" s="36">
        <f t="shared" si="32"/>
        <v>200.3</v>
      </c>
      <c r="AG88" s="36"/>
      <c r="AH88" s="36">
        <f t="shared" si="33"/>
        <v>200.3</v>
      </c>
      <c r="AI88" s="36"/>
      <c r="AJ88" s="36">
        <f t="shared" si="34"/>
        <v>200.3</v>
      </c>
      <c r="AK88" s="9"/>
      <c r="AL88" s="9"/>
      <c r="AM88" s="9"/>
      <c r="AN88" s="9"/>
      <c r="AO88" s="9"/>
      <c r="AP88" s="9"/>
      <c r="AQ88" s="9"/>
      <c r="AR88" s="10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0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10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10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10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0"/>
      <c r="GC88" s="9"/>
      <c r="GD88" s="9"/>
    </row>
    <row r="89" spans="1:186" s="2" customFormat="1" ht="16.95" customHeight="1">
      <c r="A89" s="14" t="s">
        <v>88</v>
      </c>
      <c r="B89" s="36">
        <v>34</v>
      </c>
      <c r="C89" s="36">
        <v>35</v>
      </c>
      <c r="D89" s="4">
        <f t="shared" si="25"/>
        <v>1.0294117647058822</v>
      </c>
      <c r="E89" s="11">
        <v>10</v>
      </c>
      <c r="F89" s="5" t="s">
        <v>370</v>
      </c>
      <c r="G89" s="5" t="s">
        <v>370</v>
      </c>
      <c r="H89" s="5" t="s">
        <v>370</v>
      </c>
      <c r="I89" s="5" t="s">
        <v>370</v>
      </c>
      <c r="J89" s="5" t="s">
        <v>370</v>
      </c>
      <c r="K89" s="5" t="s">
        <v>370</v>
      </c>
      <c r="L89" s="5" t="s">
        <v>370</v>
      </c>
      <c r="M89" s="5" t="s">
        <v>370</v>
      </c>
      <c r="N89" s="36">
        <v>2.9</v>
      </c>
      <c r="O89" s="36">
        <v>28</v>
      </c>
      <c r="P89" s="4">
        <f t="shared" si="26"/>
        <v>1.3</v>
      </c>
      <c r="Q89" s="11">
        <v>20</v>
      </c>
      <c r="R89" s="36">
        <v>20</v>
      </c>
      <c r="S89" s="36">
        <v>23.3</v>
      </c>
      <c r="T89" s="4">
        <f t="shared" si="27"/>
        <v>1.165</v>
      </c>
      <c r="U89" s="11">
        <v>25</v>
      </c>
      <c r="V89" s="36">
        <v>4</v>
      </c>
      <c r="W89" s="36">
        <v>4.7</v>
      </c>
      <c r="X89" s="4">
        <f t="shared" si="28"/>
        <v>1.175</v>
      </c>
      <c r="Y89" s="11">
        <v>25</v>
      </c>
      <c r="Z89" s="45">
        <f t="shared" si="35"/>
        <v>1.1849264705882354</v>
      </c>
      <c r="AA89" s="46">
        <v>2084</v>
      </c>
      <c r="AB89" s="36">
        <f t="shared" si="29"/>
        <v>189.45454545454547</v>
      </c>
      <c r="AC89" s="36">
        <f t="shared" si="30"/>
        <v>224.5</v>
      </c>
      <c r="AD89" s="36">
        <f t="shared" si="31"/>
        <v>35.045454545454533</v>
      </c>
      <c r="AE89" s="36">
        <v>-1.2</v>
      </c>
      <c r="AF89" s="36">
        <f t="shared" si="32"/>
        <v>223.3</v>
      </c>
      <c r="AG89" s="36"/>
      <c r="AH89" s="36">
        <f t="shared" si="33"/>
        <v>223.3</v>
      </c>
      <c r="AI89" s="36"/>
      <c r="AJ89" s="36">
        <f t="shared" si="34"/>
        <v>223.3</v>
      </c>
      <c r="AK89" s="9"/>
      <c r="AL89" s="9"/>
      <c r="AM89" s="9"/>
      <c r="AN89" s="9"/>
      <c r="AO89" s="9"/>
      <c r="AP89" s="9"/>
      <c r="AQ89" s="9"/>
      <c r="AR89" s="10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0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10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10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10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10"/>
      <c r="GC89" s="9"/>
      <c r="GD89" s="9"/>
    </row>
    <row r="90" spans="1:186" s="2" customFormat="1" ht="16.95" customHeight="1">
      <c r="A90" s="14" t="s">
        <v>89</v>
      </c>
      <c r="B90" s="36">
        <v>500</v>
      </c>
      <c r="C90" s="36">
        <v>501</v>
      </c>
      <c r="D90" s="4">
        <f t="shared" si="25"/>
        <v>1.002</v>
      </c>
      <c r="E90" s="11">
        <v>10</v>
      </c>
      <c r="F90" s="5" t="s">
        <v>370</v>
      </c>
      <c r="G90" s="5" t="s">
        <v>370</v>
      </c>
      <c r="H90" s="5" t="s">
        <v>370</v>
      </c>
      <c r="I90" s="5" t="s">
        <v>370</v>
      </c>
      <c r="J90" s="5" t="s">
        <v>370</v>
      </c>
      <c r="K90" s="5" t="s">
        <v>370</v>
      </c>
      <c r="L90" s="5" t="s">
        <v>370</v>
      </c>
      <c r="M90" s="5" t="s">
        <v>370</v>
      </c>
      <c r="N90" s="36">
        <v>67.599999999999994</v>
      </c>
      <c r="O90" s="36">
        <v>190</v>
      </c>
      <c r="P90" s="4">
        <f t="shared" si="26"/>
        <v>1.3</v>
      </c>
      <c r="Q90" s="11">
        <v>20</v>
      </c>
      <c r="R90" s="36">
        <v>24</v>
      </c>
      <c r="S90" s="36">
        <v>28.4</v>
      </c>
      <c r="T90" s="4">
        <f t="shared" si="27"/>
        <v>1.1833333333333333</v>
      </c>
      <c r="U90" s="11">
        <v>30</v>
      </c>
      <c r="V90" s="36">
        <v>4</v>
      </c>
      <c r="W90" s="36">
        <v>4.8</v>
      </c>
      <c r="X90" s="4">
        <f t="shared" si="28"/>
        <v>1.2</v>
      </c>
      <c r="Y90" s="11">
        <v>20</v>
      </c>
      <c r="Z90" s="45">
        <f t="shared" si="35"/>
        <v>1.194</v>
      </c>
      <c r="AA90" s="46">
        <v>3232</v>
      </c>
      <c r="AB90" s="36">
        <f t="shared" si="29"/>
        <v>293.81818181818181</v>
      </c>
      <c r="AC90" s="36">
        <f t="shared" si="30"/>
        <v>350.8</v>
      </c>
      <c r="AD90" s="36">
        <f t="shared" si="31"/>
        <v>56.981818181818198</v>
      </c>
      <c r="AE90" s="36">
        <v>-1.4</v>
      </c>
      <c r="AF90" s="36">
        <f t="shared" si="32"/>
        <v>349.4</v>
      </c>
      <c r="AG90" s="36">
        <f>MIN(AF90,112.9)</f>
        <v>112.9</v>
      </c>
      <c r="AH90" s="36">
        <f t="shared" si="33"/>
        <v>236.5</v>
      </c>
      <c r="AI90" s="36"/>
      <c r="AJ90" s="36">
        <f t="shared" si="34"/>
        <v>236.5</v>
      </c>
      <c r="AK90" s="9"/>
      <c r="AL90" s="9"/>
      <c r="AM90" s="9"/>
      <c r="AN90" s="9"/>
      <c r="AO90" s="9"/>
      <c r="AP90" s="9"/>
      <c r="AQ90" s="9"/>
      <c r="AR90" s="10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10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10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10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10"/>
      <c r="GC90" s="9"/>
      <c r="GD90" s="9"/>
    </row>
    <row r="91" spans="1:186" s="2" customFormat="1" ht="16.95" customHeight="1">
      <c r="A91" s="18" t="s">
        <v>90</v>
      </c>
      <c r="B91" s="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9"/>
      <c r="AL91" s="9"/>
      <c r="AM91" s="9"/>
      <c r="AN91" s="9"/>
      <c r="AO91" s="9"/>
      <c r="AP91" s="9"/>
      <c r="AQ91" s="9"/>
      <c r="AR91" s="10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0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10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10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10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10"/>
      <c r="GC91" s="9"/>
      <c r="GD91" s="9"/>
    </row>
    <row r="92" spans="1:186" s="2" customFormat="1" ht="16.95" customHeight="1">
      <c r="A92" s="14" t="s">
        <v>91</v>
      </c>
      <c r="B92" s="36">
        <v>0</v>
      </c>
      <c r="C92" s="36">
        <v>0</v>
      </c>
      <c r="D92" s="4">
        <f t="shared" si="25"/>
        <v>0</v>
      </c>
      <c r="E92" s="11">
        <v>0</v>
      </c>
      <c r="F92" s="5" t="s">
        <v>370</v>
      </c>
      <c r="G92" s="5" t="s">
        <v>370</v>
      </c>
      <c r="H92" s="5" t="s">
        <v>370</v>
      </c>
      <c r="I92" s="5" t="s">
        <v>370</v>
      </c>
      <c r="J92" s="5" t="s">
        <v>370</v>
      </c>
      <c r="K92" s="5" t="s">
        <v>370</v>
      </c>
      <c r="L92" s="5" t="s">
        <v>370</v>
      </c>
      <c r="M92" s="5" t="s">
        <v>370</v>
      </c>
      <c r="N92" s="36">
        <v>194.8</v>
      </c>
      <c r="O92" s="36">
        <v>12.2</v>
      </c>
      <c r="P92" s="4">
        <f t="shared" si="26"/>
        <v>6.2628336755646816E-2</v>
      </c>
      <c r="Q92" s="11">
        <v>20</v>
      </c>
      <c r="R92" s="36">
        <v>4.5999999999999996</v>
      </c>
      <c r="S92" s="36">
        <v>5.4</v>
      </c>
      <c r="T92" s="4">
        <f t="shared" si="27"/>
        <v>1.173913043478261</v>
      </c>
      <c r="U92" s="11">
        <v>20</v>
      </c>
      <c r="V92" s="36">
        <v>0.4</v>
      </c>
      <c r="W92" s="36">
        <v>0.5</v>
      </c>
      <c r="X92" s="4">
        <f t="shared" si="28"/>
        <v>1.2050000000000001</v>
      </c>
      <c r="Y92" s="11">
        <v>30</v>
      </c>
      <c r="Z92" s="45">
        <f t="shared" si="35"/>
        <v>0.86972610863825939</v>
      </c>
      <c r="AA92" s="46">
        <v>964</v>
      </c>
      <c r="AB92" s="36">
        <f t="shared" si="29"/>
        <v>87.63636363636364</v>
      </c>
      <c r="AC92" s="36">
        <f t="shared" si="30"/>
        <v>76.2</v>
      </c>
      <c r="AD92" s="36">
        <f t="shared" si="31"/>
        <v>-11.436363636363637</v>
      </c>
      <c r="AE92" s="36">
        <v>-1.1000000000000001</v>
      </c>
      <c r="AF92" s="36">
        <f t="shared" si="32"/>
        <v>75.099999999999994</v>
      </c>
      <c r="AG92" s="36"/>
      <c r="AH92" s="36">
        <f t="shared" si="33"/>
        <v>75.099999999999994</v>
      </c>
      <c r="AI92" s="36"/>
      <c r="AJ92" s="36">
        <f t="shared" si="34"/>
        <v>75.099999999999994</v>
      </c>
      <c r="AK92" s="9"/>
      <c r="AL92" s="9"/>
      <c r="AM92" s="9"/>
      <c r="AN92" s="9"/>
      <c r="AO92" s="9"/>
      <c r="AP92" s="9"/>
      <c r="AQ92" s="9"/>
      <c r="AR92" s="10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0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10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10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10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10"/>
      <c r="GC92" s="9"/>
      <c r="GD92" s="9"/>
    </row>
    <row r="93" spans="1:186" s="2" customFormat="1" ht="16.95" customHeight="1">
      <c r="A93" s="14" t="s">
        <v>92</v>
      </c>
      <c r="B93" s="36">
        <v>17150</v>
      </c>
      <c r="C93" s="36">
        <v>24677.1</v>
      </c>
      <c r="D93" s="4">
        <f t="shared" si="25"/>
        <v>1.2238897959183672</v>
      </c>
      <c r="E93" s="11">
        <v>10</v>
      </c>
      <c r="F93" s="5" t="s">
        <v>370</v>
      </c>
      <c r="G93" s="5" t="s">
        <v>370</v>
      </c>
      <c r="H93" s="5" t="s">
        <v>370</v>
      </c>
      <c r="I93" s="5" t="s">
        <v>370</v>
      </c>
      <c r="J93" s="5" t="s">
        <v>370</v>
      </c>
      <c r="K93" s="5" t="s">
        <v>370</v>
      </c>
      <c r="L93" s="5" t="s">
        <v>370</v>
      </c>
      <c r="M93" s="5" t="s">
        <v>370</v>
      </c>
      <c r="N93" s="36">
        <v>1131.2</v>
      </c>
      <c r="O93" s="36">
        <v>1201.9000000000001</v>
      </c>
      <c r="P93" s="4">
        <f t="shared" si="26"/>
        <v>1.0625</v>
      </c>
      <c r="Q93" s="11">
        <v>20</v>
      </c>
      <c r="R93" s="36">
        <v>13</v>
      </c>
      <c r="S93" s="36">
        <v>15.1</v>
      </c>
      <c r="T93" s="4">
        <f t="shared" si="27"/>
        <v>1.1615384615384614</v>
      </c>
      <c r="U93" s="11">
        <v>20</v>
      </c>
      <c r="V93" s="36">
        <v>3.5</v>
      </c>
      <c r="W93" s="36">
        <v>4.2</v>
      </c>
      <c r="X93" s="4">
        <f t="shared" si="28"/>
        <v>1.2</v>
      </c>
      <c r="Y93" s="11">
        <v>30</v>
      </c>
      <c r="Z93" s="45">
        <f t="shared" si="35"/>
        <v>1.1589958398744113</v>
      </c>
      <c r="AA93" s="46">
        <v>5915</v>
      </c>
      <c r="AB93" s="36">
        <f t="shared" si="29"/>
        <v>537.72727272727275</v>
      </c>
      <c r="AC93" s="36">
        <f t="shared" si="30"/>
        <v>623.20000000000005</v>
      </c>
      <c r="AD93" s="36">
        <f t="shared" si="31"/>
        <v>85.472727272727298</v>
      </c>
      <c r="AE93" s="36">
        <v>-8.5</v>
      </c>
      <c r="AF93" s="36">
        <f t="shared" si="32"/>
        <v>614.70000000000005</v>
      </c>
      <c r="AG93" s="36"/>
      <c r="AH93" s="36">
        <f t="shared" si="33"/>
        <v>614.70000000000005</v>
      </c>
      <c r="AI93" s="36"/>
      <c r="AJ93" s="36">
        <f t="shared" si="34"/>
        <v>614.70000000000005</v>
      </c>
      <c r="AK93" s="9"/>
      <c r="AL93" s="9"/>
      <c r="AM93" s="9"/>
      <c r="AN93" s="9"/>
      <c r="AO93" s="9"/>
      <c r="AP93" s="9"/>
      <c r="AQ93" s="9"/>
      <c r="AR93" s="10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10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10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10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10"/>
      <c r="GC93" s="9"/>
      <c r="GD93" s="9"/>
    </row>
    <row r="94" spans="1:186" s="2" customFormat="1" ht="16.95" customHeight="1">
      <c r="A94" s="14" t="s">
        <v>93</v>
      </c>
      <c r="B94" s="36">
        <v>0</v>
      </c>
      <c r="C94" s="36">
        <v>0</v>
      </c>
      <c r="D94" s="4">
        <f t="shared" si="25"/>
        <v>0</v>
      </c>
      <c r="E94" s="11">
        <v>0</v>
      </c>
      <c r="F94" s="5" t="s">
        <v>370</v>
      </c>
      <c r="G94" s="5" t="s">
        <v>370</v>
      </c>
      <c r="H94" s="5" t="s">
        <v>370</v>
      </c>
      <c r="I94" s="5" t="s">
        <v>370</v>
      </c>
      <c r="J94" s="5" t="s">
        <v>370</v>
      </c>
      <c r="K94" s="5" t="s">
        <v>370</v>
      </c>
      <c r="L94" s="5" t="s">
        <v>370</v>
      </c>
      <c r="M94" s="5" t="s">
        <v>370</v>
      </c>
      <c r="N94" s="36">
        <v>2766.8</v>
      </c>
      <c r="O94" s="36">
        <v>29</v>
      </c>
      <c r="P94" s="4">
        <f t="shared" si="26"/>
        <v>1.0481422582044238E-2</v>
      </c>
      <c r="Q94" s="11">
        <v>20</v>
      </c>
      <c r="R94" s="36">
        <v>22.2</v>
      </c>
      <c r="S94" s="36">
        <v>26</v>
      </c>
      <c r="T94" s="4">
        <f t="shared" si="27"/>
        <v>1.1711711711711712</v>
      </c>
      <c r="U94" s="11">
        <v>20</v>
      </c>
      <c r="V94" s="36">
        <v>1.8</v>
      </c>
      <c r="W94" s="36">
        <v>2.1</v>
      </c>
      <c r="X94" s="4">
        <f t="shared" si="28"/>
        <v>1.1666666666666667</v>
      </c>
      <c r="Y94" s="11">
        <v>30</v>
      </c>
      <c r="Z94" s="45">
        <f t="shared" si="35"/>
        <v>0.83761502678663302</v>
      </c>
      <c r="AA94" s="46">
        <v>1909</v>
      </c>
      <c r="AB94" s="36">
        <f t="shared" si="29"/>
        <v>173.54545454545453</v>
      </c>
      <c r="AC94" s="36">
        <f t="shared" si="30"/>
        <v>145.4</v>
      </c>
      <c r="AD94" s="36">
        <f t="shared" si="31"/>
        <v>-28.145454545454527</v>
      </c>
      <c r="AE94" s="36">
        <v>3.1</v>
      </c>
      <c r="AF94" s="36">
        <f t="shared" si="32"/>
        <v>148.5</v>
      </c>
      <c r="AG94" s="36"/>
      <c r="AH94" s="36">
        <f t="shared" si="33"/>
        <v>148.5</v>
      </c>
      <c r="AI94" s="36"/>
      <c r="AJ94" s="36">
        <f t="shared" si="34"/>
        <v>148.5</v>
      </c>
      <c r="AK94" s="9"/>
      <c r="AL94" s="9"/>
      <c r="AM94" s="9"/>
      <c r="AN94" s="9"/>
      <c r="AO94" s="9"/>
      <c r="AP94" s="9"/>
      <c r="AQ94" s="9"/>
      <c r="AR94" s="10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0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10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10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10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10"/>
      <c r="GC94" s="9"/>
      <c r="GD94" s="9"/>
    </row>
    <row r="95" spans="1:186" s="2" customFormat="1" ht="16.95" customHeight="1">
      <c r="A95" s="14" t="s">
        <v>94</v>
      </c>
      <c r="B95" s="36">
        <v>0</v>
      </c>
      <c r="C95" s="36">
        <v>0</v>
      </c>
      <c r="D95" s="4">
        <f t="shared" si="25"/>
        <v>0</v>
      </c>
      <c r="E95" s="11">
        <v>0</v>
      </c>
      <c r="F95" s="5" t="s">
        <v>370</v>
      </c>
      <c r="G95" s="5" t="s">
        <v>370</v>
      </c>
      <c r="H95" s="5" t="s">
        <v>370</v>
      </c>
      <c r="I95" s="5" t="s">
        <v>370</v>
      </c>
      <c r="J95" s="5" t="s">
        <v>370</v>
      </c>
      <c r="K95" s="5" t="s">
        <v>370</v>
      </c>
      <c r="L95" s="5" t="s">
        <v>370</v>
      </c>
      <c r="M95" s="5" t="s">
        <v>370</v>
      </c>
      <c r="N95" s="36">
        <v>48.1</v>
      </c>
      <c r="O95" s="36">
        <v>20</v>
      </c>
      <c r="P95" s="4">
        <f t="shared" si="26"/>
        <v>0.41580041580041577</v>
      </c>
      <c r="Q95" s="11">
        <v>20</v>
      </c>
      <c r="R95" s="36">
        <v>11.9</v>
      </c>
      <c r="S95" s="36">
        <v>14</v>
      </c>
      <c r="T95" s="4">
        <f t="shared" si="27"/>
        <v>1.1764705882352942</v>
      </c>
      <c r="U95" s="11">
        <v>20</v>
      </c>
      <c r="V95" s="36">
        <v>1.3</v>
      </c>
      <c r="W95" s="36">
        <v>1.6</v>
      </c>
      <c r="X95" s="4">
        <f t="shared" si="28"/>
        <v>1.2030769230769232</v>
      </c>
      <c r="Y95" s="11">
        <v>30</v>
      </c>
      <c r="Z95" s="45">
        <f t="shared" si="35"/>
        <v>0.97053896818602703</v>
      </c>
      <c r="AA95" s="46">
        <v>1224</v>
      </c>
      <c r="AB95" s="36">
        <f t="shared" si="29"/>
        <v>111.27272727272727</v>
      </c>
      <c r="AC95" s="36">
        <f t="shared" si="30"/>
        <v>108</v>
      </c>
      <c r="AD95" s="36">
        <f t="shared" si="31"/>
        <v>-3.2727272727272663</v>
      </c>
      <c r="AE95" s="36">
        <v>-7.5</v>
      </c>
      <c r="AF95" s="36">
        <f t="shared" si="32"/>
        <v>100.5</v>
      </c>
      <c r="AG95" s="36"/>
      <c r="AH95" s="36">
        <f t="shared" si="33"/>
        <v>100.5</v>
      </c>
      <c r="AI95" s="36"/>
      <c r="AJ95" s="36">
        <f t="shared" si="34"/>
        <v>100.5</v>
      </c>
      <c r="AK95" s="9"/>
      <c r="AL95" s="9"/>
      <c r="AM95" s="9"/>
      <c r="AN95" s="9"/>
      <c r="AO95" s="9"/>
      <c r="AP95" s="9"/>
      <c r="AQ95" s="9"/>
      <c r="AR95" s="10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0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10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10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10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10"/>
      <c r="GC95" s="9"/>
      <c r="GD95" s="9"/>
    </row>
    <row r="96" spans="1:186" s="2" customFormat="1" ht="16.95" customHeight="1">
      <c r="A96" s="14" t="s">
        <v>95</v>
      </c>
      <c r="B96" s="36">
        <v>301</v>
      </c>
      <c r="C96" s="36">
        <v>147</v>
      </c>
      <c r="D96" s="4">
        <f t="shared" si="25"/>
        <v>0.48837209302325579</v>
      </c>
      <c r="E96" s="11">
        <v>10</v>
      </c>
      <c r="F96" s="5" t="s">
        <v>370</v>
      </c>
      <c r="G96" s="5" t="s">
        <v>370</v>
      </c>
      <c r="H96" s="5" t="s">
        <v>370</v>
      </c>
      <c r="I96" s="5" t="s">
        <v>370</v>
      </c>
      <c r="J96" s="5" t="s">
        <v>370</v>
      </c>
      <c r="K96" s="5" t="s">
        <v>370</v>
      </c>
      <c r="L96" s="5" t="s">
        <v>370</v>
      </c>
      <c r="M96" s="5" t="s">
        <v>370</v>
      </c>
      <c r="N96" s="36">
        <v>1719.8</v>
      </c>
      <c r="O96" s="36">
        <v>52.6</v>
      </c>
      <c r="P96" s="4">
        <f t="shared" si="26"/>
        <v>3.0584951738574253E-2</v>
      </c>
      <c r="Q96" s="11">
        <v>20</v>
      </c>
      <c r="R96" s="36">
        <v>45</v>
      </c>
      <c r="S96" s="36">
        <v>58.1</v>
      </c>
      <c r="T96" s="4">
        <f t="shared" si="27"/>
        <v>1.209111111111111</v>
      </c>
      <c r="U96" s="11">
        <v>25</v>
      </c>
      <c r="V96" s="36">
        <v>2.6</v>
      </c>
      <c r="W96" s="36">
        <v>3.4</v>
      </c>
      <c r="X96" s="4">
        <f t="shared" si="28"/>
        <v>1.2107692307692308</v>
      </c>
      <c r="Y96" s="11">
        <v>25</v>
      </c>
      <c r="Z96" s="45">
        <f t="shared" si="35"/>
        <v>0.82490535640015739</v>
      </c>
      <c r="AA96" s="46">
        <v>2116</v>
      </c>
      <c r="AB96" s="36">
        <f t="shared" si="29"/>
        <v>192.36363636363637</v>
      </c>
      <c r="AC96" s="36">
        <f t="shared" si="30"/>
        <v>158.69999999999999</v>
      </c>
      <c r="AD96" s="36">
        <f t="shared" si="31"/>
        <v>-33.663636363636385</v>
      </c>
      <c r="AE96" s="36">
        <v>8.9</v>
      </c>
      <c r="AF96" s="36">
        <f t="shared" si="32"/>
        <v>167.6</v>
      </c>
      <c r="AG96" s="36"/>
      <c r="AH96" s="36">
        <f t="shared" si="33"/>
        <v>167.6</v>
      </c>
      <c r="AI96" s="36"/>
      <c r="AJ96" s="36">
        <f t="shared" si="34"/>
        <v>167.6</v>
      </c>
      <c r="AK96" s="9"/>
      <c r="AL96" s="9"/>
      <c r="AM96" s="9"/>
      <c r="AN96" s="9"/>
      <c r="AO96" s="9"/>
      <c r="AP96" s="9"/>
      <c r="AQ96" s="9"/>
      <c r="AR96" s="10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0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10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10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10"/>
      <c r="GC96" s="9"/>
      <c r="GD96" s="9"/>
    </row>
    <row r="97" spans="1:186" s="2" customFormat="1" ht="16.95" customHeight="1">
      <c r="A97" s="14" t="s">
        <v>96</v>
      </c>
      <c r="B97" s="36">
        <v>0</v>
      </c>
      <c r="C97" s="36">
        <v>0</v>
      </c>
      <c r="D97" s="4">
        <f t="shared" si="25"/>
        <v>0</v>
      </c>
      <c r="E97" s="11">
        <v>0</v>
      </c>
      <c r="F97" s="5" t="s">
        <v>370</v>
      </c>
      <c r="G97" s="5" t="s">
        <v>370</v>
      </c>
      <c r="H97" s="5" t="s">
        <v>370</v>
      </c>
      <c r="I97" s="5" t="s">
        <v>370</v>
      </c>
      <c r="J97" s="5" t="s">
        <v>370</v>
      </c>
      <c r="K97" s="5" t="s">
        <v>370</v>
      </c>
      <c r="L97" s="5" t="s">
        <v>370</v>
      </c>
      <c r="M97" s="5" t="s">
        <v>370</v>
      </c>
      <c r="N97" s="36">
        <v>109.5</v>
      </c>
      <c r="O97" s="36">
        <v>15.1</v>
      </c>
      <c r="P97" s="4">
        <f t="shared" si="26"/>
        <v>0.13789954337899543</v>
      </c>
      <c r="Q97" s="11">
        <v>20</v>
      </c>
      <c r="R97" s="36">
        <v>42</v>
      </c>
      <c r="S97" s="36">
        <v>46.1</v>
      </c>
      <c r="T97" s="4">
        <f t="shared" si="27"/>
        <v>1.0976190476190477</v>
      </c>
      <c r="U97" s="11">
        <v>25</v>
      </c>
      <c r="V97" s="36">
        <v>3.9</v>
      </c>
      <c r="W97" s="36">
        <v>4.5999999999999996</v>
      </c>
      <c r="X97" s="4">
        <f t="shared" si="28"/>
        <v>1.1794871794871795</v>
      </c>
      <c r="Y97" s="11">
        <v>25</v>
      </c>
      <c r="Z97" s="45">
        <f t="shared" si="35"/>
        <v>0.85265209350336557</v>
      </c>
      <c r="AA97" s="46">
        <v>1362</v>
      </c>
      <c r="AB97" s="36">
        <f t="shared" si="29"/>
        <v>123.81818181818181</v>
      </c>
      <c r="AC97" s="36">
        <f t="shared" si="30"/>
        <v>105.6</v>
      </c>
      <c r="AD97" s="36">
        <f t="shared" si="31"/>
        <v>-18.218181818181819</v>
      </c>
      <c r="AE97" s="36">
        <v>-3.2</v>
      </c>
      <c r="AF97" s="36">
        <f t="shared" si="32"/>
        <v>102.4</v>
      </c>
      <c r="AG97" s="36"/>
      <c r="AH97" s="36">
        <f t="shared" si="33"/>
        <v>102.4</v>
      </c>
      <c r="AI97" s="36"/>
      <c r="AJ97" s="36">
        <f t="shared" si="34"/>
        <v>102.4</v>
      </c>
      <c r="AK97" s="9"/>
      <c r="AL97" s="9"/>
      <c r="AM97" s="9"/>
      <c r="AN97" s="9"/>
      <c r="AO97" s="9"/>
      <c r="AP97" s="9"/>
      <c r="AQ97" s="9"/>
      <c r="AR97" s="10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0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10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10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10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10"/>
      <c r="GC97" s="9"/>
      <c r="GD97" s="9"/>
    </row>
    <row r="98" spans="1:186" s="2" customFormat="1" ht="16.95" customHeight="1">
      <c r="A98" s="14" t="s">
        <v>97</v>
      </c>
      <c r="B98" s="36">
        <v>1448</v>
      </c>
      <c r="C98" s="36">
        <v>1535.2</v>
      </c>
      <c r="D98" s="4">
        <f t="shared" si="25"/>
        <v>1.0602209944751382</v>
      </c>
      <c r="E98" s="11">
        <v>10</v>
      </c>
      <c r="F98" s="5" t="s">
        <v>370</v>
      </c>
      <c r="G98" s="5" t="s">
        <v>370</v>
      </c>
      <c r="H98" s="5" t="s">
        <v>370</v>
      </c>
      <c r="I98" s="5" t="s">
        <v>370</v>
      </c>
      <c r="J98" s="5" t="s">
        <v>370</v>
      </c>
      <c r="K98" s="5" t="s">
        <v>370</v>
      </c>
      <c r="L98" s="5" t="s">
        <v>370</v>
      </c>
      <c r="M98" s="5" t="s">
        <v>370</v>
      </c>
      <c r="N98" s="36">
        <v>55.7</v>
      </c>
      <c r="O98" s="36">
        <v>70.099999999999994</v>
      </c>
      <c r="P98" s="4">
        <f t="shared" si="26"/>
        <v>1.2058527827648113</v>
      </c>
      <c r="Q98" s="11">
        <v>20</v>
      </c>
      <c r="R98" s="36">
        <v>2.2999999999999998</v>
      </c>
      <c r="S98" s="36">
        <v>2.7</v>
      </c>
      <c r="T98" s="4">
        <f t="shared" si="27"/>
        <v>1.173913043478261</v>
      </c>
      <c r="U98" s="11">
        <v>20</v>
      </c>
      <c r="V98" s="36">
        <v>0.6</v>
      </c>
      <c r="W98" s="36">
        <v>0.7</v>
      </c>
      <c r="X98" s="4">
        <f t="shared" si="28"/>
        <v>1.1666666666666667</v>
      </c>
      <c r="Y98" s="11">
        <v>30</v>
      </c>
      <c r="Z98" s="45">
        <f t="shared" si="35"/>
        <v>1.1649690808701603</v>
      </c>
      <c r="AA98" s="46">
        <v>2678</v>
      </c>
      <c r="AB98" s="36">
        <f t="shared" si="29"/>
        <v>243.45454545454547</v>
      </c>
      <c r="AC98" s="36">
        <f t="shared" si="30"/>
        <v>283.60000000000002</v>
      </c>
      <c r="AD98" s="36">
        <f t="shared" si="31"/>
        <v>40.145454545454555</v>
      </c>
      <c r="AE98" s="36">
        <v>-7.8</v>
      </c>
      <c r="AF98" s="36">
        <f t="shared" si="32"/>
        <v>275.8</v>
      </c>
      <c r="AG98" s="36"/>
      <c r="AH98" s="36">
        <f t="shared" si="33"/>
        <v>275.8</v>
      </c>
      <c r="AI98" s="36"/>
      <c r="AJ98" s="36">
        <f t="shared" si="34"/>
        <v>275.8</v>
      </c>
      <c r="AK98" s="9"/>
      <c r="AL98" s="9"/>
      <c r="AM98" s="9"/>
      <c r="AN98" s="9"/>
      <c r="AO98" s="9"/>
      <c r="AP98" s="9"/>
      <c r="AQ98" s="9"/>
      <c r="AR98" s="10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0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10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10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10"/>
      <c r="GC98" s="9"/>
      <c r="GD98" s="9"/>
    </row>
    <row r="99" spans="1:186" s="2" customFormat="1" ht="16.95" customHeight="1">
      <c r="A99" s="14" t="s">
        <v>98</v>
      </c>
      <c r="B99" s="36">
        <v>125</v>
      </c>
      <c r="C99" s="36">
        <v>144</v>
      </c>
      <c r="D99" s="4">
        <f t="shared" si="25"/>
        <v>1.1519999999999999</v>
      </c>
      <c r="E99" s="11">
        <v>10</v>
      </c>
      <c r="F99" s="5" t="s">
        <v>370</v>
      </c>
      <c r="G99" s="5" t="s">
        <v>370</v>
      </c>
      <c r="H99" s="5" t="s">
        <v>370</v>
      </c>
      <c r="I99" s="5" t="s">
        <v>370</v>
      </c>
      <c r="J99" s="5" t="s">
        <v>370</v>
      </c>
      <c r="K99" s="5" t="s">
        <v>370</v>
      </c>
      <c r="L99" s="5" t="s">
        <v>370</v>
      </c>
      <c r="M99" s="5" t="s">
        <v>370</v>
      </c>
      <c r="N99" s="36">
        <v>750.3</v>
      </c>
      <c r="O99" s="36">
        <v>128.6</v>
      </c>
      <c r="P99" s="4">
        <f t="shared" si="26"/>
        <v>0.17139810742369718</v>
      </c>
      <c r="Q99" s="11">
        <v>20</v>
      </c>
      <c r="R99" s="36">
        <v>0</v>
      </c>
      <c r="S99" s="36">
        <v>0</v>
      </c>
      <c r="T99" s="4">
        <f t="shared" si="27"/>
        <v>1</v>
      </c>
      <c r="U99" s="11">
        <v>25</v>
      </c>
      <c r="V99" s="36">
        <v>0.6</v>
      </c>
      <c r="W99" s="36">
        <v>0.2</v>
      </c>
      <c r="X99" s="4">
        <f t="shared" si="28"/>
        <v>0.33333333333333337</v>
      </c>
      <c r="Y99" s="11">
        <v>25</v>
      </c>
      <c r="Z99" s="45">
        <f t="shared" si="35"/>
        <v>0.603516193522591</v>
      </c>
      <c r="AA99" s="46">
        <v>1264</v>
      </c>
      <c r="AB99" s="36">
        <f t="shared" si="29"/>
        <v>114.90909090909091</v>
      </c>
      <c r="AC99" s="36">
        <f t="shared" si="30"/>
        <v>69.3</v>
      </c>
      <c r="AD99" s="36">
        <f t="shared" si="31"/>
        <v>-45.609090909090909</v>
      </c>
      <c r="AE99" s="36">
        <v>-2</v>
      </c>
      <c r="AF99" s="36">
        <f t="shared" si="32"/>
        <v>67.3</v>
      </c>
      <c r="AG99" s="36"/>
      <c r="AH99" s="36">
        <f t="shared" si="33"/>
        <v>67.3</v>
      </c>
      <c r="AI99" s="36"/>
      <c r="AJ99" s="36">
        <f t="shared" si="34"/>
        <v>67.3</v>
      </c>
      <c r="AK99" s="9"/>
      <c r="AL99" s="9"/>
      <c r="AM99" s="9"/>
      <c r="AN99" s="9"/>
      <c r="AO99" s="9"/>
      <c r="AP99" s="9"/>
      <c r="AQ99" s="9"/>
      <c r="AR99" s="10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10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10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10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10"/>
      <c r="GC99" s="9"/>
      <c r="GD99" s="9"/>
    </row>
    <row r="100" spans="1:186" s="2" customFormat="1" ht="16.95" customHeight="1">
      <c r="A100" s="14" t="s">
        <v>99</v>
      </c>
      <c r="B100" s="36">
        <v>289</v>
      </c>
      <c r="C100" s="36">
        <v>244</v>
      </c>
      <c r="D100" s="4">
        <f t="shared" si="25"/>
        <v>0.84429065743944631</v>
      </c>
      <c r="E100" s="11">
        <v>10</v>
      </c>
      <c r="F100" s="5" t="s">
        <v>370</v>
      </c>
      <c r="G100" s="5" t="s">
        <v>370</v>
      </c>
      <c r="H100" s="5" t="s">
        <v>370</v>
      </c>
      <c r="I100" s="5" t="s">
        <v>370</v>
      </c>
      <c r="J100" s="5" t="s">
        <v>370</v>
      </c>
      <c r="K100" s="5" t="s">
        <v>370</v>
      </c>
      <c r="L100" s="5" t="s">
        <v>370</v>
      </c>
      <c r="M100" s="5" t="s">
        <v>370</v>
      </c>
      <c r="N100" s="36">
        <v>399</v>
      </c>
      <c r="O100" s="36">
        <v>475.3</v>
      </c>
      <c r="P100" s="4">
        <f t="shared" si="26"/>
        <v>1.1912280701754385</v>
      </c>
      <c r="Q100" s="11">
        <v>20</v>
      </c>
      <c r="R100" s="36">
        <v>137.30000000000001</v>
      </c>
      <c r="S100" s="36">
        <v>162</v>
      </c>
      <c r="T100" s="4">
        <f t="shared" si="27"/>
        <v>1.1798980335032774</v>
      </c>
      <c r="U100" s="11">
        <v>25</v>
      </c>
      <c r="V100" s="36">
        <v>8.5</v>
      </c>
      <c r="W100" s="36">
        <v>10</v>
      </c>
      <c r="X100" s="4">
        <f t="shared" si="28"/>
        <v>1.1764705882352942</v>
      </c>
      <c r="Y100" s="11">
        <v>25</v>
      </c>
      <c r="Z100" s="45">
        <f t="shared" si="35"/>
        <v>1.139708544017094</v>
      </c>
      <c r="AA100" s="46">
        <v>1629</v>
      </c>
      <c r="AB100" s="36">
        <f t="shared" si="29"/>
        <v>148.09090909090909</v>
      </c>
      <c r="AC100" s="36">
        <f t="shared" si="30"/>
        <v>168.8</v>
      </c>
      <c r="AD100" s="36">
        <f t="shared" si="31"/>
        <v>20.709090909090918</v>
      </c>
      <c r="AE100" s="36">
        <v>0.3</v>
      </c>
      <c r="AF100" s="36">
        <f t="shared" si="32"/>
        <v>169.1</v>
      </c>
      <c r="AG100" s="36"/>
      <c r="AH100" s="36">
        <f t="shared" si="33"/>
        <v>169.1</v>
      </c>
      <c r="AI100" s="36"/>
      <c r="AJ100" s="36">
        <f t="shared" si="34"/>
        <v>169.1</v>
      </c>
      <c r="AK100" s="9"/>
      <c r="AL100" s="9"/>
      <c r="AM100" s="9"/>
      <c r="AN100" s="9"/>
      <c r="AO100" s="9"/>
      <c r="AP100" s="9"/>
      <c r="AQ100" s="9"/>
      <c r="AR100" s="10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0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10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10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10"/>
      <c r="GC100" s="9"/>
      <c r="GD100" s="9"/>
    </row>
    <row r="101" spans="1:186" s="2" customFormat="1" ht="16.95" customHeight="1">
      <c r="A101" s="14" t="s">
        <v>100</v>
      </c>
      <c r="B101" s="36">
        <v>0</v>
      </c>
      <c r="C101" s="36">
        <v>0</v>
      </c>
      <c r="D101" s="4">
        <f t="shared" si="25"/>
        <v>0</v>
      </c>
      <c r="E101" s="11">
        <v>0</v>
      </c>
      <c r="F101" s="5" t="s">
        <v>370</v>
      </c>
      <c r="G101" s="5" t="s">
        <v>370</v>
      </c>
      <c r="H101" s="5" t="s">
        <v>370</v>
      </c>
      <c r="I101" s="5" t="s">
        <v>370</v>
      </c>
      <c r="J101" s="5" t="s">
        <v>370</v>
      </c>
      <c r="K101" s="5" t="s">
        <v>370</v>
      </c>
      <c r="L101" s="5" t="s">
        <v>370</v>
      </c>
      <c r="M101" s="5" t="s">
        <v>370</v>
      </c>
      <c r="N101" s="36">
        <v>65.2</v>
      </c>
      <c r="O101" s="36">
        <v>33.799999999999997</v>
      </c>
      <c r="P101" s="4">
        <f t="shared" si="26"/>
        <v>0.51840490797546002</v>
      </c>
      <c r="Q101" s="11">
        <v>20</v>
      </c>
      <c r="R101" s="36">
        <v>16.2</v>
      </c>
      <c r="S101" s="36">
        <v>19</v>
      </c>
      <c r="T101" s="4">
        <f t="shared" si="27"/>
        <v>1.1728395061728396</v>
      </c>
      <c r="U101" s="11">
        <v>15</v>
      </c>
      <c r="V101" s="36">
        <v>1.6</v>
      </c>
      <c r="W101" s="36">
        <v>1.9</v>
      </c>
      <c r="X101" s="4">
        <f t="shared" si="28"/>
        <v>1.1874999999999998</v>
      </c>
      <c r="Y101" s="11">
        <v>35</v>
      </c>
      <c r="Z101" s="45">
        <f t="shared" si="35"/>
        <v>0.99318843931573975</v>
      </c>
      <c r="AA101" s="46">
        <v>2152</v>
      </c>
      <c r="AB101" s="36">
        <f t="shared" si="29"/>
        <v>195.63636363636363</v>
      </c>
      <c r="AC101" s="36">
        <f t="shared" si="30"/>
        <v>194.3</v>
      </c>
      <c r="AD101" s="36">
        <f t="shared" si="31"/>
        <v>-1.3363636363636147</v>
      </c>
      <c r="AE101" s="36">
        <v>-8.5</v>
      </c>
      <c r="AF101" s="36">
        <f t="shared" si="32"/>
        <v>185.8</v>
      </c>
      <c r="AG101" s="36"/>
      <c r="AH101" s="36">
        <f t="shared" si="33"/>
        <v>185.8</v>
      </c>
      <c r="AI101" s="36"/>
      <c r="AJ101" s="36">
        <f t="shared" si="34"/>
        <v>185.8</v>
      </c>
      <c r="AK101" s="9"/>
      <c r="AL101" s="9"/>
      <c r="AM101" s="9"/>
      <c r="AN101" s="9"/>
      <c r="AO101" s="9"/>
      <c r="AP101" s="9"/>
      <c r="AQ101" s="9"/>
      <c r="AR101" s="10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10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10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10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10"/>
      <c r="GC101" s="9"/>
      <c r="GD101" s="9"/>
    </row>
    <row r="102" spans="1:186" s="2" customFormat="1" ht="16.95" customHeight="1">
      <c r="A102" s="47" t="s">
        <v>101</v>
      </c>
      <c r="B102" s="36">
        <v>0</v>
      </c>
      <c r="C102" s="36">
        <v>0</v>
      </c>
      <c r="D102" s="4">
        <f t="shared" si="25"/>
        <v>0</v>
      </c>
      <c r="E102" s="11">
        <v>0</v>
      </c>
      <c r="F102" s="5" t="s">
        <v>370</v>
      </c>
      <c r="G102" s="5" t="s">
        <v>370</v>
      </c>
      <c r="H102" s="5" t="s">
        <v>370</v>
      </c>
      <c r="I102" s="5" t="s">
        <v>370</v>
      </c>
      <c r="J102" s="5" t="s">
        <v>370</v>
      </c>
      <c r="K102" s="5" t="s">
        <v>370</v>
      </c>
      <c r="L102" s="5" t="s">
        <v>370</v>
      </c>
      <c r="M102" s="5" t="s">
        <v>370</v>
      </c>
      <c r="N102" s="36">
        <v>175.4</v>
      </c>
      <c r="O102" s="36">
        <v>463.3</v>
      </c>
      <c r="P102" s="4">
        <f t="shared" si="26"/>
        <v>1.3</v>
      </c>
      <c r="Q102" s="11">
        <v>20</v>
      </c>
      <c r="R102" s="36">
        <v>110.8</v>
      </c>
      <c r="S102" s="36">
        <v>128.5</v>
      </c>
      <c r="T102" s="4">
        <f t="shared" si="27"/>
        <v>1.1597472924187726</v>
      </c>
      <c r="U102" s="11">
        <v>30</v>
      </c>
      <c r="V102" s="36">
        <v>5.7</v>
      </c>
      <c r="W102" s="36">
        <v>6.7</v>
      </c>
      <c r="X102" s="4">
        <f t="shared" si="28"/>
        <v>1.1754385964912282</v>
      </c>
      <c r="Y102" s="11">
        <v>20</v>
      </c>
      <c r="Z102" s="45">
        <f t="shared" si="35"/>
        <v>1.204302724319825</v>
      </c>
      <c r="AA102" s="46">
        <v>1338</v>
      </c>
      <c r="AB102" s="36">
        <f t="shared" si="29"/>
        <v>121.63636363636364</v>
      </c>
      <c r="AC102" s="36">
        <f t="shared" si="30"/>
        <v>146.5</v>
      </c>
      <c r="AD102" s="36">
        <f t="shared" si="31"/>
        <v>24.86363636363636</v>
      </c>
      <c r="AE102" s="36">
        <v>-0.9</v>
      </c>
      <c r="AF102" s="36">
        <f t="shared" si="32"/>
        <v>145.6</v>
      </c>
      <c r="AG102" s="36"/>
      <c r="AH102" s="36">
        <f t="shared" si="33"/>
        <v>145.6</v>
      </c>
      <c r="AI102" s="36"/>
      <c r="AJ102" s="36">
        <f t="shared" si="34"/>
        <v>145.6</v>
      </c>
      <c r="AK102" s="9"/>
      <c r="AL102" s="9"/>
      <c r="AM102" s="9"/>
      <c r="AN102" s="9"/>
      <c r="AO102" s="9"/>
      <c r="AP102" s="9"/>
      <c r="AQ102" s="9"/>
      <c r="AR102" s="10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0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10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10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10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10"/>
      <c r="GC102" s="9"/>
      <c r="GD102" s="9"/>
    </row>
    <row r="103" spans="1:186" s="2" customFormat="1" ht="16.95" customHeight="1">
      <c r="A103" s="14" t="s">
        <v>102</v>
      </c>
      <c r="B103" s="36">
        <v>0</v>
      </c>
      <c r="C103" s="36">
        <v>0</v>
      </c>
      <c r="D103" s="4">
        <f t="shared" si="25"/>
        <v>0</v>
      </c>
      <c r="E103" s="11">
        <v>0</v>
      </c>
      <c r="F103" s="5" t="s">
        <v>370</v>
      </c>
      <c r="G103" s="5" t="s">
        <v>370</v>
      </c>
      <c r="H103" s="5" t="s">
        <v>370</v>
      </c>
      <c r="I103" s="5" t="s">
        <v>370</v>
      </c>
      <c r="J103" s="5" t="s">
        <v>370</v>
      </c>
      <c r="K103" s="5" t="s">
        <v>370</v>
      </c>
      <c r="L103" s="5" t="s">
        <v>370</v>
      </c>
      <c r="M103" s="5" t="s">
        <v>370</v>
      </c>
      <c r="N103" s="36">
        <v>240.6</v>
      </c>
      <c r="O103" s="36">
        <v>13.8</v>
      </c>
      <c r="P103" s="4">
        <f t="shared" si="26"/>
        <v>5.7356608478802994E-2</v>
      </c>
      <c r="Q103" s="11">
        <v>20</v>
      </c>
      <c r="R103" s="36">
        <v>20.8</v>
      </c>
      <c r="S103" s="36">
        <v>24.3</v>
      </c>
      <c r="T103" s="4">
        <f t="shared" si="27"/>
        <v>1.1682692307692308</v>
      </c>
      <c r="U103" s="11">
        <v>20</v>
      </c>
      <c r="V103" s="36">
        <v>1.3</v>
      </c>
      <c r="W103" s="36">
        <v>1.6</v>
      </c>
      <c r="X103" s="4">
        <f t="shared" si="28"/>
        <v>1.2030769230769232</v>
      </c>
      <c r="Y103" s="11">
        <v>30</v>
      </c>
      <c r="Z103" s="45">
        <f t="shared" si="35"/>
        <v>0.86578320681811949</v>
      </c>
      <c r="AA103" s="46">
        <v>1143</v>
      </c>
      <c r="AB103" s="36">
        <f t="shared" si="29"/>
        <v>103.90909090909091</v>
      </c>
      <c r="AC103" s="36">
        <f t="shared" si="30"/>
        <v>90</v>
      </c>
      <c r="AD103" s="36">
        <f t="shared" si="31"/>
        <v>-13.909090909090907</v>
      </c>
      <c r="AE103" s="36">
        <v>-3.4</v>
      </c>
      <c r="AF103" s="36">
        <f t="shared" si="32"/>
        <v>86.6</v>
      </c>
      <c r="AG103" s="36"/>
      <c r="AH103" s="36">
        <f t="shared" si="33"/>
        <v>86.6</v>
      </c>
      <c r="AI103" s="36"/>
      <c r="AJ103" s="36">
        <f t="shared" si="34"/>
        <v>86.6</v>
      </c>
      <c r="AK103" s="9"/>
      <c r="AL103" s="9"/>
      <c r="AM103" s="9"/>
      <c r="AN103" s="9"/>
      <c r="AO103" s="9"/>
      <c r="AP103" s="9"/>
      <c r="AQ103" s="9"/>
      <c r="AR103" s="10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0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10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10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10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10"/>
      <c r="GC103" s="9"/>
      <c r="GD103" s="9"/>
    </row>
    <row r="104" spans="1:186" s="2" customFormat="1" ht="16.95" customHeight="1">
      <c r="A104" s="14" t="s">
        <v>103</v>
      </c>
      <c r="B104" s="36">
        <v>0</v>
      </c>
      <c r="C104" s="36">
        <v>0</v>
      </c>
      <c r="D104" s="4">
        <f t="shared" si="25"/>
        <v>0</v>
      </c>
      <c r="E104" s="11">
        <v>0</v>
      </c>
      <c r="F104" s="5" t="s">
        <v>370</v>
      </c>
      <c r="G104" s="5" t="s">
        <v>370</v>
      </c>
      <c r="H104" s="5" t="s">
        <v>370</v>
      </c>
      <c r="I104" s="5" t="s">
        <v>370</v>
      </c>
      <c r="J104" s="5" t="s">
        <v>370</v>
      </c>
      <c r="K104" s="5" t="s">
        <v>370</v>
      </c>
      <c r="L104" s="5" t="s">
        <v>370</v>
      </c>
      <c r="M104" s="5" t="s">
        <v>370</v>
      </c>
      <c r="N104" s="36">
        <v>282</v>
      </c>
      <c r="O104" s="36">
        <v>15.5</v>
      </c>
      <c r="P104" s="4">
        <f t="shared" si="26"/>
        <v>5.4964539007092202E-2</v>
      </c>
      <c r="Q104" s="11">
        <v>20</v>
      </c>
      <c r="R104" s="36">
        <v>15.1</v>
      </c>
      <c r="S104" s="36">
        <v>18</v>
      </c>
      <c r="T104" s="4">
        <f t="shared" si="27"/>
        <v>1.1920529801324504</v>
      </c>
      <c r="U104" s="11">
        <v>15</v>
      </c>
      <c r="V104" s="36">
        <v>1.6</v>
      </c>
      <c r="W104" s="36">
        <v>1.9</v>
      </c>
      <c r="X104" s="4">
        <f t="shared" si="28"/>
        <v>1.1874999999999998</v>
      </c>
      <c r="Y104" s="11">
        <v>35</v>
      </c>
      <c r="Z104" s="45">
        <f t="shared" si="35"/>
        <v>0.86489407831612264</v>
      </c>
      <c r="AA104" s="46">
        <v>767</v>
      </c>
      <c r="AB104" s="36">
        <f t="shared" si="29"/>
        <v>69.727272727272734</v>
      </c>
      <c r="AC104" s="36">
        <f t="shared" si="30"/>
        <v>60.3</v>
      </c>
      <c r="AD104" s="36">
        <f t="shared" si="31"/>
        <v>-9.4272727272727366</v>
      </c>
      <c r="AE104" s="36">
        <v>-1.3</v>
      </c>
      <c r="AF104" s="36">
        <f t="shared" si="32"/>
        <v>59</v>
      </c>
      <c r="AG104" s="36"/>
      <c r="AH104" s="36">
        <f t="shared" si="33"/>
        <v>59</v>
      </c>
      <c r="AI104" s="36"/>
      <c r="AJ104" s="36">
        <f t="shared" si="34"/>
        <v>59</v>
      </c>
      <c r="AK104" s="9"/>
      <c r="AL104" s="9"/>
      <c r="AM104" s="9"/>
      <c r="AN104" s="9"/>
      <c r="AO104" s="9"/>
      <c r="AP104" s="9"/>
      <c r="AQ104" s="9"/>
      <c r="AR104" s="10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0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10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10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10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10"/>
      <c r="GC104" s="9"/>
      <c r="GD104" s="9"/>
    </row>
    <row r="105" spans="1:186" s="2" customFormat="1" ht="16.95" customHeight="1">
      <c r="A105" s="18" t="s">
        <v>104</v>
      </c>
      <c r="B105" s="6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9"/>
      <c r="AL105" s="9"/>
      <c r="AM105" s="9"/>
      <c r="AN105" s="9"/>
      <c r="AO105" s="9"/>
      <c r="AP105" s="9"/>
      <c r="AQ105" s="9"/>
      <c r="AR105" s="10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10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10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10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10"/>
      <c r="GC105" s="9"/>
      <c r="GD105" s="9"/>
    </row>
    <row r="106" spans="1:186" s="2" customFormat="1" ht="16.95" customHeight="1">
      <c r="A106" s="14" t="s">
        <v>105</v>
      </c>
      <c r="B106" s="36">
        <v>128020</v>
      </c>
      <c r="C106" s="36">
        <v>106048.1</v>
      </c>
      <c r="D106" s="4">
        <f t="shared" si="25"/>
        <v>0.82837134822683955</v>
      </c>
      <c r="E106" s="11">
        <v>10</v>
      </c>
      <c r="F106" s="5" t="s">
        <v>370</v>
      </c>
      <c r="G106" s="5" t="s">
        <v>370</v>
      </c>
      <c r="H106" s="5" t="s">
        <v>370</v>
      </c>
      <c r="I106" s="5" t="s">
        <v>370</v>
      </c>
      <c r="J106" s="5" t="s">
        <v>370</v>
      </c>
      <c r="K106" s="5" t="s">
        <v>370</v>
      </c>
      <c r="L106" s="5" t="s">
        <v>370</v>
      </c>
      <c r="M106" s="5" t="s">
        <v>370</v>
      </c>
      <c r="N106" s="36">
        <v>1736</v>
      </c>
      <c r="O106" s="36">
        <v>2575.8000000000002</v>
      </c>
      <c r="P106" s="4">
        <f t="shared" si="26"/>
        <v>1.2283755760368664</v>
      </c>
      <c r="Q106" s="11">
        <v>20</v>
      </c>
      <c r="R106" s="36">
        <v>5</v>
      </c>
      <c r="S106" s="36">
        <v>14.3</v>
      </c>
      <c r="T106" s="4">
        <f t="shared" si="27"/>
        <v>1.3</v>
      </c>
      <c r="U106" s="11">
        <v>30</v>
      </c>
      <c r="V106" s="36">
        <v>8</v>
      </c>
      <c r="W106" s="36">
        <v>6</v>
      </c>
      <c r="X106" s="4">
        <f t="shared" si="28"/>
        <v>0.75</v>
      </c>
      <c r="Y106" s="11">
        <v>20</v>
      </c>
      <c r="Z106" s="45">
        <f t="shared" si="35"/>
        <v>1.0856403125375715</v>
      </c>
      <c r="AA106" s="46">
        <v>1935</v>
      </c>
      <c r="AB106" s="36">
        <f t="shared" si="29"/>
        <v>175.90909090909091</v>
      </c>
      <c r="AC106" s="36">
        <f t="shared" si="30"/>
        <v>191</v>
      </c>
      <c r="AD106" s="36">
        <f t="shared" si="31"/>
        <v>15.090909090909093</v>
      </c>
      <c r="AE106" s="36">
        <v>-7.3</v>
      </c>
      <c r="AF106" s="36">
        <f t="shared" si="32"/>
        <v>183.7</v>
      </c>
      <c r="AG106" s="36"/>
      <c r="AH106" s="36">
        <f t="shared" si="33"/>
        <v>183.7</v>
      </c>
      <c r="AI106" s="36"/>
      <c r="AJ106" s="36">
        <f t="shared" si="34"/>
        <v>183.7</v>
      </c>
      <c r="AK106" s="9"/>
      <c r="AL106" s="9"/>
      <c r="AM106" s="9"/>
      <c r="AN106" s="9"/>
      <c r="AO106" s="9"/>
      <c r="AP106" s="9"/>
      <c r="AQ106" s="9"/>
      <c r="AR106" s="10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0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10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10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10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10"/>
      <c r="GC106" s="9"/>
      <c r="GD106" s="9"/>
    </row>
    <row r="107" spans="1:186" s="2" customFormat="1" ht="16.95" customHeight="1">
      <c r="A107" s="14" t="s">
        <v>106</v>
      </c>
      <c r="B107" s="36">
        <v>0</v>
      </c>
      <c r="C107" s="36">
        <v>0</v>
      </c>
      <c r="D107" s="4">
        <f t="shared" si="25"/>
        <v>0</v>
      </c>
      <c r="E107" s="11">
        <v>0</v>
      </c>
      <c r="F107" s="5" t="s">
        <v>370</v>
      </c>
      <c r="G107" s="5" t="s">
        <v>370</v>
      </c>
      <c r="H107" s="5" t="s">
        <v>370</v>
      </c>
      <c r="I107" s="5" t="s">
        <v>370</v>
      </c>
      <c r="J107" s="5" t="s">
        <v>370</v>
      </c>
      <c r="K107" s="5" t="s">
        <v>370</v>
      </c>
      <c r="L107" s="5" t="s">
        <v>370</v>
      </c>
      <c r="M107" s="5" t="s">
        <v>370</v>
      </c>
      <c r="N107" s="36">
        <v>1008.5</v>
      </c>
      <c r="O107" s="36">
        <v>1990.1</v>
      </c>
      <c r="P107" s="4">
        <f t="shared" si="26"/>
        <v>1.2773326722855727</v>
      </c>
      <c r="Q107" s="11">
        <v>20</v>
      </c>
      <c r="R107" s="36">
        <v>25</v>
      </c>
      <c r="S107" s="36">
        <v>53.7</v>
      </c>
      <c r="T107" s="4">
        <f t="shared" si="27"/>
        <v>1.2948</v>
      </c>
      <c r="U107" s="11">
        <v>25</v>
      </c>
      <c r="V107" s="36">
        <v>38</v>
      </c>
      <c r="W107" s="36">
        <v>39.799999999999997</v>
      </c>
      <c r="X107" s="4">
        <f t="shared" si="28"/>
        <v>1.0473684210526315</v>
      </c>
      <c r="Y107" s="11">
        <v>25</v>
      </c>
      <c r="Z107" s="45">
        <f t="shared" si="35"/>
        <v>1.2014409138861035</v>
      </c>
      <c r="AA107" s="46">
        <v>1780</v>
      </c>
      <c r="AB107" s="36">
        <f t="shared" si="29"/>
        <v>161.81818181818181</v>
      </c>
      <c r="AC107" s="36">
        <f t="shared" si="30"/>
        <v>194.4</v>
      </c>
      <c r="AD107" s="36">
        <f t="shared" si="31"/>
        <v>32.581818181818193</v>
      </c>
      <c r="AE107" s="36">
        <v>38.1</v>
      </c>
      <c r="AF107" s="36">
        <f t="shared" si="32"/>
        <v>232.5</v>
      </c>
      <c r="AG107" s="36">
        <f>MIN(AF107,39.2)</f>
        <v>39.200000000000003</v>
      </c>
      <c r="AH107" s="36">
        <f t="shared" si="33"/>
        <v>193.3</v>
      </c>
      <c r="AI107" s="36"/>
      <c r="AJ107" s="36">
        <f t="shared" si="34"/>
        <v>193.3</v>
      </c>
      <c r="AK107" s="9"/>
      <c r="AL107" s="9"/>
      <c r="AM107" s="9"/>
      <c r="AN107" s="9"/>
      <c r="AO107" s="9"/>
      <c r="AP107" s="9"/>
      <c r="AQ107" s="9"/>
      <c r="AR107" s="10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0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10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10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10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10"/>
      <c r="GC107" s="9"/>
      <c r="GD107" s="9"/>
    </row>
    <row r="108" spans="1:186" s="2" customFormat="1" ht="16.95" customHeight="1">
      <c r="A108" s="14" t="s">
        <v>107</v>
      </c>
      <c r="B108" s="36">
        <v>0</v>
      </c>
      <c r="C108" s="36">
        <v>869.5</v>
      </c>
      <c r="D108" s="4">
        <f t="shared" si="25"/>
        <v>0</v>
      </c>
      <c r="E108" s="11">
        <v>0</v>
      </c>
      <c r="F108" s="5" t="s">
        <v>370</v>
      </c>
      <c r="G108" s="5" t="s">
        <v>370</v>
      </c>
      <c r="H108" s="5" t="s">
        <v>370</v>
      </c>
      <c r="I108" s="5" t="s">
        <v>370</v>
      </c>
      <c r="J108" s="5" t="s">
        <v>370</v>
      </c>
      <c r="K108" s="5" t="s">
        <v>370</v>
      </c>
      <c r="L108" s="5" t="s">
        <v>370</v>
      </c>
      <c r="M108" s="5" t="s">
        <v>370</v>
      </c>
      <c r="N108" s="36">
        <v>2112</v>
      </c>
      <c r="O108" s="36">
        <v>2607.4</v>
      </c>
      <c r="P108" s="4">
        <f t="shared" si="26"/>
        <v>1.2034564393939393</v>
      </c>
      <c r="Q108" s="11">
        <v>20</v>
      </c>
      <c r="R108" s="36">
        <v>1</v>
      </c>
      <c r="S108" s="36">
        <v>1.2</v>
      </c>
      <c r="T108" s="4">
        <f t="shared" si="27"/>
        <v>1.2</v>
      </c>
      <c r="U108" s="11">
        <v>25</v>
      </c>
      <c r="V108" s="36">
        <v>8</v>
      </c>
      <c r="W108" s="36">
        <v>8.5</v>
      </c>
      <c r="X108" s="4">
        <f t="shared" si="28"/>
        <v>1.0625</v>
      </c>
      <c r="Y108" s="11">
        <v>25</v>
      </c>
      <c r="Z108" s="45">
        <f t="shared" si="35"/>
        <v>1.1518804112554111</v>
      </c>
      <c r="AA108" s="46">
        <v>3468</v>
      </c>
      <c r="AB108" s="36">
        <f t="shared" si="29"/>
        <v>315.27272727272725</v>
      </c>
      <c r="AC108" s="36">
        <f t="shared" si="30"/>
        <v>363.2</v>
      </c>
      <c r="AD108" s="36">
        <f t="shared" si="31"/>
        <v>47.927272727272737</v>
      </c>
      <c r="AE108" s="36">
        <v>7.1</v>
      </c>
      <c r="AF108" s="36">
        <f t="shared" si="32"/>
        <v>370.3</v>
      </c>
      <c r="AG108" s="36"/>
      <c r="AH108" s="36">
        <f t="shared" si="33"/>
        <v>370.3</v>
      </c>
      <c r="AI108" s="36"/>
      <c r="AJ108" s="36">
        <f t="shared" si="34"/>
        <v>370.3</v>
      </c>
      <c r="AK108" s="9"/>
      <c r="AL108" s="9"/>
      <c r="AM108" s="9"/>
      <c r="AN108" s="9"/>
      <c r="AO108" s="9"/>
      <c r="AP108" s="9"/>
      <c r="AQ108" s="9"/>
      <c r="AR108" s="10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0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10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10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10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10"/>
      <c r="GC108" s="9"/>
      <c r="GD108" s="9"/>
    </row>
    <row r="109" spans="1:186" s="2" customFormat="1" ht="16.95" customHeight="1">
      <c r="A109" s="14" t="s">
        <v>108</v>
      </c>
      <c r="B109" s="36">
        <v>67350</v>
      </c>
      <c r="C109" s="36">
        <v>69300</v>
      </c>
      <c r="D109" s="4">
        <f t="shared" si="25"/>
        <v>1.0289532293986636</v>
      </c>
      <c r="E109" s="11">
        <v>10</v>
      </c>
      <c r="F109" s="5" t="s">
        <v>370</v>
      </c>
      <c r="G109" s="5" t="s">
        <v>370</v>
      </c>
      <c r="H109" s="5" t="s">
        <v>370</v>
      </c>
      <c r="I109" s="5" t="s">
        <v>370</v>
      </c>
      <c r="J109" s="5" t="s">
        <v>370</v>
      </c>
      <c r="K109" s="5" t="s">
        <v>370</v>
      </c>
      <c r="L109" s="5" t="s">
        <v>370</v>
      </c>
      <c r="M109" s="5" t="s">
        <v>370</v>
      </c>
      <c r="N109" s="36">
        <v>2399.6</v>
      </c>
      <c r="O109" s="36">
        <v>2936</v>
      </c>
      <c r="P109" s="4">
        <f t="shared" si="26"/>
        <v>1.2023537256209367</v>
      </c>
      <c r="Q109" s="11">
        <v>20</v>
      </c>
      <c r="R109" s="36">
        <v>1</v>
      </c>
      <c r="S109" s="36">
        <v>1</v>
      </c>
      <c r="T109" s="4">
        <f t="shared" si="27"/>
        <v>1</v>
      </c>
      <c r="U109" s="11">
        <v>20</v>
      </c>
      <c r="V109" s="36">
        <v>2</v>
      </c>
      <c r="W109" s="36">
        <v>3.4</v>
      </c>
      <c r="X109" s="4">
        <f t="shared" si="28"/>
        <v>1.25</v>
      </c>
      <c r="Y109" s="11">
        <v>30</v>
      </c>
      <c r="Z109" s="45">
        <f t="shared" si="35"/>
        <v>1.1479575850800672</v>
      </c>
      <c r="AA109" s="46">
        <v>2287</v>
      </c>
      <c r="AB109" s="36">
        <f t="shared" si="29"/>
        <v>207.90909090909091</v>
      </c>
      <c r="AC109" s="36">
        <f t="shared" si="30"/>
        <v>238.7</v>
      </c>
      <c r="AD109" s="36">
        <f t="shared" si="31"/>
        <v>30.790909090909082</v>
      </c>
      <c r="AE109" s="36">
        <v>-0.7</v>
      </c>
      <c r="AF109" s="36">
        <f t="shared" si="32"/>
        <v>238</v>
      </c>
      <c r="AG109" s="36"/>
      <c r="AH109" s="36">
        <f t="shared" si="33"/>
        <v>238</v>
      </c>
      <c r="AI109" s="36"/>
      <c r="AJ109" s="36">
        <f t="shared" si="34"/>
        <v>238</v>
      </c>
      <c r="AK109" s="9"/>
      <c r="AL109" s="9"/>
      <c r="AM109" s="9"/>
      <c r="AN109" s="9"/>
      <c r="AO109" s="9"/>
      <c r="AP109" s="9"/>
      <c r="AQ109" s="9"/>
      <c r="AR109" s="10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10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10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10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10"/>
      <c r="GC109" s="9"/>
      <c r="GD109" s="9"/>
    </row>
    <row r="110" spans="1:186" s="2" customFormat="1" ht="16.95" customHeight="1">
      <c r="A110" s="14" t="s">
        <v>109</v>
      </c>
      <c r="B110" s="36">
        <v>7400</v>
      </c>
      <c r="C110" s="36">
        <v>3149.9</v>
      </c>
      <c r="D110" s="4">
        <f t="shared" si="25"/>
        <v>0.42566216216216218</v>
      </c>
      <c r="E110" s="11">
        <v>10</v>
      </c>
      <c r="F110" s="5" t="s">
        <v>370</v>
      </c>
      <c r="G110" s="5" t="s">
        <v>370</v>
      </c>
      <c r="H110" s="5" t="s">
        <v>370</v>
      </c>
      <c r="I110" s="5" t="s">
        <v>370</v>
      </c>
      <c r="J110" s="5" t="s">
        <v>370</v>
      </c>
      <c r="K110" s="5" t="s">
        <v>370</v>
      </c>
      <c r="L110" s="5" t="s">
        <v>370</v>
      </c>
      <c r="M110" s="5" t="s">
        <v>370</v>
      </c>
      <c r="N110" s="36">
        <v>2144.5</v>
      </c>
      <c r="O110" s="36">
        <v>6234.9</v>
      </c>
      <c r="P110" s="4">
        <f t="shared" si="26"/>
        <v>1.3</v>
      </c>
      <c r="Q110" s="11">
        <v>20</v>
      </c>
      <c r="R110" s="36">
        <v>164.1</v>
      </c>
      <c r="S110" s="36">
        <v>162.69999999999999</v>
      </c>
      <c r="T110" s="4">
        <f t="shared" si="27"/>
        <v>0.99146861669713582</v>
      </c>
      <c r="U110" s="11">
        <v>25</v>
      </c>
      <c r="V110" s="36">
        <v>0</v>
      </c>
      <c r="W110" s="36">
        <v>0</v>
      </c>
      <c r="X110" s="4">
        <f t="shared" si="28"/>
        <v>1</v>
      </c>
      <c r="Y110" s="11">
        <v>25</v>
      </c>
      <c r="Z110" s="45">
        <f t="shared" si="35"/>
        <v>1.0005417129881251</v>
      </c>
      <c r="AA110" s="46">
        <v>1443</v>
      </c>
      <c r="AB110" s="36">
        <f t="shared" si="29"/>
        <v>131.18181818181819</v>
      </c>
      <c r="AC110" s="36">
        <f t="shared" si="30"/>
        <v>131.30000000000001</v>
      </c>
      <c r="AD110" s="36">
        <f t="shared" si="31"/>
        <v>0.11818181818182438</v>
      </c>
      <c r="AE110" s="36">
        <v>0</v>
      </c>
      <c r="AF110" s="36">
        <f t="shared" si="32"/>
        <v>131.30000000000001</v>
      </c>
      <c r="AG110" s="36"/>
      <c r="AH110" s="36">
        <f t="shared" si="33"/>
        <v>131.30000000000001</v>
      </c>
      <c r="AI110" s="36"/>
      <c r="AJ110" s="36">
        <f t="shared" si="34"/>
        <v>131.30000000000001</v>
      </c>
      <c r="AK110" s="9"/>
      <c r="AL110" s="9"/>
      <c r="AM110" s="9"/>
      <c r="AN110" s="9"/>
      <c r="AO110" s="9"/>
      <c r="AP110" s="9"/>
      <c r="AQ110" s="9"/>
      <c r="AR110" s="10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0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10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10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10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10"/>
      <c r="GC110" s="9"/>
      <c r="GD110" s="9"/>
    </row>
    <row r="111" spans="1:186" s="2" customFormat="1" ht="16.95" customHeight="1">
      <c r="A111" s="14" t="s">
        <v>110</v>
      </c>
      <c r="B111" s="36">
        <v>47500</v>
      </c>
      <c r="C111" s="36">
        <v>71988</v>
      </c>
      <c r="D111" s="4">
        <f t="shared" ref="D111:D174" si="36">IF(E111=0,0,IF(B111=0,1,IF(C111&lt;0,0,IF(C111/B111&gt;1.2,IF((C111/B111-1.2)*0.1+1.2&gt;1.3,1.3,(C111/B111-1.2)*0.1+1.2),C111/B111))))</f>
        <v>1.2315536842105264</v>
      </c>
      <c r="E111" s="11">
        <v>10</v>
      </c>
      <c r="F111" s="5" t="s">
        <v>370</v>
      </c>
      <c r="G111" s="5" t="s">
        <v>370</v>
      </c>
      <c r="H111" s="5" t="s">
        <v>370</v>
      </c>
      <c r="I111" s="5" t="s">
        <v>370</v>
      </c>
      <c r="J111" s="5" t="s">
        <v>370</v>
      </c>
      <c r="K111" s="5" t="s">
        <v>370</v>
      </c>
      <c r="L111" s="5" t="s">
        <v>370</v>
      </c>
      <c r="M111" s="5" t="s">
        <v>370</v>
      </c>
      <c r="N111" s="36">
        <v>40569.800000000003</v>
      </c>
      <c r="O111" s="36">
        <v>3162.5</v>
      </c>
      <c r="P111" s="4">
        <f t="shared" ref="P111:P174" si="37">IF(Q111=0,0,IF(N111=0,1,IF(O111&lt;0,0,IF(O111/N111&gt;1.2,IF((O111/N111-1.2)*0.1+1.2&gt;1.3,1.3,(O111/N111-1.2)*0.1+1.2),O111/N111))))</f>
        <v>7.7952072724045959E-2</v>
      </c>
      <c r="Q111" s="11">
        <v>20</v>
      </c>
      <c r="R111" s="36">
        <v>1</v>
      </c>
      <c r="S111" s="36">
        <v>2.7</v>
      </c>
      <c r="T111" s="4">
        <f t="shared" ref="T111:T174" si="38">IF(U111=0,0,IF(R111=0,1,IF(S111&lt;0,0,IF(S111/R111&gt;1.2,IF((S111/R111-1.2)*0.1+1.2&gt;1.3,1.3,(S111/R111-1.2)*0.1+1.2),S111/R111))))</f>
        <v>1.3</v>
      </c>
      <c r="U111" s="11">
        <v>30</v>
      </c>
      <c r="V111" s="36">
        <v>0.2</v>
      </c>
      <c r="W111" s="36">
        <v>1.2</v>
      </c>
      <c r="X111" s="4">
        <f t="shared" ref="X111:X174" si="39">IF(Y111=0,0,IF(V111=0,1,IF(W111&lt;0,0,IF(W111/V111&gt;1.2,IF((W111/V111-1.2)*0.1+1.2&gt;1.3,1.3,(W111/V111-1.2)*0.1+1.2),W111/V111))))</f>
        <v>1.3</v>
      </c>
      <c r="Y111" s="11">
        <v>20</v>
      </c>
      <c r="Z111" s="45">
        <f t="shared" si="35"/>
        <v>0.98593222870732722</v>
      </c>
      <c r="AA111" s="46">
        <v>6549</v>
      </c>
      <c r="AB111" s="36">
        <f t="shared" ref="AB111:AB174" si="40">AA111/11</f>
        <v>595.36363636363637</v>
      </c>
      <c r="AC111" s="36">
        <f t="shared" ref="AC111:AC174" si="41">ROUND(Z111*AB111,1)</f>
        <v>587</v>
      </c>
      <c r="AD111" s="36">
        <f t="shared" ref="AD111:AD174" si="42">AC111-AB111</f>
        <v>-8.363636363636374</v>
      </c>
      <c r="AE111" s="36">
        <v>-6.8</v>
      </c>
      <c r="AF111" s="36">
        <f t="shared" ref="AF111:AF174" si="43">IF((AC111+AE111)&gt;0,ROUND(AC111+AE111,1),0)</f>
        <v>580.20000000000005</v>
      </c>
      <c r="AG111" s="36"/>
      <c r="AH111" s="36">
        <f t="shared" ref="AH111:AH174" si="44">IF((AF111-AG111)&gt;0,ROUND(AF111-AG111,1),0)</f>
        <v>580.20000000000005</v>
      </c>
      <c r="AI111" s="36"/>
      <c r="AJ111" s="36">
        <f t="shared" ref="AJ111:AJ174" si="45">IF((AH111-AI111)&gt;0,ROUND(AH111-AI111,1),0)</f>
        <v>580.20000000000005</v>
      </c>
      <c r="AK111" s="9"/>
      <c r="AL111" s="9"/>
      <c r="AM111" s="9"/>
      <c r="AN111" s="9"/>
      <c r="AO111" s="9"/>
      <c r="AP111" s="9"/>
      <c r="AQ111" s="9"/>
      <c r="AR111" s="10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10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10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10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10"/>
      <c r="GC111" s="9"/>
      <c r="GD111" s="9"/>
    </row>
    <row r="112" spans="1:186" s="2" customFormat="1" ht="16.95" customHeight="1">
      <c r="A112" s="14" t="s">
        <v>111</v>
      </c>
      <c r="B112" s="36">
        <v>0</v>
      </c>
      <c r="C112" s="36">
        <v>0</v>
      </c>
      <c r="D112" s="4">
        <f t="shared" si="36"/>
        <v>0</v>
      </c>
      <c r="E112" s="11">
        <v>0</v>
      </c>
      <c r="F112" s="5" t="s">
        <v>370</v>
      </c>
      <c r="G112" s="5" t="s">
        <v>370</v>
      </c>
      <c r="H112" s="5" t="s">
        <v>370</v>
      </c>
      <c r="I112" s="5" t="s">
        <v>370</v>
      </c>
      <c r="J112" s="5" t="s">
        <v>370</v>
      </c>
      <c r="K112" s="5" t="s">
        <v>370</v>
      </c>
      <c r="L112" s="5" t="s">
        <v>370</v>
      </c>
      <c r="M112" s="5" t="s">
        <v>370</v>
      </c>
      <c r="N112" s="36">
        <v>493.1</v>
      </c>
      <c r="O112" s="36">
        <v>186.8</v>
      </c>
      <c r="P112" s="4">
        <f t="shared" si="37"/>
        <v>0.37882782397079701</v>
      </c>
      <c r="Q112" s="11">
        <v>20</v>
      </c>
      <c r="R112" s="36">
        <v>35</v>
      </c>
      <c r="S112" s="36">
        <v>36.9</v>
      </c>
      <c r="T112" s="4">
        <f t="shared" si="38"/>
        <v>1.0542857142857143</v>
      </c>
      <c r="U112" s="11">
        <v>20</v>
      </c>
      <c r="V112" s="36">
        <v>19</v>
      </c>
      <c r="W112" s="36">
        <v>19.600000000000001</v>
      </c>
      <c r="X112" s="4">
        <f t="shared" si="39"/>
        <v>1.0315789473684212</v>
      </c>
      <c r="Y112" s="11">
        <v>30</v>
      </c>
      <c r="Z112" s="45">
        <f t="shared" ref="Z112:Z175" si="46">(D112*E112+P112*Q112+T112*U112+X112*Y112)/(E112+Q112+U112+Y112)</f>
        <v>0.85156627408832664</v>
      </c>
      <c r="AA112" s="46">
        <v>5250</v>
      </c>
      <c r="AB112" s="36">
        <f t="shared" si="40"/>
        <v>477.27272727272725</v>
      </c>
      <c r="AC112" s="36">
        <f t="shared" si="41"/>
        <v>406.4</v>
      </c>
      <c r="AD112" s="36">
        <f t="shared" si="42"/>
        <v>-70.872727272727275</v>
      </c>
      <c r="AE112" s="36">
        <v>-27</v>
      </c>
      <c r="AF112" s="36">
        <f t="shared" si="43"/>
        <v>379.4</v>
      </c>
      <c r="AG112" s="36"/>
      <c r="AH112" s="36">
        <f t="shared" si="44"/>
        <v>379.4</v>
      </c>
      <c r="AI112" s="36"/>
      <c r="AJ112" s="36">
        <f t="shared" si="45"/>
        <v>379.4</v>
      </c>
      <c r="AK112" s="9"/>
      <c r="AL112" s="9"/>
      <c r="AM112" s="9"/>
      <c r="AN112" s="9"/>
      <c r="AO112" s="9"/>
      <c r="AP112" s="9"/>
      <c r="AQ112" s="9"/>
      <c r="AR112" s="10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10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10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10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10"/>
      <c r="GC112" s="9"/>
      <c r="GD112" s="9"/>
    </row>
    <row r="113" spans="1:186" s="2" customFormat="1" ht="16.95" customHeight="1">
      <c r="A113" s="14" t="s">
        <v>112</v>
      </c>
      <c r="B113" s="36">
        <v>0</v>
      </c>
      <c r="C113" s="36">
        <v>0</v>
      </c>
      <c r="D113" s="4">
        <f t="shared" si="36"/>
        <v>0</v>
      </c>
      <c r="E113" s="11">
        <v>0</v>
      </c>
      <c r="F113" s="5" t="s">
        <v>370</v>
      </c>
      <c r="G113" s="5" t="s">
        <v>370</v>
      </c>
      <c r="H113" s="5" t="s">
        <v>370</v>
      </c>
      <c r="I113" s="5" t="s">
        <v>370</v>
      </c>
      <c r="J113" s="5" t="s">
        <v>370</v>
      </c>
      <c r="K113" s="5" t="s">
        <v>370</v>
      </c>
      <c r="L113" s="5" t="s">
        <v>370</v>
      </c>
      <c r="M113" s="5" t="s">
        <v>370</v>
      </c>
      <c r="N113" s="36">
        <v>631.5</v>
      </c>
      <c r="O113" s="36">
        <v>823.9</v>
      </c>
      <c r="P113" s="4">
        <f t="shared" si="37"/>
        <v>1.2104671417260491</v>
      </c>
      <c r="Q113" s="11">
        <v>20</v>
      </c>
      <c r="R113" s="36">
        <v>55</v>
      </c>
      <c r="S113" s="36">
        <v>70</v>
      </c>
      <c r="T113" s="4">
        <f t="shared" si="38"/>
        <v>1.2072727272727273</v>
      </c>
      <c r="U113" s="11">
        <v>25</v>
      </c>
      <c r="V113" s="36">
        <v>80</v>
      </c>
      <c r="W113" s="36">
        <v>96</v>
      </c>
      <c r="X113" s="4">
        <f t="shared" si="39"/>
        <v>1.2</v>
      </c>
      <c r="Y113" s="11">
        <v>25</v>
      </c>
      <c r="Z113" s="45">
        <f t="shared" si="46"/>
        <v>1.2055880145191309</v>
      </c>
      <c r="AA113" s="46">
        <v>2211</v>
      </c>
      <c r="AB113" s="36">
        <f t="shared" si="40"/>
        <v>201</v>
      </c>
      <c r="AC113" s="36">
        <f t="shared" si="41"/>
        <v>242.3</v>
      </c>
      <c r="AD113" s="36">
        <f t="shared" si="42"/>
        <v>41.300000000000011</v>
      </c>
      <c r="AE113" s="36">
        <v>4.8</v>
      </c>
      <c r="AF113" s="36">
        <f t="shared" si="43"/>
        <v>247.1</v>
      </c>
      <c r="AG113" s="36"/>
      <c r="AH113" s="36">
        <f t="shared" si="44"/>
        <v>247.1</v>
      </c>
      <c r="AI113" s="36"/>
      <c r="AJ113" s="36">
        <f t="shared" si="45"/>
        <v>247.1</v>
      </c>
      <c r="AK113" s="9"/>
      <c r="AL113" s="9"/>
      <c r="AM113" s="9"/>
      <c r="AN113" s="9"/>
      <c r="AO113" s="9"/>
      <c r="AP113" s="9"/>
      <c r="AQ113" s="9"/>
      <c r="AR113" s="10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0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10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10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10"/>
      <c r="GC113" s="9"/>
      <c r="GD113" s="9"/>
    </row>
    <row r="114" spans="1:186" s="2" customFormat="1" ht="16.95" customHeight="1">
      <c r="A114" s="14" t="s">
        <v>113</v>
      </c>
      <c r="B114" s="36">
        <v>1370</v>
      </c>
      <c r="C114" s="36">
        <v>2525</v>
      </c>
      <c r="D114" s="4">
        <f t="shared" si="36"/>
        <v>1.2643065693430657</v>
      </c>
      <c r="E114" s="11">
        <v>10</v>
      </c>
      <c r="F114" s="5" t="s">
        <v>370</v>
      </c>
      <c r="G114" s="5" t="s">
        <v>370</v>
      </c>
      <c r="H114" s="5" t="s">
        <v>370</v>
      </c>
      <c r="I114" s="5" t="s">
        <v>370</v>
      </c>
      <c r="J114" s="5" t="s">
        <v>370</v>
      </c>
      <c r="K114" s="5" t="s">
        <v>370</v>
      </c>
      <c r="L114" s="5" t="s">
        <v>370</v>
      </c>
      <c r="M114" s="5" t="s">
        <v>370</v>
      </c>
      <c r="N114" s="36">
        <v>969.5</v>
      </c>
      <c r="O114" s="36">
        <v>1030.2</v>
      </c>
      <c r="P114" s="4">
        <f t="shared" si="37"/>
        <v>1.0626095925734915</v>
      </c>
      <c r="Q114" s="11">
        <v>20</v>
      </c>
      <c r="R114" s="36">
        <v>5</v>
      </c>
      <c r="S114" s="36">
        <v>7</v>
      </c>
      <c r="T114" s="4">
        <f t="shared" si="38"/>
        <v>1.22</v>
      </c>
      <c r="U114" s="11">
        <v>20</v>
      </c>
      <c r="V114" s="36">
        <v>4</v>
      </c>
      <c r="W114" s="36">
        <v>12.7</v>
      </c>
      <c r="X114" s="4">
        <f t="shared" si="39"/>
        <v>1.3</v>
      </c>
      <c r="Y114" s="11">
        <v>30</v>
      </c>
      <c r="Z114" s="45">
        <f t="shared" si="46"/>
        <v>1.2161907193112562</v>
      </c>
      <c r="AA114" s="46">
        <v>9065</v>
      </c>
      <c r="AB114" s="36">
        <f t="shared" si="40"/>
        <v>824.09090909090912</v>
      </c>
      <c r="AC114" s="36">
        <f t="shared" si="41"/>
        <v>1002.3</v>
      </c>
      <c r="AD114" s="36">
        <f t="shared" si="42"/>
        <v>178.20909090909083</v>
      </c>
      <c r="AE114" s="36">
        <v>-132.19999999999999</v>
      </c>
      <c r="AF114" s="36">
        <f t="shared" si="43"/>
        <v>870.1</v>
      </c>
      <c r="AG114" s="36"/>
      <c r="AH114" s="36">
        <f t="shared" si="44"/>
        <v>870.1</v>
      </c>
      <c r="AI114" s="36"/>
      <c r="AJ114" s="36">
        <f t="shared" si="45"/>
        <v>870.1</v>
      </c>
      <c r="AK114" s="9"/>
      <c r="AL114" s="9"/>
      <c r="AM114" s="9"/>
      <c r="AN114" s="9"/>
      <c r="AO114" s="9"/>
      <c r="AP114" s="9"/>
      <c r="AQ114" s="9"/>
      <c r="AR114" s="10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0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10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10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10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10"/>
      <c r="GC114" s="9"/>
      <c r="GD114" s="9"/>
    </row>
    <row r="115" spans="1:186" s="2" customFormat="1" ht="16.95" customHeight="1">
      <c r="A115" s="14" t="s">
        <v>114</v>
      </c>
      <c r="B115" s="36">
        <v>0</v>
      </c>
      <c r="C115" s="36">
        <v>0</v>
      </c>
      <c r="D115" s="4">
        <f t="shared" si="36"/>
        <v>0</v>
      </c>
      <c r="E115" s="11">
        <v>0</v>
      </c>
      <c r="F115" s="5" t="s">
        <v>370</v>
      </c>
      <c r="G115" s="5" t="s">
        <v>370</v>
      </c>
      <c r="H115" s="5" t="s">
        <v>370</v>
      </c>
      <c r="I115" s="5" t="s">
        <v>370</v>
      </c>
      <c r="J115" s="5" t="s">
        <v>370</v>
      </c>
      <c r="K115" s="5" t="s">
        <v>370</v>
      </c>
      <c r="L115" s="5" t="s">
        <v>370</v>
      </c>
      <c r="M115" s="5" t="s">
        <v>370</v>
      </c>
      <c r="N115" s="36">
        <v>1612.5</v>
      </c>
      <c r="O115" s="36">
        <v>2015.1</v>
      </c>
      <c r="P115" s="4">
        <f t="shared" si="37"/>
        <v>1.204967441860465</v>
      </c>
      <c r="Q115" s="11">
        <v>20</v>
      </c>
      <c r="R115" s="36">
        <v>0</v>
      </c>
      <c r="S115" s="36">
        <v>0</v>
      </c>
      <c r="T115" s="4">
        <f t="shared" si="38"/>
        <v>0</v>
      </c>
      <c r="U115" s="11">
        <v>0</v>
      </c>
      <c r="V115" s="36">
        <v>0</v>
      </c>
      <c r="W115" s="36">
        <v>0</v>
      </c>
      <c r="X115" s="4">
        <f t="shared" si="39"/>
        <v>0</v>
      </c>
      <c r="Y115" s="11">
        <v>0</v>
      </c>
      <c r="Z115" s="45">
        <f t="shared" si="46"/>
        <v>1.204967441860465</v>
      </c>
      <c r="AA115" s="46">
        <v>0</v>
      </c>
      <c r="AB115" s="36">
        <f t="shared" si="40"/>
        <v>0</v>
      </c>
      <c r="AC115" s="36">
        <f t="shared" si="41"/>
        <v>0</v>
      </c>
      <c r="AD115" s="36">
        <f t="shared" si="42"/>
        <v>0</v>
      </c>
      <c r="AE115" s="36">
        <v>0</v>
      </c>
      <c r="AF115" s="36">
        <f t="shared" si="43"/>
        <v>0</v>
      </c>
      <c r="AG115" s="36"/>
      <c r="AH115" s="36">
        <f t="shared" si="44"/>
        <v>0</v>
      </c>
      <c r="AI115" s="36"/>
      <c r="AJ115" s="36">
        <f t="shared" si="45"/>
        <v>0</v>
      </c>
      <c r="AK115" s="9"/>
      <c r="AL115" s="9"/>
      <c r="AM115" s="9"/>
      <c r="AN115" s="9"/>
      <c r="AO115" s="9"/>
      <c r="AP115" s="9"/>
      <c r="AQ115" s="9"/>
      <c r="AR115" s="10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0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10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10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10"/>
      <c r="GC115" s="9"/>
      <c r="GD115" s="9"/>
    </row>
    <row r="116" spans="1:186" s="2" customFormat="1" ht="16.95" customHeight="1">
      <c r="A116" s="14" t="s">
        <v>115</v>
      </c>
      <c r="B116" s="36">
        <v>860200</v>
      </c>
      <c r="C116" s="36">
        <v>862372.1</v>
      </c>
      <c r="D116" s="4">
        <f t="shared" si="36"/>
        <v>1.0025251104394326</v>
      </c>
      <c r="E116" s="11">
        <v>10</v>
      </c>
      <c r="F116" s="5" t="s">
        <v>370</v>
      </c>
      <c r="G116" s="5" t="s">
        <v>370</v>
      </c>
      <c r="H116" s="5" t="s">
        <v>370</v>
      </c>
      <c r="I116" s="5" t="s">
        <v>370</v>
      </c>
      <c r="J116" s="5" t="s">
        <v>370</v>
      </c>
      <c r="K116" s="5" t="s">
        <v>370</v>
      </c>
      <c r="L116" s="5" t="s">
        <v>370</v>
      </c>
      <c r="M116" s="5" t="s">
        <v>370</v>
      </c>
      <c r="N116" s="36">
        <v>9570</v>
      </c>
      <c r="O116" s="36">
        <v>22420.6</v>
      </c>
      <c r="P116" s="4">
        <f t="shared" si="37"/>
        <v>1.3</v>
      </c>
      <c r="Q116" s="11">
        <v>20</v>
      </c>
      <c r="R116" s="36">
        <v>9</v>
      </c>
      <c r="S116" s="36">
        <v>9.1999999999999993</v>
      </c>
      <c r="T116" s="4">
        <f t="shared" si="38"/>
        <v>1.0222222222222221</v>
      </c>
      <c r="U116" s="11">
        <v>30</v>
      </c>
      <c r="V116" s="36">
        <v>0</v>
      </c>
      <c r="W116" s="36">
        <v>0</v>
      </c>
      <c r="X116" s="4">
        <f t="shared" si="39"/>
        <v>1</v>
      </c>
      <c r="Y116" s="11">
        <v>20</v>
      </c>
      <c r="Z116" s="45">
        <f t="shared" si="46"/>
        <v>1.0836489721382623</v>
      </c>
      <c r="AA116" s="46">
        <v>2292</v>
      </c>
      <c r="AB116" s="36">
        <f t="shared" si="40"/>
        <v>208.36363636363637</v>
      </c>
      <c r="AC116" s="36">
        <f t="shared" si="41"/>
        <v>225.8</v>
      </c>
      <c r="AD116" s="36">
        <f t="shared" si="42"/>
        <v>17.436363636363637</v>
      </c>
      <c r="AE116" s="36">
        <v>-15.1</v>
      </c>
      <c r="AF116" s="36">
        <f t="shared" si="43"/>
        <v>210.7</v>
      </c>
      <c r="AG116" s="36">
        <f>MIN(AF116,104.2)</f>
        <v>104.2</v>
      </c>
      <c r="AH116" s="36">
        <f t="shared" si="44"/>
        <v>106.5</v>
      </c>
      <c r="AI116" s="36"/>
      <c r="AJ116" s="36">
        <f t="shared" si="45"/>
        <v>106.5</v>
      </c>
      <c r="AK116" s="9"/>
      <c r="AL116" s="9"/>
      <c r="AM116" s="9"/>
      <c r="AN116" s="9"/>
      <c r="AO116" s="9"/>
      <c r="AP116" s="9"/>
      <c r="AQ116" s="9"/>
      <c r="AR116" s="10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0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0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10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10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10"/>
      <c r="GC116" s="9"/>
      <c r="GD116" s="9"/>
    </row>
    <row r="117" spans="1:186" s="2" customFormat="1" ht="16.95" customHeight="1">
      <c r="A117" s="14" t="s">
        <v>116</v>
      </c>
      <c r="B117" s="36">
        <v>3750</v>
      </c>
      <c r="C117" s="36">
        <v>5907</v>
      </c>
      <c r="D117" s="4">
        <f t="shared" si="36"/>
        <v>1.23752</v>
      </c>
      <c r="E117" s="11">
        <v>10</v>
      </c>
      <c r="F117" s="5" t="s">
        <v>370</v>
      </c>
      <c r="G117" s="5" t="s">
        <v>370</v>
      </c>
      <c r="H117" s="5" t="s">
        <v>370</v>
      </c>
      <c r="I117" s="5" t="s">
        <v>370</v>
      </c>
      <c r="J117" s="5" t="s">
        <v>370</v>
      </c>
      <c r="K117" s="5" t="s">
        <v>370</v>
      </c>
      <c r="L117" s="5" t="s">
        <v>370</v>
      </c>
      <c r="M117" s="5" t="s">
        <v>370</v>
      </c>
      <c r="N117" s="36">
        <v>719</v>
      </c>
      <c r="O117" s="36">
        <v>348.1</v>
      </c>
      <c r="P117" s="4">
        <f t="shared" si="37"/>
        <v>0.48414464534075108</v>
      </c>
      <c r="Q117" s="11">
        <v>20</v>
      </c>
      <c r="R117" s="36">
        <v>4</v>
      </c>
      <c r="S117" s="36">
        <v>4.0999999999999996</v>
      </c>
      <c r="T117" s="4">
        <f t="shared" si="38"/>
        <v>1.0249999999999999</v>
      </c>
      <c r="U117" s="11">
        <v>25</v>
      </c>
      <c r="V117" s="36">
        <v>0.2</v>
      </c>
      <c r="W117" s="36">
        <v>2.2000000000000002</v>
      </c>
      <c r="X117" s="4">
        <f t="shared" si="39"/>
        <v>1.3</v>
      </c>
      <c r="Y117" s="11">
        <v>25</v>
      </c>
      <c r="Z117" s="45">
        <f t="shared" si="46"/>
        <v>1.0022886613351878</v>
      </c>
      <c r="AA117" s="46">
        <v>5209</v>
      </c>
      <c r="AB117" s="36">
        <f t="shared" si="40"/>
        <v>473.54545454545456</v>
      </c>
      <c r="AC117" s="36">
        <f t="shared" si="41"/>
        <v>474.6</v>
      </c>
      <c r="AD117" s="36">
        <f t="shared" si="42"/>
        <v>1.0545454545454618</v>
      </c>
      <c r="AE117" s="36">
        <v>0</v>
      </c>
      <c r="AF117" s="36">
        <f t="shared" si="43"/>
        <v>474.6</v>
      </c>
      <c r="AG117" s="36"/>
      <c r="AH117" s="36">
        <f t="shared" si="44"/>
        <v>474.6</v>
      </c>
      <c r="AI117" s="36"/>
      <c r="AJ117" s="36">
        <f t="shared" si="45"/>
        <v>474.6</v>
      </c>
      <c r="AK117" s="9"/>
      <c r="AL117" s="9"/>
      <c r="AM117" s="9"/>
      <c r="AN117" s="9"/>
      <c r="AO117" s="9"/>
      <c r="AP117" s="9"/>
      <c r="AQ117" s="9"/>
      <c r="AR117" s="10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0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10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10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10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10"/>
      <c r="GC117" s="9"/>
      <c r="GD117" s="9"/>
    </row>
    <row r="118" spans="1:186" s="2" customFormat="1" ht="16.95" customHeight="1">
      <c r="A118" s="14" t="s">
        <v>117</v>
      </c>
      <c r="B118" s="36">
        <v>4100</v>
      </c>
      <c r="C118" s="36">
        <v>4176.5</v>
      </c>
      <c r="D118" s="4">
        <f t="shared" si="36"/>
        <v>1.0186585365853658</v>
      </c>
      <c r="E118" s="11">
        <v>10</v>
      </c>
      <c r="F118" s="5" t="s">
        <v>370</v>
      </c>
      <c r="G118" s="5" t="s">
        <v>370</v>
      </c>
      <c r="H118" s="5" t="s">
        <v>370</v>
      </c>
      <c r="I118" s="5" t="s">
        <v>370</v>
      </c>
      <c r="J118" s="5" t="s">
        <v>370</v>
      </c>
      <c r="K118" s="5" t="s">
        <v>370</v>
      </c>
      <c r="L118" s="5" t="s">
        <v>370</v>
      </c>
      <c r="M118" s="5" t="s">
        <v>370</v>
      </c>
      <c r="N118" s="36">
        <v>82</v>
      </c>
      <c r="O118" s="36">
        <v>84.2</v>
      </c>
      <c r="P118" s="4">
        <f t="shared" si="37"/>
        <v>1.026829268292683</v>
      </c>
      <c r="Q118" s="11">
        <v>20</v>
      </c>
      <c r="R118" s="36">
        <v>5</v>
      </c>
      <c r="S118" s="36">
        <v>5.0999999999999996</v>
      </c>
      <c r="T118" s="4">
        <f t="shared" si="38"/>
        <v>1.02</v>
      </c>
      <c r="U118" s="11">
        <v>30</v>
      </c>
      <c r="V118" s="36">
        <v>0.6</v>
      </c>
      <c r="W118" s="36">
        <v>0.6</v>
      </c>
      <c r="X118" s="4">
        <f t="shared" si="39"/>
        <v>1</v>
      </c>
      <c r="Y118" s="11">
        <v>20</v>
      </c>
      <c r="Z118" s="45">
        <f t="shared" si="46"/>
        <v>1.0165396341463415</v>
      </c>
      <c r="AA118" s="46">
        <v>5014</v>
      </c>
      <c r="AB118" s="36">
        <f t="shared" si="40"/>
        <v>455.81818181818181</v>
      </c>
      <c r="AC118" s="36">
        <f t="shared" si="41"/>
        <v>463.4</v>
      </c>
      <c r="AD118" s="36">
        <f t="shared" si="42"/>
        <v>7.5818181818181642</v>
      </c>
      <c r="AE118" s="36">
        <v>-8.1</v>
      </c>
      <c r="AF118" s="36">
        <f t="shared" si="43"/>
        <v>455.3</v>
      </c>
      <c r="AG118" s="36">
        <f>MIN(AF118,33.3)</f>
        <v>33.299999999999997</v>
      </c>
      <c r="AH118" s="36">
        <f t="shared" si="44"/>
        <v>422</v>
      </c>
      <c r="AI118" s="36"/>
      <c r="AJ118" s="36">
        <f t="shared" si="45"/>
        <v>422</v>
      </c>
      <c r="AK118" s="9"/>
      <c r="AL118" s="9"/>
      <c r="AM118" s="9"/>
      <c r="AN118" s="9"/>
      <c r="AO118" s="9"/>
      <c r="AP118" s="9"/>
      <c r="AQ118" s="9"/>
      <c r="AR118" s="10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0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10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10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10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10"/>
      <c r="GC118" s="9"/>
      <c r="GD118" s="9"/>
    </row>
    <row r="119" spans="1:186" s="2" customFormat="1" ht="16.95" customHeight="1">
      <c r="A119" s="14" t="s">
        <v>118</v>
      </c>
      <c r="B119" s="36">
        <v>0</v>
      </c>
      <c r="C119" s="36">
        <v>0</v>
      </c>
      <c r="D119" s="4">
        <f t="shared" si="36"/>
        <v>0</v>
      </c>
      <c r="E119" s="11">
        <v>0</v>
      </c>
      <c r="F119" s="5" t="s">
        <v>370</v>
      </c>
      <c r="G119" s="5" t="s">
        <v>370</v>
      </c>
      <c r="H119" s="5" t="s">
        <v>370</v>
      </c>
      <c r="I119" s="5" t="s">
        <v>370</v>
      </c>
      <c r="J119" s="5" t="s">
        <v>370</v>
      </c>
      <c r="K119" s="5" t="s">
        <v>370</v>
      </c>
      <c r="L119" s="5" t="s">
        <v>370</v>
      </c>
      <c r="M119" s="5" t="s">
        <v>370</v>
      </c>
      <c r="N119" s="36">
        <v>350.1</v>
      </c>
      <c r="O119" s="36">
        <v>505.9</v>
      </c>
      <c r="P119" s="4">
        <f t="shared" si="37"/>
        <v>1.22450157097972</v>
      </c>
      <c r="Q119" s="11">
        <v>20</v>
      </c>
      <c r="R119" s="36">
        <v>3.5</v>
      </c>
      <c r="S119" s="36">
        <v>3.8</v>
      </c>
      <c r="T119" s="4">
        <f t="shared" si="38"/>
        <v>1.0857142857142856</v>
      </c>
      <c r="U119" s="11">
        <v>30</v>
      </c>
      <c r="V119" s="36">
        <v>7</v>
      </c>
      <c r="W119" s="36">
        <v>7.1</v>
      </c>
      <c r="X119" s="4">
        <f t="shared" si="39"/>
        <v>1.0142857142857142</v>
      </c>
      <c r="Y119" s="11">
        <v>20</v>
      </c>
      <c r="Z119" s="45">
        <f t="shared" si="46"/>
        <v>1.1049596325248181</v>
      </c>
      <c r="AA119" s="46">
        <v>3063</v>
      </c>
      <c r="AB119" s="36">
        <f t="shared" si="40"/>
        <v>278.45454545454544</v>
      </c>
      <c r="AC119" s="36">
        <f t="shared" si="41"/>
        <v>307.7</v>
      </c>
      <c r="AD119" s="36">
        <f t="shared" si="42"/>
        <v>29.24545454545455</v>
      </c>
      <c r="AE119" s="36">
        <v>3.4</v>
      </c>
      <c r="AF119" s="36">
        <f t="shared" si="43"/>
        <v>311.10000000000002</v>
      </c>
      <c r="AG119" s="36">
        <f>MIN(AF119,139.2)</f>
        <v>139.19999999999999</v>
      </c>
      <c r="AH119" s="36">
        <f t="shared" si="44"/>
        <v>171.9</v>
      </c>
      <c r="AI119" s="36"/>
      <c r="AJ119" s="36">
        <f t="shared" si="45"/>
        <v>171.9</v>
      </c>
      <c r="AK119" s="9"/>
      <c r="AL119" s="9"/>
      <c r="AM119" s="9"/>
      <c r="AN119" s="9"/>
      <c r="AO119" s="9"/>
      <c r="AP119" s="9"/>
      <c r="AQ119" s="9"/>
      <c r="AR119" s="10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0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10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10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10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10"/>
      <c r="GC119" s="9"/>
      <c r="GD119" s="9"/>
    </row>
    <row r="120" spans="1:186" s="2" customFormat="1" ht="16.95" customHeight="1">
      <c r="A120" s="14" t="s">
        <v>119</v>
      </c>
      <c r="B120" s="36">
        <v>0</v>
      </c>
      <c r="C120" s="36">
        <v>1381</v>
      </c>
      <c r="D120" s="4">
        <f t="shared" si="36"/>
        <v>0</v>
      </c>
      <c r="E120" s="11">
        <v>0</v>
      </c>
      <c r="F120" s="5" t="s">
        <v>370</v>
      </c>
      <c r="G120" s="5" t="s">
        <v>370</v>
      </c>
      <c r="H120" s="5" t="s">
        <v>370</v>
      </c>
      <c r="I120" s="5" t="s">
        <v>370</v>
      </c>
      <c r="J120" s="5" t="s">
        <v>370</v>
      </c>
      <c r="K120" s="5" t="s">
        <v>370</v>
      </c>
      <c r="L120" s="5" t="s">
        <v>370</v>
      </c>
      <c r="M120" s="5" t="s">
        <v>370</v>
      </c>
      <c r="N120" s="36">
        <v>2665</v>
      </c>
      <c r="O120" s="36">
        <v>1591.8</v>
      </c>
      <c r="P120" s="4">
        <f t="shared" si="37"/>
        <v>0.59729831144465284</v>
      </c>
      <c r="Q120" s="11">
        <v>20</v>
      </c>
      <c r="R120" s="36">
        <v>52</v>
      </c>
      <c r="S120" s="36">
        <v>52.2</v>
      </c>
      <c r="T120" s="4">
        <f t="shared" si="38"/>
        <v>1.0038461538461538</v>
      </c>
      <c r="U120" s="11">
        <v>5</v>
      </c>
      <c r="V120" s="36">
        <v>7</v>
      </c>
      <c r="W120" s="36">
        <v>4.3</v>
      </c>
      <c r="X120" s="4">
        <f t="shared" si="39"/>
        <v>0.61428571428571421</v>
      </c>
      <c r="Y120" s="11">
        <v>45</v>
      </c>
      <c r="Z120" s="45">
        <f t="shared" si="46"/>
        <v>0.63725791629972817</v>
      </c>
      <c r="AA120" s="46">
        <v>2330</v>
      </c>
      <c r="AB120" s="36">
        <f t="shared" si="40"/>
        <v>211.81818181818181</v>
      </c>
      <c r="AC120" s="36">
        <f t="shared" si="41"/>
        <v>135</v>
      </c>
      <c r="AD120" s="36">
        <f t="shared" si="42"/>
        <v>-76.818181818181813</v>
      </c>
      <c r="AE120" s="36">
        <v>-6.5</v>
      </c>
      <c r="AF120" s="36">
        <f t="shared" si="43"/>
        <v>128.5</v>
      </c>
      <c r="AG120" s="36">
        <f>MIN(AF120,105.9)</f>
        <v>105.9</v>
      </c>
      <c r="AH120" s="36">
        <f t="shared" si="44"/>
        <v>22.6</v>
      </c>
      <c r="AI120" s="36"/>
      <c r="AJ120" s="36">
        <f t="shared" si="45"/>
        <v>22.6</v>
      </c>
      <c r="AK120" s="9"/>
      <c r="AL120" s="9"/>
      <c r="AM120" s="9"/>
      <c r="AN120" s="9"/>
      <c r="AO120" s="9"/>
      <c r="AP120" s="9"/>
      <c r="AQ120" s="9"/>
      <c r="AR120" s="10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0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10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10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10"/>
      <c r="GC120" s="9"/>
      <c r="GD120" s="9"/>
    </row>
    <row r="121" spans="1:186" s="2" customFormat="1" ht="16.95" customHeight="1">
      <c r="A121" s="18" t="s">
        <v>120</v>
      </c>
      <c r="B121" s="6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9"/>
      <c r="AL121" s="9"/>
      <c r="AM121" s="9"/>
      <c r="AN121" s="9"/>
      <c r="AO121" s="9"/>
      <c r="AP121" s="9"/>
      <c r="AQ121" s="9"/>
      <c r="AR121" s="10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0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10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10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10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10"/>
      <c r="GC121" s="9"/>
      <c r="GD121" s="9"/>
    </row>
    <row r="122" spans="1:186" s="2" customFormat="1" ht="16.95" customHeight="1">
      <c r="A122" s="14" t="s">
        <v>121</v>
      </c>
      <c r="B122" s="36">
        <v>260</v>
      </c>
      <c r="C122" s="36">
        <v>292.89999999999998</v>
      </c>
      <c r="D122" s="4">
        <f t="shared" si="36"/>
        <v>1.1265384615384615</v>
      </c>
      <c r="E122" s="11">
        <v>10</v>
      </c>
      <c r="F122" s="5" t="s">
        <v>370</v>
      </c>
      <c r="G122" s="5" t="s">
        <v>370</v>
      </c>
      <c r="H122" s="5" t="s">
        <v>370</v>
      </c>
      <c r="I122" s="5" t="s">
        <v>370</v>
      </c>
      <c r="J122" s="5" t="s">
        <v>370</v>
      </c>
      <c r="K122" s="5" t="s">
        <v>370</v>
      </c>
      <c r="L122" s="5" t="s">
        <v>370</v>
      </c>
      <c r="M122" s="5" t="s">
        <v>370</v>
      </c>
      <c r="N122" s="36">
        <v>213.1</v>
      </c>
      <c r="O122" s="36">
        <v>21.9</v>
      </c>
      <c r="P122" s="4">
        <f t="shared" si="37"/>
        <v>0.1027686532144533</v>
      </c>
      <c r="Q122" s="11">
        <v>20</v>
      </c>
      <c r="R122" s="36">
        <v>3</v>
      </c>
      <c r="S122" s="36">
        <v>6</v>
      </c>
      <c r="T122" s="4">
        <f t="shared" si="38"/>
        <v>1.28</v>
      </c>
      <c r="U122" s="11">
        <v>25</v>
      </c>
      <c r="V122" s="36">
        <v>1</v>
      </c>
      <c r="W122" s="36">
        <v>2</v>
      </c>
      <c r="X122" s="4">
        <f t="shared" si="39"/>
        <v>1.28</v>
      </c>
      <c r="Y122" s="11">
        <v>25</v>
      </c>
      <c r="Z122" s="45">
        <f t="shared" si="46"/>
        <v>0.96650947099592099</v>
      </c>
      <c r="AA122" s="46">
        <v>895</v>
      </c>
      <c r="AB122" s="36">
        <f t="shared" si="40"/>
        <v>81.36363636363636</v>
      </c>
      <c r="AC122" s="36">
        <f t="shared" si="41"/>
        <v>78.599999999999994</v>
      </c>
      <c r="AD122" s="36">
        <f t="shared" si="42"/>
        <v>-2.7636363636363654</v>
      </c>
      <c r="AE122" s="36">
        <v>-0.1</v>
      </c>
      <c r="AF122" s="36">
        <f t="shared" si="43"/>
        <v>78.5</v>
      </c>
      <c r="AG122" s="36"/>
      <c r="AH122" s="36">
        <f t="shared" si="44"/>
        <v>78.5</v>
      </c>
      <c r="AI122" s="36"/>
      <c r="AJ122" s="36">
        <f t="shared" si="45"/>
        <v>78.5</v>
      </c>
      <c r="AK122" s="9"/>
      <c r="AL122" s="9"/>
      <c r="AM122" s="9"/>
      <c r="AN122" s="9"/>
      <c r="AO122" s="9"/>
      <c r="AP122" s="9"/>
      <c r="AQ122" s="9"/>
      <c r="AR122" s="10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0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10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10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10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10"/>
      <c r="GC122" s="9"/>
      <c r="GD122" s="9"/>
    </row>
    <row r="123" spans="1:186" s="2" customFormat="1" ht="16.95" customHeight="1">
      <c r="A123" s="14" t="s">
        <v>122</v>
      </c>
      <c r="B123" s="36">
        <v>7700</v>
      </c>
      <c r="C123" s="36">
        <v>12174.8</v>
      </c>
      <c r="D123" s="4">
        <f t="shared" si="36"/>
        <v>1.2381142857142857</v>
      </c>
      <c r="E123" s="11">
        <v>10</v>
      </c>
      <c r="F123" s="5" t="s">
        <v>370</v>
      </c>
      <c r="G123" s="5" t="s">
        <v>370</v>
      </c>
      <c r="H123" s="5" t="s">
        <v>370</v>
      </c>
      <c r="I123" s="5" t="s">
        <v>370</v>
      </c>
      <c r="J123" s="5" t="s">
        <v>370</v>
      </c>
      <c r="K123" s="5" t="s">
        <v>370</v>
      </c>
      <c r="L123" s="5" t="s">
        <v>370</v>
      </c>
      <c r="M123" s="5" t="s">
        <v>370</v>
      </c>
      <c r="N123" s="36">
        <v>1019.8</v>
      </c>
      <c r="O123" s="36">
        <v>516.6</v>
      </c>
      <c r="P123" s="4">
        <f t="shared" si="37"/>
        <v>0.50656991566973919</v>
      </c>
      <c r="Q123" s="11">
        <v>20</v>
      </c>
      <c r="R123" s="36">
        <v>6</v>
      </c>
      <c r="S123" s="36">
        <v>2.1</v>
      </c>
      <c r="T123" s="4">
        <f t="shared" si="38"/>
        <v>0.35000000000000003</v>
      </c>
      <c r="U123" s="11">
        <v>30</v>
      </c>
      <c r="V123" s="36">
        <v>2</v>
      </c>
      <c r="W123" s="36">
        <v>1.8</v>
      </c>
      <c r="X123" s="4">
        <f t="shared" si="39"/>
        <v>0.9</v>
      </c>
      <c r="Y123" s="11">
        <v>20</v>
      </c>
      <c r="Z123" s="45">
        <f t="shared" si="46"/>
        <v>0.6376567646317205</v>
      </c>
      <c r="AA123" s="46">
        <v>1982</v>
      </c>
      <c r="AB123" s="36">
        <f t="shared" si="40"/>
        <v>180.18181818181819</v>
      </c>
      <c r="AC123" s="36">
        <f t="shared" si="41"/>
        <v>114.9</v>
      </c>
      <c r="AD123" s="36">
        <f t="shared" si="42"/>
        <v>-65.281818181818181</v>
      </c>
      <c r="AE123" s="36">
        <v>9.4</v>
      </c>
      <c r="AF123" s="36">
        <f t="shared" si="43"/>
        <v>124.3</v>
      </c>
      <c r="AG123" s="36">
        <f>MIN(AF123,41.5)</f>
        <v>41.5</v>
      </c>
      <c r="AH123" s="36">
        <f t="shared" si="44"/>
        <v>82.8</v>
      </c>
      <c r="AI123" s="36"/>
      <c r="AJ123" s="36">
        <f t="shared" si="45"/>
        <v>82.8</v>
      </c>
      <c r="AK123" s="9"/>
      <c r="AL123" s="9"/>
      <c r="AM123" s="9"/>
      <c r="AN123" s="9"/>
      <c r="AO123" s="9"/>
      <c r="AP123" s="9"/>
      <c r="AQ123" s="9"/>
      <c r="AR123" s="10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0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10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10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10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10"/>
      <c r="GC123" s="9"/>
      <c r="GD123" s="9"/>
    </row>
    <row r="124" spans="1:186" s="2" customFormat="1" ht="16.95" customHeight="1">
      <c r="A124" s="14" t="s">
        <v>123</v>
      </c>
      <c r="B124" s="36">
        <v>26</v>
      </c>
      <c r="C124" s="36">
        <v>21.9</v>
      </c>
      <c r="D124" s="4">
        <f t="shared" si="36"/>
        <v>0.8423076923076922</v>
      </c>
      <c r="E124" s="11">
        <v>10</v>
      </c>
      <c r="F124" s="5" t="s">
        <v>370</v>
      </c>
      <c r="G124" s="5" t="s">
        <v>370</v>
      </c>
      <c r="H124" s="5" t="s">
        <v>370</v>
      </c>
      <c r="I124" s="5" t="s">
        <v>370</v>
      </c>
      <c r="J124" s="5" t="s">
        <v>370</v>
      </c>
      <c r="K124" s="5" t="s">
        <v>370</v>
      </c>
      <c r="L124" s="5" t="s">
        <v>370</v>
      </c>
      <c r="M124" s="5" t="s">
        <v>370</v>
      </c>
      <c r="N124" s="36">
        <v>67.2</v>
      </c>
      <c r="O124" s="36">
        <v>105.8</v>
      </c>
      <c r="P124" s="4">
        <f t="shared" si="37"/>
        <v>1.2374404761904763</v>
      </c>
      <c r="Q124" s="11">
        <v>20</v>
      </c>
      <c r="R124" s="36">
        <v>19</v>
      </c>
      <c r="S124" s="36">
        <v>22.1</v>
      </c>
      <c r="T124" s="4">
        <f t="shared" si="38"/>
        <v>1.1631578947368422</v>
      </c>
      <c r="U124" s="11">
        <v>15</v>
      </c>
      <c r="V124" s="36">
        <v>2</v>
      </c>
      <c r="W124" s="36">
        <v>0</v>
      </c>
      <c r="X124" s="4">
        <f t="shared" si="39"/>
        <v>0</v>
      </c>
      <c r="Y124" s="11">
        <v>35</v>
      </c>
      <c r="Z124" s="45">
        <f t="shared" si="46"/>
        <v>0.63274068584923848</v>
      </c>
      <c r="AA124" s="46">
        <v>1209</v>
      </c>
      <c r="AB124" s="36">
        <f t="shared" si="40"/>
        <v>109.90909090909091</v>
      </c>
      <c r="AC124" s="36">
        <f t="shared" si="41"/>
        <v>69.5</v>
      </c>
      <c r="AD124" s="36">
        <f t="shared" si="42"/>
        <v>-40.409090909090907</v>
      </c>
      <c r="AE124" s="36">
        <v>-1</v>
      </c>
      <c r="AF124" s="36">
        <f t="shared" si="43"/>
        <v>68.5</v>
      </c>
      <c r="AG124" s="36"/>
      <c r="AH124" s="36">
        <f t="shared" si="44"/>
        <v>68.5</v>
      </c>
      <c r="AI124" s="36"/>
      <c r="AJ124" s="36">
        <f t="shared" si="45"/>
        <v>68.5</v>
      </c>
      <c r="AK124" s="9"/>
      <c r="AL124" s="9"/>
      <c r="AM124" s="9"/>
      <c r="AN124" s="9"/>
      <c r="AO124" s="9"/>
      <c r="AP124" s="9"/>
      <c r="AQ124" s="9"/>
      <c r="AR124" s="10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0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10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10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10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10"/>
      <c r="GC124" s="9"/>
      <c r="GD124" s="9"/>
    </row>
    <row r="125" spans="1:186" s="2" customFormat="1" ht="16.95" customHeight="1">
      <c r="A125" s="14" t="s">
        <v>124</v>
      </c>
      <c r="B125" s="36">
        <v>300</v>
      </c>
      <c r="C125" s="36">
        <v>275.7</v>
      </c>
      <c r="D125" s="4">
        <f t="shared" si="36"/>
        <v>0.91899999999999993</v>
      </c>
      <c r="E125" s="11">
        <v>10</v>
      </c>
      <c r="F125" s="5" t="s">
        <v>370</v>
      </c>
      <c r="G125" s="5" t="s">
        <v>370</v>
      </c>
      <c r="H125" s="5" t="s">
        <v>370</v>
      </c>
      <c r="I125" s="5" t="s">
        <v>370</v>
      </c>
      <c r="J125" s="5" t="s">
        <v>370</v>
      </c>
      <c r="K125" s="5" t="s">
        <v>370</v>
      </c>
      <c r="L125" s="5" t="s">
        <v>370</v>
      </c>
      <c r="M125" s="5" t="s">
        <v>370</v>
      </c>
      <c r="N125" s="36">
        <v>220.3</v>
      </c>
      <c r="O125" s="36">
        <v>39.200000000000003</v>
      </c>
      <c r="P125" s="4">
        <f t="shared" si="37"/>
        <v>0.17793917385383567</v>
      </c>
      <c r="Q125" s="11">
        <v>20</v>
      </c>
      <c r="R125" s="36">
        <v>77</v>
      </c>
      <c r="S125" s="36">
        <v>89</v>
      </c>
      <c r="T125" s="4">
        <f t="shared" si="38"/>
        <v>1.1558441558441559</v>
      </c>
      <c r="U125" s="11">
        <v>30</v>
      </c>
      <c r="V125" s="36">
        <v>2</v>
      </c>
      <c r="W125" s="36">
        <v>2.2999999999999998</v>
      </c>
      <c r="X125" s="4">
        <f t="shared" si="39"/>
        <v>1.1499999999999999</v>
      </c>
      <c r="Y125" s="11">
        <v>20</v>
      </c>
      <c r="Z125" s="45">
        <f t="shared" si="46"/>
        <v>0.88030135190501735</v>
      </c>
      <c r="AA125" s="46">
        <v>1595</v>
      </c>
      <c r="AB125" s="36">
        <f t="shared" si="40"/>
        <v>145</v>
      </c>
      <c r="AC125" s="36">
        <f t="shared" si="41"/>
        <v>127.6</v>
      </c>
      <c r="AD125" s="36">
        <f t="shared" si="42"/>
        <v>-17.400000000000006</v>
      </c>
      <c r="AE125" s="36">
        <v>-2.7</v>
      </c>
      <c r="AF125" s="36">
        <f t="shared" si="43"/>
        <v>124.9</v>
      </c>
      <c r="AG125" s="36"/>
      <c r="AH125" s="36">
        <f t="shared" si="44"/>
        <v>124.9</v>
      </c>
      <c r="AI125" s="36"/>
      <c r="AJ125" s="36">
        <f t="shared" si="45"/>
        <v>124.9</v>
      </c>
      <c r="AK125" s="9"/>
      <c r="AL125" s="9"/>
      <c r="AM125" s="9"/>
      <c r="AN125" s="9"/>
      <c r="AO125" s="9"/>
      <c r="AP125" s="9"/>
      <c r="AQ125" s="9"/>
      <c r="AR125" s="10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0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10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10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10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10"/>
      <c r="GC125" s="9"/>
      <c r="GD125" s="9"/>
    </row>
    <row r="126" spans="1:186" s="2" customFormat="1" ht="16.95" customHeight="1">
      <c r="A126" s="14" t="s">
        <v>125</v>
      </c>
      <c r="B126" s="36">
        <v>380</v>
      </c>
      <c r="C126" s="36">
        <v>395.9</v>
      </c>
      <c r="D126" s="4">
        <f t="shared" si="36"/>
        <v>1.0418421052631579</v>
      </c>
      <c r="E126" s="11">
        <v>10</v>
      </c>
      <c r="F126" s="5" t="s">
        <v>370</v>
      </c>
      <c r="G126" s="5" t="s">
        <v>370</v>
      </c>
      <c r="H126" s="5" t="s">
        <v>370</v>
      </c>
      <c r="I126" s="5" t="s">
        <v>370</v>
      </c>
      <c r="J126" s="5" t="s">
        <v>370</v>
      </c>
      <c r="K126" s="5" t="s">
        <v>370</v>
      </c>
      <c r="L126" s="5" t="s">
        <v>370</v>
      </c>
      <c r="M126" s="5" t="s">
        <v>370</v>
      </c>
      <c r="N126" s="36">
        <v>351.5</v>
      </c>
      <c r="O126" s="36">
        <v>118</v>
      </c>
      <c r="P126" s="4">
        <f t="shared" si="37"/>
        <v>0.3357041251778094</v>
      </c>
      <c r="Q126" s="11">
        <v>20</v>
      </c>
      <c r="R126" s="36">
        <v>5</v>
      </c>
      <c r="S126" s="36">
        <v>10.7</v>
      </c>
      <c r="T126" s="4">
        <f t="shared" si="38"/>
        <v>1.294</v>
      </c>
      <c r="U126" s="11">
        <v>30</v>
      </c>
      <c r="V126" s="36">
        <v>2</v>
      </c>
      <c r="W126" s="36">
        <v>2.4</v>
      </c>
      <c r="X126" s="4">
        <f t="shared" si="39"/>
        <v>1.2</v>
      </c>
      <c r="Y126" s="11">
        <v>20</v>
      </c>
      <c r="Z126" s="45">
        <f t="shared" si="46"/>
        <v>0.99940629445234708</v>
      </c>
      <c r="AA126" s="46">
        <v>1355</v>
      </c>
      <c r="AB126" s="36">
        <f t="shared" si="40"/>
        <v>123.18181818181819</v>
      </c>
      <c r="AC126" s="36">
        <f t="shared" si="41"/>
        <v>123.1</v>
      </c>
      <c r="AD126" s="36">
        <f t="shared" si="42"/>
        <v>-8.181818181819267E-2</v>
      </c>
      <c r="AE126" s="36">
        <v>-0.1</v>
      </c>
      <c r="AF126" s="36">
        <f t="shared" si="43"/>
        <v>123</v>
      </c>
      <c r="AG126" s="36"/>
      <c r="AH126" s="36">
        <f t="shared" si="44"/>
        <v>123</v>
      </c>
      <c r="AI126" s="36"/>
      <c r="AJ126" s="36">
        <f t="shared" si="45"/>
        <v>123</v>
      </c>
      <c r="AK126" s="9"/>
      <c r="AL126" s="9"/>
      <c r="AM126" s="9"/>
      <c r="AN126" s="9"/>
      <c r="AO126" s="9"/>
      <c r="AP126" s="9"/>
      <c r="AQ126" s="9"/>
      <c r="AR126" s="10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10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10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10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10"/>
      <c r="GC126" s="9"/>
      <c r="GD126" s="9"/>
    </row>
    <row r="127" spans="1:186" s="2" customFormat="1" ht="16.95" customHeight="1">
      <c r="A127" s="14" t="s">
        <v>126</v>
      </c>
      <c r="B127" s="36">
        <v>66</v>
      </c>
      <c r="C127" s="36">
        <v>55.1</v>
      </c>
      <c r="D127" s="4">
        <f t="shared" si="36"/>
        <v>0.83484848484848484</v>
      </c>
      <c r="E127" s="11">
        <v>10</v>
      </c>
      <c r="F127" s="5" t="s">
        <v>370</v>
      </c>
      <c r="G127" s="5" t="s">
        <v>370</v>
      </c>
      <c r="H127" s="5" t="s">
        <v>370</v>
      </c>
      <c r="I127" s="5" t="s">
        <v>370</v>
      </c>
      <c r="J127" s="5" t="s">
        <v>370</v>
      </c>
      <c r="K127" s="5" t="s">
        <v>370</v>
      </c>
      <c r="L127" s="5" t="s">
        <v>370</v>
      </c>
      <c r="M127" s="5" t="s">
        <v>370</v>
      </c>
      <c r="N127" s="36">
        <v>120.7</v>
      </c>
      <c r="O127" s="36">
        <v>27.8</v>
      </c>
      <c r="P127" s="4">
        <f t="shared" si="37"/>
        <v>0.23032311516155757</v>
      </c>
      <c r="Q127" s="11">
        <v>20</v>
      </c>
      <c r="R127" s="36">
        <v>24</v>
      </c>
      <c r="S127" s="36">
        <v>25</v>
      </c>
      <c r="T127" s="4">
        <f t="shared" si="38"/>
        <v>1.0416666666666667</v>
      </c>
      <c r="U127" s="11">
        <v>30</v>
      </c>
      <c r="V127" s="36">
        <v>2</v>
      </c>
      <c r="W127" s="36">
        <v>2.2000000000000002</v>
      </c>
      <c r="X127" s="4">
        <f t="shared" si="39"/>
        <v>1.1000000000000001</v>
      </c>
      <c r="Y127" s="11">
        <v>20</v>
      </c>
      <c r="Z127" s="45">
        <f t="shared" si="46"/>
        <v>0.82756183939645001</v>
      </c>
      <c r="AA127" s="46">
        <v>707</v>
      </c>
      <c r="AB127" s="36">
        <f t="shared" si="40"/>
        <v>64.272727272727266</v>
      </c>
      <c r="AC127" s="36">
        <f t="shared" si="41"/>
        <v>53.2</v>
      </c>
      <c r="AD127" s="36">
        <f t="shared" si="42"/>
        <v>-11.072727272727263</v>
      </c>
      <c r="AE127" s="36">
        <v>0</v>
      </c>
      <c r="AF127" s="36">
        <f t="shared" si="43"/>
        <v>53.2</v>
      </c>
      <c r="AG127" s="36">
        <f>MIN(AF127,32.1)</f>
        <v>32.1</v>
      </c>
      <c r="AH127" s="36">
        <f t="shared" si="44"/>
        <v>21.1</v>
      </c>
      <c r="AI127" s="36"/>
      <c r="AJ127" s="36">
        <f t="shared" si="45"/>
        <v>21.1</v>
      </c>
      <c r="AK127" s="9"/>
      <c r="AL127" s="9"/>
      <c r="AM127" s="9"/>
      <c r="AN127" s="9"/>
      <c r="AO127" s="9"/>
      <c r="AP127" s="9"/>
      <c r="AQ127" s="9"/>
      <c r="AR127" s="10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0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10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10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10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10"/>
      <c r="GC127" s="9"/>
      <c r="GD127" s="9"/>
    </row>
    <row r="128" spans="1:186" s="2" customFormat="1" ht="16.95" customHeight="1">
      <c r="A128" s="14" t="s">
        <v>127</v>
      </c>
      <c r="B128" s="36">
        <v>80</v>
      </c>
      <c r="C128" s="36">
        <v>96.7</v>
      </c>
      <c r="D128" s="4">
        <f t="shared" si="36"/>
        <v>1.2008749999999999</v>
      </c>
      <c r="E128" s="11">
        <v>10</v>
      </c>
      <c r="F128" s="5" t="s">
        <v>370</v>
      </c>
      <c r="G128" s="5" t="s">
        <v>370</v>
      </c>
      <c r="H128" s="5" t="s">
        <v>370</v>
      </c>
      <c r="I128" s="5" t="s">
        <v>370</v>
      </c>
      <c r="J128" s="5" t="s">
        <v>370</v>
      </c>
      <c r="K128" s="5" t="s">
        <v>370</v>
      </c>
      <c r="L128" s="5" t="s">
        <v>370</v>
      </c>
      <c r="M128" s="5" t="s">
        <v>370</v>
      </c>
      <c r="N128" s="36">
        <v>306</v>
      </c>
      <c r="O128" s="36">
        <v>104.9</v>
      </c>
      <c r="P128" s="4">
        <f t="shared" si="37"/>
        <v>0.34281045751633987</v>
      </c>
      <c r="Q128" s="11">
        <v>20</v>
      </c>
      <c r="R128" s="36">
        <v>7</v>
      </c>
      <c r="S128" s="36">
        <v>9.5</v>
      </c>
      <c r="T128" s="4">
        <f t="shared" si="38"/>
        <v>1.2157142857142857</v>
      </c>
      <c r="U128" s="11">
        <v>35</v>
      </c>
      <c r="V128" s="36">
        <v>2</v>
      </c>
      <c r="W128" s="36">
        <v>2.1</v>
      </c>
      <c r="X128" s="4">
        <f t="shared" si="39"/>
        <v>1.05</v>
      </c>
      <c r="Y128" s="11">
        <v>15</v>
      </c>
      <c r="Z128" s="45">
        <f t="shared" si="46"/>
        <v>0.96456198937908511</v>
      </c>
      <c r="AA128" s="46">
        <v>1358</v>
      </c>
      <c r="AB128" s="36">
        <f t="shared" si="40"/>
        <v>123.45454545454545</v>
      </c>
      <c r="AC128" s="36">
        <f t="shared" si="41"/>
        <v>119.1</v>
      </c>
      <c r="AD128" s="36">
        <f t="shared" si="42"/>
        <v>-4.3545454545454589</v>
      </c>
      <c r="AE128" s="36">
        <v>-1.4</v>
      </c>
      <c r="AF128" s="36">
        <f t="shared" si="43"/>
        <v>117.7</v>
      </c>
      <c r="AG128" s="36">
        <f>MIN(AF128,20.6)</f>
        <v>20.6</v>
      </c>
      <c r="AH128" s="36">
        <f t="shared" si="44"/>
        <v>97.1</v>
      </c>
      <c r="AI128" s="36"/>
      <c r="AJ128" s="36">
        <f t="shared" si="45"/>
        <v>97.1</v>
      </c>
      <c r="AK128" s="9"/>
      <c r="AL128" s="9"/>
      <c r="AM128" s="9"/>
      <c r="AN128" s="9"/>
      <c r="AO128" s="9"/>
      <c r="AP128" s="9"/>
      <c r="AQ128" s="9"/>
      <c r="AR128" s="10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0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10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10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10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10"/>
      <c r="GC128" s="9"/>
      <c r="GD128" s="9"/>
    </row>
    <row r="129" spans="1:186" s="2" customFormat="1" ht="16.95" customHeight="1">
      <c r="A129" s="18" t="s">
        <v>128</v>
      </c>
      <c r="B129" s="6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9"/>
      <c r="AL129" s="9"/>
      <c r="AM129" s="9"/>
      <c r="AN129" s="9"/>
      <c r="AO129" s="9"/>
      <c r="AP129" s="9"/>
      <c r="AQ129" s="9"/>
      <c r="AR129" s="10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0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10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10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10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</row>
    <row r="130" spans="1:186" s="2" customFormat="1" ht="16.95" customHeight="1">
      <c r="A130" s="14" t="s">
        <v>129</v>
      </c>
      <c r="B130" s="36">
        <v>1109</v>
      </c>
      <c r="C130" s="36">
        <v>1710</v>
      </c>
      <c r="D130" s="4">
        <f t="shared" si="36"/>
        <v>1.2341929666366096</v>
      </c>
      <c r="E130" s="11">
        <v>10</v>
      </c>
      <c r="F130" s="5" t="s">
        <v>370</v>
      </c>
      <c r="G130" s="5" t="s">
        <v>370</v>
      </c>
      <c r="H130" s="5" t="s">
        <v>370</v>
      </c>
      <c r="I130" s="5" t="s">
        <v>370</v>
      </c>
      <c r="J130" s="5" t="s">
        <v>370</v>
      </c>
      <c r="K130" s="5" t="s">
        <v>370</v>
      </c>
      <c r="L130" s="5" t="s">
        <v>370</v>
      </c>
      <c r="M130" s="5" t="s">
        <v>370</v>
      </c>
      <c r="N130" s="36">
        <v>231.1</v>
      </c>
      <c r="O130" s="36">
        <v>192</v>
      </c>
      <c r="P130" s="4">
        <f t="shared" si="37"/>
        <v>0.83080917351795758</v>
      </c>
      <c r="Q130" s="11">
        <v>20</v>
      </c>
      <c r="R130" s="36">
        <v>316</v>
      </c>
      <c r="S130" s="36">
        <v>240.3</v>
      </c>
      <c r="T130" s="4">
        <f t="shared" si="38"/>
        <v>0.7604430379746836</v>
      </c>
      <c r="U130" s="11">
        <v>30</v>
      </c>
      <c r="V130" s="36">
        <v>14</v>
      </c>
      <c r="W130" s="36">
        <v>30.4</v>
      </c>
      <c r="X130" s="4">
        <f t="shared" si="39"/>
        <v>1.2971428571428572</v>
      </c>
      <c r="Y130" s="11">
        <v>20</v>
      </c>
      <c r="Z130" s="45">
        <f t="shared" si="46"/>
        <v>0.97142826773528623</v>
      </c>
      <c r="AA130" s="46">
        <v>1963</v>
      </c>
      <c r="AB130" s="36">
        <f t="shared" si="40"/>
        <v>178.45454545454547</v>
      </c>
      <c r="AC130" s="36">
        <f t="shared" si="41"/>
        <v>173.4</v>
      </c>
      <c r="AD130" s="36">
        <f t="shared" si="42"/>
        <v>-5.0545454545454618</v>
      </c>
      <c r="AE130" s="36">
        <v>0</v>
      </c>
      <c r="AF130" s="36">
        <f t="shared" si="43"/>
        <v>173.4</v>
      </c>
      <c r="AG130" s="36"/>
      <c r="AH130" s="36">
        <f t="shared" si="44"/>
        <v>173.4</v>
      </c>
      <c r="AI130" s="36"/>
      <c r="AJ130" s="36">
        <f t="shared" si="45"/>
        <v>173.4</v>
      </c>
      <c r="AK130" s="9"/>
      <c r="AL130" s="9"/>
      <c r="AM130" s="9"/>
      <c r="AN130" s="9"/>
      <c r="AO130" s="9"/>
      <c r="AP130" s="9"/>
      <c r="AQ130" s="9"/>
      <c r="AR130" s="10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10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10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10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10"/>
      <c r="GC130" s="9"/>
      <c r="GD130" s="9"/>
    </row>
    <row r="131" spans="1:186" s="2" customFormat="1" ht="16.95" customHeight="1">
      <c r="A131" s="14" t="s">
        <v>130</v>
      </c>
      <c r="B131" s="36">
        <v>0</v>
      </c>
      <c r="C131" s="36">
        <v>0</v>
      </c>
      <c r="D131" s="4">
        <f t="shared" si="36"/>
        <v>0</v>
      </c>
      <c r="E131" s="11">
        <v>0</v>
      </c>
      <c r="F131" s="5" t="s">
        <v>370</v>
      </c>
      <c r="G131" s="5" t="s">
        <v>370</v>
      </c>
      <c r="H131" s="5" t="s">
        <v>370</v>
      </c>
      <c r="I131" s="5" t="s">
        <v>370</v>
      </c>
      <c r="J131" s="5" t="s">
        <v>370</v>
      </c>
      <c r="K131" s="5" t="s">
        <v>370</v>
      </c>
      <c r="L131" s="5" t="s">
        <v>370</v>
      </c>
      <c r="M131" s="5" t="s">
        <v>370</v>
      </c>
      <c r="N131" s="36">
        <v>179.4</v>
      </c>
      <c r="O131" s="36">
        <v>30.3</v>
      </c>
      <c r="P131" s="4">
        <f t="shared" si="37"/>
        <v>0.16889632107023411</v>
      </c>
      <c r="Q131" s="11">
        <v>20</v>
      </c>
      <c r="R131" s="36">
        <v>133</v>
      </c>
      <c r="S131" s="36">
        <v>130.4</v>
      </c>
      <c r="T131" s="4">
        <f t="shared" si="38"/>
        <v>0.98045112781954891</v>
      </c>
      <c r="U131" s="11">
        <v>40</v>
      </c>
      <c r="V131" s="36">
        <v>4</v>
      </c>
      <c r="W131" s="36">
        <v>4.2</v>
      </c>
      <c r="X131" s="4">
        <f t="shared" si="39"/>
        <v>1.05</v>
      </c>
      <c r="Y131" s="11">
        <v>10</v>
      </c>
      <c r="Z131" s="45">
        <f t="shared" si="46"/>
        <v>0.75851387905980916</v>
      </c>
      <c r="AA131" s="46">
        <v>2071</v>
      </c>
      <c r="AB131" s="36">
        <f t="shared" si="40"/>
        <v>188.27272727272728</v>
      </c>
      <c r="AC131" s="36">
        <f t="shared" si="41"/>
        <v>142.80000000000001</v>
      </c>
      <c r="AD131" s="36">
        <f t="shared" si="42"/>
        <v>-45.472727272727269</v>
      </c>
      <c r="AE131" s="36">
        <v>-7.4</v>
      </c>
      <c r="AF131" s="36">
        <f t="shared" si="43"/>
        <v>135.4</v>
      </c>
      <c r="AG131" s="36"/>
      <c r="AH131" s="36">
        <f t="shared" si="44"/>
        <v>135.4</v>
      </c>
      <c r="AI131" s="36"/>
      <c r="AJ131" s="36">
        <f t="shared" si="45"/>
        <v>135.4</v>
      </c>
      <c r="AK131" s="9"/>
      <c r="AL131" s="9"/>
      <c r="AM131" s="9"/>
      <c r="AN131" s="9"/>
      <c r="AO131" s="9"/>
      <c r="AP131" s="9"/>
      <c r="AQ131" s="9"/>
      <c r="AR131" s="10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0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10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10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10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10"/>
      <c r="GC131" s="9"/>
      <c r="GD131" s="9"/>
    </row>
    <row r="132" spans="1:186" s="2" customFormat="1" ht="16.95" customHeight="1">
      <c r="A132" s="14" t="s">
        <v>131</v>
      </c>
      <c r="B132" s="36">
        <v>4651</v>
      </c>
      <c r="C132" s="36">
        <v>4197</v>
      </c>
      <c r="D132" s="4">
        <f t="shared" si="36"/>
        <v>0.90238658353042356</v>
      </c>
      <c r="E132" s="11">
        <v>10</v>
      </c>
      <c r="F132" s="5" t="s">
        <v>370</v>
      </c>
      <c r="G132" s="5" t="s">
        <v>370</v>
      </c>
      <c r="H132" s="5" t="s">
        <v>370</v>
      </c>
      <c r="I132" s="5" t="s">
        <v>370</v>
      </c>
      <c r="J132" s="5" t="s">
        <v>370</v>
      </c>
      <c r="K132" s="5" t="s">
        <v>370</v>
      </c>
      <c r="L132" s="5" t="s">
        <v>370</v>
      </c>
      <c r="M132" s="5" t="s">
        <v>370</v>
      </c>
      <c r="N132" s="36">
        <v>628.79999999999995</v>
      </c>
      <c r="O132" s="36">
        <v>710.7</v>
      </c>
      <c r="P132" s="4">
        <f t="shared" si="37"/>
        <v>1.1302480916030535</v>
      </c>
      <c r="Q132" s="11">
        <v>20</v>
      </c>
      <c r="R132" s="36">
        <v>83</v>
      </c>
      <c r="S132" s="36">
        <v>76.099999999999994</v>
      </c>
      <c r="T132" s="4">
        <f t="shared" si="38"/>
        <v>0.91686746987951795</v>
      </c>
      <c r="U132" s="11">
        <v>20</v>
      </c>
      <c r="V132" s="36">
        <v>5</v>
      </c>
      <c r="W132" s="36">
        <v>8.3000000000000007</v>
      </c>
      <c r="X132" s="4">
        <f t="shared" si="39"/>
        <v>1.246</v>
      </c>
      <c r="Y132" s="11">
        <v>30</v>
      </c>
      <c r="Z132" s="45">
        <f t="shared" si="46"/>
        <v>1.0918272133119458</v>
      </c>
      <c r="AA132" s="46">
        <v>4039</v>
      </c>
      <c r="AB132" s="36">
        <f t="shared" si="40"/>
        <v>367.18181818181819</v>
      </c>
      <c r="AC132" s="36">
        <f t="shared" si="41"/>
        <v>400.9</v>
      </c>
      <c r="AD132" s="36">
        <f t="shared" si="42"/>
        <v>33.71818181818179</v>
      </c>
      <c r="AE132" s="36">
        <v>-1.9</v>
      </c>
      <c r="AF132" s="36">
        <f t="shared" si="43"/>
        <v>399</v>
      </c>
      <c r="AG132" s="36"/>
      <c r="AH132" s="36">
        <f t="shared" si="44"/>
        <v>399</v>
      </c>
      <c r="AI132" s="36"/>
      <c r="AJ132" s="36">
        <f t="shared" si="45"/>
        <v>399</v>
      </c>
      <c r="AK132" s="9"/>
      <c r="AL132" s="9"/>
      <c r="AM132" s="9"/>
      <c r="AN132" s="9"/>
      <c r="AO132" s="9"/>
      <c r="AP132" s="9"/>
      <c r="AQ132" s="9"/>
      <c r="AR132" s="10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0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10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10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10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10"/>
      <c r="GC132" s="9"/>
      <c r="GD132" s="9"/>
    </row>
    <row r="133" spans="1:186" s="2" customFormat="1" ht="16.95" customHeight="1">
      <c r="A133" s="14" t="s">
        <v>132</v>
      </c>
      <c r="B133" s="36">
        <v>0</v>
      </c>
      <c r="C133" s="36">
        <v>0</v>
      </c>
      <c r="D133" s="4">
        <f t="shared" si="36"/>
        <v>0</v>
      </c>
      <c r="E133" s="11">
        <v>0</v>
      </c>
      <c r="F133" s="5" t="s">
        <v>370</v>
      </c>
      <c r="G133" s="5" t="s">
        <v>370</v>
      </c>
      <c r="H133" s="5" t="s">
        <v>370</v>
      </c>
      <c r="I133" s="5" t="s">
        <v>370</v>
      </c>
      <c r="J133" s="5" t="s">
        <v>370</v>
      </c>
      <c r="K133" s="5" t="s">
        <v>370</v>
      </c>
      <c r="L133" s="5" t="s">
        <v>370</v>
      </c>
      <c r="M133" s="5" t="s">
        <v>370</v>
      </c>
      <c r="N133" s="36">
        <v>226.4</v>
      </c>
      <c r="O133" s="36">
        <v>170.2</v>
      </c>
      <c r="P133" s="4">
        <f t="shared" si="37"/>
        <v>0.75176678445229672</v>
      </c>
      <c r="Q133" s="11">
        <v>20</v>
      </c>
      <c r="R133" s="36">
        <v>86</v>
      </c>
      <c r="S133" s="36">
        <v>86</v>
      </c>
      <c r="T133" s="4">
        <f t="shared" si="38"/>
        <v>1</v>
      </c>
      <c r="U133" s="11">
        <v>20</v>
      </c>
      <c r="V133" s="36">
        <v>7</v>
      </c>
      <c r="W133" s="36">
        <v>7.7</v>
      </c>
      <c r="X133" s="4">
        <f t="shared" si="39"/>
        <v>1.1000000000000001</v>
      </c>
      <c r="Y133" s="11">
        <v>10</v>
      </c>
      <c r="Z133" s="45">
        <f t="shared" si="46"/>
        <v>0.92070671378091873</v>
      </c>
      <c r="AA133" s="46">
        <v>2056</v>
      </c>
      <c r="AB133" s="36">
        <f t="shared" si="40"/>
        <v>186.90909090909091</v>
      </c>
      <c r="AC133" s="36">
        <f t="shared" si="41"/>
        <v>172.1</v>
      </c>
      <c r="AD133" s="36">
        <f t="shared" si="42"/>
        <v>-14.809090909090912</v>
      </c>
      <c r="AE133" s="36">
        <v>-10.3</v>
      </c>
      <c r="AF133" s="36">
        <f t="shared" si="43"/>
        <v>161.80000000000001</v>
      </c>
      <c r="AG133" s="36"/>
      <c r="AH133" s="36">
        <f t="shared" si="44"/>
        <v>161.80000000000001</v>
      </c>
      <c r="AI133" s="36"/>
      <c r="AJ133" s="36">
        <f t="shared" si="45"/>
        <v>161.80000000000001</v>
      </c>
      <c r="AK133" s="9"/>
      <c r="AL133" s="9"/>
      <c r="AM133" s="9"/>
      <c r="AN133" s="9"/>
      <c r="AO133" s="9"/>
      <c r="AP133" s="9"/>
      <c r="AQ133" s="9"/>
      <c r="AR133" s="10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0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10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10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10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10"/>
      <c r="GC133" s="9"/>
      <c r="GD133" s="9"/>
    </row>
    <row r="134" spans="1:186" s="2" customFormat="1" ht="16.95" customHeight="1">
      <c r="A134" s="14" t="s">
        <v>133</v>
      </c>
      <c r="B134" s="36">
        <v>0</v>
      </c>
      <c r="C134" s="36">
        <v>0</v>
      </c>
      <c r="D134" s="4">
        <f t="shared" si="36"/>
        <v>0</v>
      </c>
      <c r="E134" s="11">
        <v>0</v>
      </c>
      <c r="F134" s="5" t="s">
        <v>370</v>
      </c>
      <c r="G134" s="5" t="s">
        <v>370</v>
      </c>
      <c r="H134" s="5" t="s">
        <v>370</v>
      </c>
      <c r="I134" s="5" t="s">
        <v>370</v>
      </c>
      <c r="J134" s="5" t="s">
        <v>370</v>
      </c>
      <c r="K134" s="5" t="s">
        <v>370</v>
      </c>
      <c r="L134" s="5" t="s">
        <v>370</v>
      </c>
      <c r="M134" s="5" t="s">
        <v>370</v>
      </c>
      <c r="N134" s="36">
        <v>34.700000000000003</v>
      </c>
      <c r="O134" s="36">
        <v>10.1</v>
      </c>
      <c r="P134" s="4">
        <f t="shared" si="37"/>
        <v>0.29106628242074922</v>
      </c>
      <c r="Q134" s="11">
        <v>20</v>
      </c>
      <c r="R134" s="36">
        <v>0</v>
      </c>
      <c r="S134" s="36">
        <v>0</v>
      </c>
      <c r="T134" s="4">
        <f t="shared" si="38"/>
        <v>1</v>
      </c>
      <c r="U134" s="11">
        <v>20</v>
      </c>
      <c r="V134" s="36">
        <v>2</v>
      </c>
      <c r="W134" s="36">
        <v>1.7</v>
      </c>
      <c r="X134" s="4">
        <f t="shared" si="39"/>
        <v>0.85</v>
      </c>
      <c r="Y134" s="11">
        <v>30</v>
      </c>
      <c r="Z134" s="45">
        <f t="shared" si="46"/>
        <v>0.7331617949773569</v>
      </c>
      <c r="AA134" s="46">
        <v>1443</v>
      </c>
      <c r="AB134" s="36">
        <f t="shared" si="40"/>
        <v>131.18181818181819</v>
      </c>
      <c r="AC134" s="36">
        <f t="shared" si="41"/>
        <v>96.2</v>
      </c>
      <c r="AD134" s="36">
        <f t="shared" si="42"/>
        <v>-34.981818181818184</v>
      </c>
      <c r="AE134" s="36">
        <v>-6.8</v>
      </c>
      <c r="AF134" s="36">
        <f t="shared" si="43"/>
        <v>89.4</v>
      </c>
      <c r="AG134" s="36"/>
      <c r="AH134" s="36">
        <f t="shared" si="44"/>
        <v>89.4</v>
      </c>
      <c r="AI134" s="36"/>
      <c r="AJ134" s="36">
        <f t="shared" si="45"/>
        <v>89.4</v>
      </c>
      <c r="AK134" s="9"/>
      <c r="AL134" s="9"/>
      <c r="AM134" s="9"/>
      <c r="AN134" s="9"/>
      <c r="AO134" s="9"/>
      <c r="AP134" s="9"/>
      <c r="AQ134" s="9"/>
      <c r="AR134" s="10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10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10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10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10"/>
      <c r="GC134" s="9"/>
      <c r="GD134" s="9"/>
    </row>
    <row r="135" spans="1:186" s="2" customFormat="1" ht="16.95" customHeight="1">
      <c r="A135" s="14" t="s">
        <v>134</v>
      </c>
      <c r="B135" s="36">
        <v>0</v>
      </c>
      <c r="C135" s="36">
        <v>0</v>
      </c>
      <c r="D135" s="4">
        <f t="shared" si="36"/>
        <v>0</v>
      </c>
      <c r="E135" s="11">
        <v>0</v>
      </c>
      <c r="F135" s="5" t="s">
        <v>370</v>
      </c>
      <c r="G135" s="5" t="s">
        <v>370</v>
      </c>
      <c r="H135" s="5" t="s">
        <v>370</v>
      </c>
      <c r="I135" s="5" t="s">
        <v>370</v>
      </c>
      <c r="J135" s="5" t="s">
        <v>370</v>
      </c>
      <c r="K135" s="5" t="s">
        <v>370</v>
      </c>
      <c r="L135" s="5" t="s">
        <v>370</v>
      </c>
      <c r="M135" s="5" t="s">
        <v>370</v>
      </c>
      <c r="N135" s="36">
        <v>61.9</v>
      </c>
      <c r="O135" s="36">
        <v>10.1</v>
      </c>
      <c r="P135" s="4">
        <f t="shared" si="37"/>
        <v>0.16316639741518579</v>
      </c>
      <c r="Q135" s="11">
        <v>20</v>
      </c>
      <c r="R135" s="36">
        <v>77</v>
      </c>
      <c r="S135" s="36">
        <v>74.2</v>
      </c>
      <c r="T135" s="4">
        <f t="shared" si="38"/>
        <v>0.96363636363636362</v>
      </c>
      <c r="U135" s="11">
        <v>35</v>
      </c>
      <c r="V135" s="36">
        <v>3</v>
      </c>
      <c r="W135" s="36">
        <v>2.6</v>
      </c>
      <c r="X135" s="4">
        <f t="shared" si="39"/>
        <v>0.8666666666666667</v>
      </c>
      <c r="Y135" s="11">
        <v>15</v>
      </c>
      <c r="Z135" s="45">
        <f t="shared" si="46"/>
        <v>0.7141514382225207</v>
      </c>
      <c r="AA135" s="46">
        <v>1182</v>
      </c>
      <c r="AB135" s="36">
        <f t="shared" si="40"/>
        <v>107.45454545454545</v>
      </c>
      <c r="AC135" s="36">
        <f t="shared" si="41"/>
        <v>76.7</v>
      </c>
      <c r="AD135" s="36">
        <f t="shared" si="42"/>
        <v>-30.75454545454545</v>
      </c>
      <c r="AE135" s="36">
        <v>4.3</v>
      </c>
      <c r="AF135" s="36">
        <f t="shared" si="43"/>
        <v>81</v>
      </c>
      <c r="AG135" s="36"/>
      <c r="AH135" s="36">
        <f t="shared" si="44"/>
        <v>81</v>
      </c>
      <c r="AI135" s="36"/>
      <c r="AJ135" s="36">
        <f t="shared" si="45"/>
        <v>81</v>
      </c>
      <c r="AK135" s="9"/>
      <c r="AL135" s="9"/>
      <c r="AM135" s="9"/>
      <c r="AN135" s="9"/>
      <c r="AO135" s="9"/>
      <c r="AP135" s="9"/>
      <c r="AQ135" s="9"/>
      <c r="AR135" s="10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0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10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10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10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10"/>
      <c r="GC135" s="9"/>
      <c r="GD135" s="9"/>
    </row>
    <row r="136" spans="1:186" s="2" customFormat="1" ht="16.95" customHeight="1">
      <c r="A136" s="14" t="s">
        <v>135</v>
      </c>
      <c r="B136" s="36">
        <v>489</v>
      </c>
      <c r="C136" s="36">
        <v>481</v>
      </c>
      <c r="D136" s="4">
        <f t="shared" si="36"/>
        <v>0.98364008179959095</v>
      </c>
      <c r="E136" s="11">
        <v>10</v>
      </c>
      <c r="F136" s="5" t="s">
        <v>370</v>
      </c>
      <c r="G136" s="5" t="s">
        <v>370</v>
      </c>
      <c r="H136" s="5" t="s">
        <v>370</v>
      </c>
      <c r="I136" s="5" t="s">
        <v>370</v>
      </c>
      <c r="J136" s="5" t="s">
        <v>370</v>
      </c>
      <c r="K136" s="5" t="s">
        <v>370</v>
      </c>
      <c r="L136" s="5" t="s">
        <v>370</v>
      </c>
      <c r="M136" s="5" t="s">
        <v>370</v>
      </c>
      <c r="N136" s="36">
        <v>364.4</v>
      </c>
      <c r="O136" s="36">
        <v>245.5</v>
      </c>
      <c r="P136" s="4">
        <f t="shared" si="37"/>
        <v>0.6737102085620198</v>
      </c>
      <c r="Q136" s="11">
        <v>20</v>
      </c>
      <c r="R136" s="36">
        <v>232</v>
      </c>
      <c r="S136" s="36">
        <v>199.2</v>
      </c>
      <c r="T136" s="4">
        <f t="shared" si="38"/>
        <v>0.85862068965517235</v>
      </c>
      <c r="U136" s="11">
        <v>35</v>
      </c>
      <c r="V136" s="36">
        <v>9</v>
      </c>
      <c r="W136" s="36">
        <v>13.1</v>
      </c>
      <c r="X136" s="4">
        <f t="shared" si="39"/>
        <v>1.2255555555555555</v>
      </c>
      <c r="Y136" s="11">
        <v>15</v>
      </c>
      <c r="Z136" s="45">
        <f t="shared" si="46"/>
        <v>0.89682078075625837</v>
      </c>
      <c r="AA136" s="46">
        <v>739</v>
      </c>
      <c r="AB136" s="36">
        <f t="shared" si="40"/>
        <v>67.181818181818187</v>
      </c>
      <c r="AC136" s="36">
        <f t="shared" si="41"/>
        <v>60.3</v>
      </c>
      <c r="AD136" s="36">
        <f t="shared" si="42"/>
        <v>-6.8818181818181898</v>
      </c>
      <c r="AE136" s="36">
        <v>0.2</v>
      </c>
      <c r="AF136" s="36">
        <f t="shared" si="43"/>
        <v>60.5</v>
      </c>
      <c r="AG136" s="36"/>
      <c r="AH136" s="36">
        <f t="shared" si="44"/>
        <v>60.5</v>
      </c>
      <c r="AI136" s="36"/>
      <c r="AJ136" s="36">
        <f t="shared" si="45"/>
        <v>60.5</v>
      </c>
      <c r="AK136" s="9"/>
      <c r="AL136" s="9"/>
      <c r="AM136" s="9"/>
      <c r="AN136" s="9"/>
      <c r="AO136" s="9"/>
      <c r="AP136" s="9"/>
      <c r="AQ136" s="9"/>
      <c r="AR136" s="10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0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10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10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10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10"/>
      <c r="GC136" s="9"/>
      <c r="GD136" s="9"/>
    </row>
    <row r="137" spans="1:186" s="2" customFormat="1" ht="16.95" customHeight="1">
      <c r="A137" s="14" t="s">
        <v>136</v>
      </c>
      <c r="B137" s="36">
        <v>0</v>
      </c>
      <c r="C137" s="36">
        <v>0</v>
      </c>
      <c r="D137" s="4">
        <f t="shared" si="36"/>
        <v>0</v>
      </c>
      <c r="E137" s="11">
        <v>0</v>
      </c>
      <c r="F137" s="5" t="s">
        <v>370</v>
      </c>
      <c r="G137" s="5" t="s">
        <v>370</v>
      </c>
      <c r="H137" s="5" t="s">
        <v>370</v>
      </c>
      <c r="I137" s="5" t="s">
        <v>370</v>
      </c>
      <c r="J137" s="5" t="s">
        <v>370</v>
      </c>
      <c r="K137" s="5" t="s">
        <v>370</v>
      </c>
      <c r="L137" s="5" t="s">
        <v>370</v>
      </c>
      <c r="M137" s="5" t="s">
        <v>370</v>
      </c>
      <c r="N137" s="36">
        <v>338.2</v>
      </c>
      <c r="O137" s="36">
        <v>360.3</v>
      </c>
      <c r="P137" s="4">
        <f t="shared" si="37"/>
        <v>1.0653459491425192</v>
      </c>
      <c r="Q137" s="11">
        <v>20</v>
      </c>
      <c r="R137" s="36">
        <v>390</v>
      </c>
      <c r="S137" s="36">
        <v>390.5</v>
      </c>
      <c r="T137" s="4">
        <f t="shared" si="38"/>
        <v>1.0012820512820513</v>
      </c>
      <c r="U137" s="11">
        <v>35</v>
      </c>
      <c r="V137" s="36">
        <v>12</v>
      </c>
      <c r="W137" s="36">
        <v>12.3</v>
      </c>
      <c r="X137" s="4">
        <f t="shared" si="39"/>
        <v>1.0250000000000001</v>
      </c>
      <c r="Y137" s="11">
        <v>15</v>
      </c>
      <c r="Z137" s="45">
        <f t="shared" si="46"/>
        <v>1.0246684396817456</v>
      </c>
      <c r="AA137" s="46">
        <v>1870</v>
      </c>
      <c r="AB137" s="36">
        <f t="shared" si="40"/>
        <v>170</v>
      </c>
      <c r="AC137" s="36">
        <f t="shared" si="41"/>
        <v>174.2</v>
      </c>
      <c r="AD137" s="36">
        <f t="shared" si="42"/>
        <v>4.1999999999999886</v>
      </c>
      <c r="AE137" s="36">
        <v>-3.5</v>
      </c>
      <c r="AF137" s="36">
        <f t="shared" si="43"/>
        <v>170.7</v>
      </c>
      <c r="AG137" s="36"/>
      <c r="AH137" s="36">
        <f t="shared" si="44"/>
        <v>170.7</v>
      </c>
      <c r="AI137" s="36"/>
      <c r="AJ137" s="36">
        <f t="shared" si="45"/>
        <v>170.7</v>
      </c>
      <c r="AK137" s="9"/>
      <c r="AL137" s="9"/>
      <c r="AM137" s="9"/>
      <c r="AN137" s="9"/>
      <c r="AO137" s="9"/>
      <c r="AP137" s="9"/>
      <c r="AQ137" s="9"/>
      <c r="AR137" s="10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10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10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10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10"/>
      <c r="GC137" s="9"/>
      <c r="GD137" s="9"/>
    </row>
    <row r="138" spans="1:186" s="2" customFormat="1" ht="16.95" customHeight="1">
      <c r="A138" s="14" t="s">
        <v>137</v>
      </c>
      <c r="B138" s="36">
        <v>0</v>
      </c>
      <c r="C138" s="36">
        <v>0</v>
      </c>
      <c r="D138" s="4">
        <f t="shared" si="36"/>
        <v>0</v>
      </c>
      <c r="E138" s="11">
        <v>0</v>
      </c>
      <c r="F138" s="5" t="s">
        <v>370</v>
      </c>
      <c r="G138" s="5" t="s">
        <v>370</v>
      </c>
      <c r="H138" s="5" t="s">
        <v>370</v>
      </c>
      <c r="I138" s="5" t="s">
        <v>370</v>
      </c>
      <c r="J138" s="5" t="s">
        <v>370</v>
      </c>
      <c r="K138" s="5" t="s">
        <v>370</v>
      </c>
      <c r="L138" s="5" t="s">
        <v>370</v>
      </c>
      <c r="M138" s="5" t="s">
        <v>370</v>
      </c>
      <c r="N138" s="36">
        <v>385.2</v>
      </c>
      <c r="O138" s="36">
        <v>143.5</v>
      </c>
      <c r="P138" s="4">
        <f t="shared" si="37"/>
        <v>0.37253374870197303</v>
      </c>
      <c r="Q138" s="11">
        <v>20</v>
      </c>
      <c r="R138" s="36">
        <v>3</v>
      </c>
      <c r="S138" s="36">
        <v>0</v>
      </c>
      <c r="T138" s="4">
        <f t="shared" si="38"/>
        <v>0</v>
      </c>
      <c r="U138" s="11">
        <v>25</v>
      </c>
      <c r="V138" s="36">
        <v>3</v>
      </c>
      <c r="W138" s="36">
        <v>0</v>
      </c>
      <c r="X138" s="4">
        <f t="shared" si="39"/>
        <v>0</v>
      </c>
      <c r="Y138" s="11">
        <v>25</v>
      </c>
      <c r="Z138" s="45">
        <f t="shared" si="46"/>
        <v>0.10643821391484944</v>
      </c>
      <c r="AA138" s="46">
        <v>75</v>
      </c>
      <c r="AB138" s="36">
        <f t="shared" si="40"/>
        <v>6.8181818181818183</v>
      </c>
      <c r="AC138" s="36">
        <f t="shared" si="41"/>
        <v>0.7</v>
      </c>
      <c r="AD138" s="36">
        <f t="shared" si="42"/>
        <v>-6.1181818181818182</v>
      </c>
      <c r="AE138" s="36">
        <v>0.6</v>
      </c>
      <c r="AF138" s="36">
        <f t="shared" si="43"/>
        <v>1.3</v>
      </c>
      <c r="AG138" s="36"/>
      <c r="AH138" s="36">
        <f t="shared" si="44"/>
        <v>1.3</v>
      </c>
      <c r="AI138" s="36"/>
      <c r="AJ138" s="36">
        <f t="shared" si="45"/>
        <v>1.3</v>
      </c>
      <c r="AK138" s="9"/>
      <c r="AL138" s="9"/>
      <c r="AM138" s="9"/>
      <c r="AN138" s="9"/>
      <c r="AO138" s="9"/>
      <c r="AP138" s="9"/>
      <c r="AQ138" s="9"/>
      <c r="AR138" s="10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10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10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10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10"/>
      <c r="GC138" s="9"/>
      <c r="GD138" s="9"/>
    </row>
    <row r="139" spans="1:186" s="2" customFormat="1" ht="16.95" customHeight="1">
      <c r="A139" s="18" t="s">
        <v>138</v>
      </c>
      <c r="B139" s="6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9"/>
      <c r="AL139" s="9"/>
      <c r="AM139" s="9"/>
      <c r="AN139" s="9"/>
      <c r="AO139" s="9"/>
      <c r="AP139" s="9"/>
      <c r="AQ139" s="9"/>
      <c r="AR139" s="10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0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10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10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10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10"/>
      <c r="GC139" s="9"/>
      <c r="GD139" s="9"/>
    </row>
    <row r="140" spans="1:186" s="2" customFormat="1" ht="16.95" customHeight="1">
      <c r="A140" s="14" t="s">
        <v>139</v>
      </c>
      <c r="B140" s="36">
        <v>0</v>
      </c>
      <c r="C140" s="36">
        <v>0</v>
      </c>
      <c r="D140" s="4">
        <f t="shared" si="36"/>
        <v>0</v>
      </c>
      <c r="E140" s="11">
        <v>0</v>
      </c>
      <c r="F140" s="5" t="s">
        <v>370</v>
      </c>
      <c r="G140" s="5" t="s">
        <v>370</v>
      </c>
      <c r="H140" s="5" t="s">
        <v>370</v>
      </c>
      <c r="I140" s="5" t="s">
        <v>370</v>
      </c>
      <c r="J140" s="5" t="s">
        <v>370</v>
      </c>
      <c r="K140" s="5" t="s">
        <v>370</v>
      </c>
      <c r="L140" s="5" t="s">
        <v>370</v>
      </c>
      <c r="M140" s="5" t="s">
        <v>370</v>
      </c>
      <c r="N140" s="36">
        <v>556.29999999999995</v>
      </c>
      <c r="O140" s="36">
        <v>18.100000000000001</v>
      </c>
      <c r="P140" s="4">
        <f t="shared" si="37"/>
        <v>3.2536401222362038E-2</v>
      </c>
      <c r="Q140" s="11">
        <v>20</v>
      </c>
      <c r="R140" s="36">
        <v>0</v>
      </c>
      <c r="S140" s="36">
        <v>0</v>
      </c>
      <c r="T140" s="4">
        <f t="shared" si="38"/>
        <v>1</v>
      </c>
      <c r="U140" s="11">
        <v>30</v>
      </c>
      <c r="V140" s="36">
        <v>1.1000000000000001</v>
      </c>
      <c r="W140" s="36">
        <v>1.3</v>
      </c>
      <c r="X140" s="4">
        <f t="shared" si="39"/>
        <v>1.1818181818181817</v>
      </c>
      <c r="Y140" s="11">
        <v>20</v>
      </c>
      <c r="Z140" s="45">
        <f t="shared" si="46"/>
        <v>0.77552988086872676</v>
      </c>
      <c r="AA140" s="46">
        <v>2458</v>
      </c>
      <c r="AB140" s="36">
        <f t="shared" si="40"/>
        <v>223.45454545454547</v>
      </c>
      <c r="AC140" s="36">
        <f t="shared" si="41"/>
        <v>173.3</v>
      </c>
      <c r="AD140" s="36">
        <f t="shared" si="42"/>
        <v>-50.154545454545456</v>
      </c>
      <c r="AE140" s="36">
        <v>2.2000000000000002</v>
      </c>
      <c r="AF140" s="36">
        <f t="shared" si="43"/>
        <v>175.5</v>
      </c>
      <c r="AG140" s="36"/>
      <c r="AH140" s="36">
        <f t="shared" si="44"/>
        <v>175.5</v>
      </c>
      <c r="AI140" s="36"/>
      <c r="AJ140" s="36">
        <f t="shared" si="45"/>
        <v>175.5</v>
      </c>
      <c r="AK140" s="9"/>
      <c r="AL140" s="9"/>
      <c r="AM140" s="9"/>
      <c r="AN140" s="9"/>
      <c r="AO140" s="9"/>
      <c r="AP140" s="9"/>
      <c r="AQ140" s="9"/>
      <c r="AR140" s="10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0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10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10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10"/>
      <c r="GC140" s="9"/>
      <c r="GD140" s="9"/>
    </row>
    <row r="141" spans="1:186" s="2" customFormat="1" ht="16.95" customHeight="1">
      <c r="A141" s="14" t="s">
        <v>140</v>
      </c>
      <c r="B141" s="36">
        <v>0</v>
      </c>
      <c r="C141" s="36">
        <v>0</v>
      </c>
      <c r="D141" s="4">
        <f t="shared" si="36"/>
        <v>0</v>
      </c>
      <c r="E141" s="11">
        <v>0</v>
      </c>
      <c r="F141" s="5" t="s">
        <v>370</v>
      </c>
      <c r="G141" s="5" t="s">
        <v>370</v>
      </c>
      <c r="H141" s="5" t="s">
        <v>370</v>
      </c>
      <c r="I141" s="5" t="s">
        <v>370</v>
      </c>
      <c r="J141" s="5" t="s">
        <v>370</v>
      </c>
      <c r="K141" s="5" t="s">
        <v>370</v>
      </c>
      <c r="L141" s="5" t="s">
        <v>370</v>
      </c>
      <c r="M141" s="5" t="s">
        <v>370</v>
      </c>
      <c r="N141" s="36">
        <v>51.4</v>
      </c>
      <c r="O141" s="36">
        <v>55.4</v>
      </c>
      <c r="P141" s="4">
        <f t="shared" si="37"/>
        <v>1.0778210116731517</v>
      </c>
      <c r="Q141" s="11">
        <v>20</v>
      </c>
      <c r="R141" s="36">
        <v>5</v>
      </c>
      <c r="S141" s="36">
        <v>13.8</v>
      </c>
      <c r="T141" s="4">
        <f t="shared" si="38"/>
        <v>1.3</v>
      </c>
      <c r="U141" s="11">
        <v>35</v>
      </c>
      <c r="V141" s="36">
        <v>1.8</v>
      </c>
      <c r="W141" s="36">
        <v>1.8</v>
      </c>
      <c r="X141" s="4">
        <f t="shared" si="39"/>
        <v>1</v>
      </c>
      <c r="Y141" s="11">
        <v>15</v>
      </c>
      <c r="Z141" s="45">
        <f t="shared" si="46"/>
        <v>1.1722345747637575</v>
      </c>
      <c r="AA141" s="46">
        <v>3115</v>
      </c>
      <c r="AB141" s="36">
        <f t="shared" si="40"/>
        <v>283.18181818181819</v>
      </c>
      <c r="AC141" s="36">
        <f t="shared" si="41"/>
        <v>332</v>
      </c>
      <c r="AD141" s="36">
        <f t="shared" si="42"/>
        <v>48.818181818181813</v>
      </c>
      <c r="AE141" s="36">
        <v>-1.4</v>
      </c>
      <c r="AF141" s="36">
        <f t="shared" si="43"/>
        <v>330.6</v>
      </c>
      <c r="AG141" s="36"/>
      <c r="AH141" s="36">
        <f t="shared" si="44"/>
        <v>330.6</v>
      </c>
      <c r="AI141" s="36"/>
      <c r="AJ141" s="36">
        <f t="shared" si="45"/>
        <v>330.6</v>
      </c>
      <c r="AK141" s="9"/>
      <c r="AL141" s="9"/>
      <c r="AM141" s="9"/>
      <c r="AN141" s="9"/>
      <c r="AO141" s="9"/>
      <c r="AP141" s="9"/>
      <c r="AQ141" s="9"/>
      <c r="AR141" s="10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0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10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10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10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10"/>
      <c r="GC141" s="9"/>
      <c r="GD141" s="9"/>
    </row>
    <row r="142" spans="1:186" s="2" customFormat="1" ht="16.95" customHeight="1">
      <c r="A142" s="14" t="s">
        <v>141</v>
      </c>
      <c r="B142" s="36">
        <v>0</v>
      </c>
      <c r="C142" s="36">
        <v>0</v>
      </c>
      <c r="D142" s="4">
        <f t="shared" si="36"/>
        <v>0</v>
      </c>
      <c r="E142" s="11">
        <v>0</v>
      </c>
      <c r="F142" s="5" t="s">
        <v>370</v>
      </c>
      <c r="G142" s="5" t="s">
        <v>370</v>
      </c>
      <c r="H142" s="5" t="s">
        <v>370</v>
      </c>
      <c r="I142" s="5" t="s">
        <v>370</v>
      </c>
      <c r="J142" s="5" t="s">
        <v>370</v>
      </c>
      <c r="K142" s="5" t="s">
        <v>370</v>
      </c>
      <c r="L142" s="5" t="s">
        <v>370</v>
      </c>
      <c r="M142" s="5" t="s">
        <v>370</v>
      </c>
      <c r="N142" s="36">
        <v>74</v>
      </c>
      <c r="O142" s="36">
        <v>26.4</v>
      </c>
      <c r="P142" s="4">
        <f t="shared" si="37"/>
        <v>0.35675675675675672</v>
      </c>
      <c r="Q142" s="11">
        <v>20</v>
      </c>
      <c r="R142" s="36">
        <v>62</v>
      </c>
      <c r="S142" s="36">
        <v>72</v>
      </c>
      <c r="T142" s="4">
        <f t="shared" si="38"/>
        <v>1.1612903225806452</v>
      </c>
      <c r="U142" s="11">
        <v>30</v>
      </c>
      <c r="V142" s="36">
        <v>2.5</v>
      </c>
      <c r="W142" s="36">
        <v>3</v>
      </c>
      <c r="X142" s="4">
        <f t="shared" si="39"/>
        <v>1.2</v>
      </c>
      <c r="Y142" s="11">
        <v>20</v>
      </c>
      <c r="Z142" s="45">
        <f t="shared" si="46"/>
        <v>0.94248349732220704</v>
      </c>
      <c r="AA142" s="46">
        <v>4913</v>
      </c>
      <c r="AB142" s="36">
        <f t="shared" si="40"/>
        <v>446.63636363636363</v>
      </c>
      <c r="AC142" s="36">
        <f t="shared" si="41"/>
        <v>420.9</v>
      </c>
      <c r="AD142" s="36">
        <f t="shared" si="42"/>
        <v>-25.736363636363649</v>
      </c>
      <c r="AE142" s="36">
        <v>-3.8</v>
      </c>
      <c r="AF142" s="36">
        <f t="shared" si="43"/>
        <v>417.1</v>
      </c>
      <c r="AG142" s="36"/>
      <c r="AH142" s="36">
        <f t="shared" si="44"/>
        <v>417.1</v>
      </c>
      <c r="AI142" s="36"/>
      <c r="AJ142" s="36">
        <f t="shared" si="45"/>
        <v>417.1</v>
      </c>
      <c r="AK142" s="9"/>
      <c r="AL142" s="9"/>
      <c r="AM142" s="9"/>
      <c r="AN142" s="9"/>
      <c r="AO142" s="9"/>
      <c r="AP142" s="9"/>
      <c r="AQ142" s="9"/>
      <c r="AR142" s="10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10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10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10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10"/>
      <c r="GC142" s="9"/>
      <c r="GD142" s="9"/>
    </row>
    <row r="143" spans="1:186" s="2" customFormat="1" ht="16.95" customHeight="1">
      <c r="A143" s="14" t="s">
        <v>142</v>
      </c>
      <c r="B143" s="36">
        <v>2976</v>
      </c>
      <c r="C143" s="36">
        <v>3125.3</v>
      </c>
      <c r="D143" s="4">
        <f t="shared" si="36"/>
        <v>1.0501680107526883</v>
      </c>
      <c r="E143" s="11">
        <v>10</v>
      </c>
      <c r="F143" s="5" t="s">
        <v>370</v>
      </c>
      <c r="G143" s="5" t="s">
        <v>370</v>
      </c>
      <c r="H143" s="5" t="s">
        <v>370</v>
      </c>
      <c r="I143" s="5" t="s">
        <v>370</v>
      </c>
      <c r="J143" s="5" t="s">
        <v>370</v>
      </c>
      <c r="K143" s="5" t="s">
        <v>370</v>
      </c>
      <c r="L143" s="5" t="s">
        <v>370</v>
      </c>
      <c r="M143" s="5" t="s">
        <v>370</v>
      </c>
      <c r="N143" s="36">
        <v>1109</v>
      </c>
      <c r="O143" s="36">
        <v>650.5</v>
      </c>
      <c r="P143" s="4">
        <f t="shared" si="37"/>
        <v>0.58656447249774568</v>
      </c>
      <c r="Q143" s="11">
        <v>20</v>
      </c>
      <c r="R143" s="36">
        <v>5</v>
      </c>
      <c r="S143" s="36">
        <v>6.3</v>
      </c>
      <c r="T143" s="4">
        <f t="shared" si="38"/>
        <v>1.206</v>
      </c>
      <c r="U143" s="11">
        <v>20</v>
      </c>
      <c r="V143" s="36">
        <v>0</v>
      </c>
      <c r="W143" s="36">
        <v>0.8</v>
      </c>
      <c r="X143" s="4">
        <f t="shared" si="39"/>
        <v>1</v>
      </c>
      <c r="Y143" s="11">
        <v>30</v>
      </c>
      <c r="Z143" s="45">
        <f t="shared" si="46"/>
        <v>0.95441211946852245</v>
      </c>
      <c r="AA143" s="46">
        <v>5345</v>
      </c>
      <c r="AB143" s="36">
        <f t="shared" si="40"/>
        <v>485.90909090909093</v>
      </c>
      <c r="AC143" s="36">
        <f t="shared" si="41"/>
        <v>463.8</v>
      </c>
      <c r="AD143" s="36">
        <f t="shared" si="42"/>
        <v>-22.109090909090924</v>
      </c>
      <c r="AE143" s="36">
        <v>-4</v>
      </c>
      <c r="AF143" s="36">
        <f t="shared" si="43"/>
        <v>459.8</v>
      </c>
      <c r="AG143" s="36"/>
      <c r="AH143" s="36">
        <f t="shared" si="44"/>
        <v>459.8</v>
      </c>
      <c r="AI143" s="36"/>
      <c r="AJ143" s="36">
        <f t="shared" si="45"/>
        <v>459.8</v>
      </c>
      <c r="AK143" s="9"/>
      <c r="AL143" s="9"/>
      <c r="AM143" s="9"/>
      <c r="AN143" s="9"/>
      <c r="AO143" s="9"/>
      <c r="AP143" s="9"/>
      <c r="AQ143" s="9"/>
      <c r="AR143" s="10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0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10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10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10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10"/>
      <c r="GC143" s="9"/>
      <c r="GD143" s="9"/>
    </row>
    <row r="144" spans="1:186" s="2" customFormat="1" ht="16.95" customHeight="1">
      <c r="A144" s="14" t="s">
        <v>143</v>
      </c>
      <c r="B144" s="36">
        <v>107</v>
      </c>
      <c r="C144" s="36">
        <v>72</v>
      </c>
      <c r="D144" s="4">
        <f t="shared" si="36"/>
        <v>0.67289719626168221</v>
      </c>
      <c r="E144" s="11">
        <v>10</v>
      </c>
      <c r="F144" s="5" t="s">
        <v>370</v>
      </c>
      <c r="G144" s="5" t="s">
        <v>370</v>
      </c>
      <c r="H144" s="5" t="s">
        <v>370</v>
      </c>
      <c r="I144" s="5" t="s">
        <v>370</v>
      </c>
      <c r="J144" s="5" t="s">
        <v>370</v>
      </c>
      <c r="K144" s="5" t="s">
        <v>370</v>
      </c>
      <c r="L144" s="5" t="s">
        <v>370</v>
      </c>
      <c r="M144" s="5" t="s">
        <v>370</v>
      </c>
      <c r="N144" s="36">
        <v>1042</v>
      </c>
      <c r="O144" s="36">
        <v>338.4</v>
      </c>
      <c r="P144" s="4">
        <f t="shared" si="37"/>
        <v>0.32476007677543184</v>
      </c>
      <c r="Q144" s="11">
        <v>20</v>
      </c>
      <c r="R144" s="36">
        <v>8</v>
      </c>
      <c r="S144" s="36">
        <v>8</v>
      </c>
      <c r="T144" s="4">
        <f t="shared" si="38"/>
        <v>1</v>
      </c>
      <c r="U144" s="11">
        <v>30</v>
      </c>
      <c r="V144" s="36">
        <v>0.5</v>
      </c>
      <c r="W144" s="36">
        <v>0.7</v>
      </c>
      <c r="X144" s="4">
        <f t="shared" si="39"/>
        <v>1.22</v>
      </c>
      <c r="Y144" s="11">
        <v>20</v>
      </c>
      <c r="Z144" s="45">
        <f t="shared" si="46"/>
        <v>0.84530216872656827</v>
      </c>
      <c r="AA144" s="46">
        <v>1353</v>
      </c>
      <c r="AB144" s="36">
        <f t="shared" si="40"/>
        <v>123</v>
      </c>
      <c r="AC144" s="36">
        <f t="shared" si="41"/>
        <v>104</v>
      </c>
      <c r="AD144" s="36">
        <f t="shared" si="42"/>
        <v>-19</v>
      </c>
      <c r="AE144" s="36">
        <v>-2.7</v>
      </c>
      <c r="AF144" s="36">
        <f t="shared" si="43"/>
        <v>101.3</v>
      </c>
      <c r="AG144" s="36"/>
      <c r="AH144" s="36">
        <f t="shared" si="44"/>
        <v>101.3</v>
      </c>
      <c r="AI144" s="36"/>
      <c r="AJ144" s="36">
        <f t="shared" si="45"/>
        <v>101.3</v>
      </c>
      <c r="AK144" s="9"/>
      <c r="AL144" s="9"/>
      <c r="AM144" s="9"/>
      <c r="AN144" s="9"/>
      <c r="AO144" s="9"/>
      <c r="AP144" s="9"/>
      <c r="AQ144" s="9"/>
      <c r="AR144" s="10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0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10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10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10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10"/>
      <c r="GC144" s="9"/>
      <c r="GD144" s="9"/>
    </row>
    <row r="145" spans="1:186" s="2" customFormat="1" ht="16.95" customHeight="1">
      <c r="A145" s="14" t="s">
        <v>144</v>
      </c>
      <c r="B145" s="36">
        <v>0</v>
      </c>
      <c r="C145" s="36">
        <v>0</v>
      </c>
      <c r="D145" s="4">
        <f t="shared" si="36"/>
        <v>0</v>
      </c>
      <c r="E145" s="11">
        <v>0</v>
      </c>
      <c r="F145" s="5" t="s">
        <v>370</v>
      </c>
      <c r="G145" s="5" t="s">
        <v>370</v>
      </c>
      <c r="H145" s="5" t="s">
        <v>370</v>
      </c>
      <c r="I145" s="5" t="s">
        <v>370</v>
      </c>
      <c r="J145" s="5" t="s">
        <v>370</v>
      </c>
      <c r="K145" s="5" t="s">
        <v>370</v>
      </c>
      <c r="L145" s="5" t="s">
        <v>370</v>
      </c>
      <c r="M145" s="5" t="s">
        <v>370</v>
      </c>
      <c r="N145" s="36">
        <v>50</v>
      </c>
      <c r="O145" s="36">
        <v>21.8</v>
      </c>
      <c r="P145" s="4">
        <f t="shared" si="37"/>
        <v>0.436</v>
      </c>
      <c r="Q145" s="11">
        <v>20</v>
      </c>
      <c r="R145" s="36">
        <v>0</v>
      </c>
      <c r="S145" s="36">
        <v>0</v>
      </c>
      <c r="T145" s="4">
        <f t="shared" si="38"/>
        <v>1</v>
      </c>
      <c r="U145" s="11">
        <v>35</v>
      </c>
      <c r="V145" s="36">
        <v>1.6</v>
      </c>
      <c r="W145" s="36">
        <v>1.9</v>
      </c>
      <c r="X145" s="4">
        <f t="shared" si="39"/>
        <v>1.1874999999999998</v>
      </c>
      <c r="Y145" s="11">
        <v>15</v>
      </c>
      <c r="Z145" s="45">
        <f t="shared" si="46"/>
        <v>0.87903571428571425</v>
      </c>
      <c r="AA145" s="46">
        <v>3436</v>
      </c>
      <c r="AB145" s="36">
        <f t="shared" si="40"/>
        <v>312.36363636363637</v>
      </c>
      <c r="AC145" s="36">
        <f t="shared" si="41"/>
        <v>274.60000000000002</v>
      </c>
      <c r="AD145" s="36">
        <f t="shared" si="42"/>
        <v>-37.763636363636351</v>
      </c>
      <c r="AE145" s="36">
        <v>-28.5</v>
      </c>
      <c r="AF145" s="36">
        <f t="shared" si="43"/>
        <v>246.1</v>
      </c>
      <c r="AG145" s="36"/>
      <c r="AH145" s="36">
        <f t="shared" si="44"/>
        <v>246.1</v>
      </c>
      <c r="AI145" s="36"/>
      <c r="AJ145" s="36">
        <f t="shared" si="45"/>
        <v>246.1</v>
      </c>
      <c r="AK145" s="9"/>
      <c r="AL145" s="9"/>
      <c r="AM145" s="9"/>
      <c r="AN145" s="9"/>
      <c r="AO145" s="9"/>
      <c r="AP145" s="9"/>
      <c r="AQ145" s="9"/>
      <c r="AR145" s="10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0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10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10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10"/>
      <c r="GC145" s="9"/>
      <c r="GD145" s="9"/>
    </row>
    <row r="146" spans="1:186" s="2" customFormat="1" ht="16.95" customHeight="1">
      <c r="A146" s="18" t="s">
        <v>145</v>
      </c>
      <c r="B146" s="6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9"/>
      <c r="AL146" s="9"/>
      <c r="AM146" s="9"/>
      <c r="AN146" s="9"/>
      <c r="AO146" s="9"/>
      <c r="AP146" s="9"/>
      <c r="AQ146" s="9"/>
      <c r="AR146" s="10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10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10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10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10"/>
      <c r="GC146" s="9"/>
      <c r="GD146" s="9"/>
    </row>
    <row r="147" spans="1:186" s="2" customFormat="1" ht="16.95" customHeight="1">
      <c r="A147" s="14" t="s">
        <v>146</v>
      </c>
      <c r="B147" s="36">
        <v>464</v>
      </c>
      <c r="C147" s="36">
        <v>531.9</v>
      </c>
      <c r="D147" s="4">
        <f t="shared" si="36"/>
        <v>1.1463362068965517</v>
      </c>
      <c r="E147" s="11">
        <v>10</v>
      </c>
      <c r="F147" s="5" t="s">
        <v>370</v>
      </c>
      <c r="G147" s="5" t="s">
        <v>370</v>
      </c>
      <c r="H147" s="5" t="s">
        <v>370</v>
      </c>
      <c r="I147" s="5" t="s">
        <v>370</v>
      </c>
      <c r="J147" s="5" t="s">
        <v>370</v>
      </c>
      <c r="K147" s="5" t="s">
        <v>370</v>
      </c>
      <c r="L147" s="5" t="s">
        <v>370</v>
      </c>
      <c r="M147" s="5" t="s">
        <v>370</v>
      </c>
      <c r="N147" s="36">
        <v>149.69999999999999</v>
      </c>
      <c r="O147" s="36">
        <v>117.1</v>
      </c>
      <c r="P147" s="4">
        <f t="shared" si="37"/>
        <v>0.78223112892451574</v>
      </c>
      <c r="Q147" s="11">
        <v>20</v>
      </c>
      <c r="R147" s="36">
        <v>5</v>
      </c>
      <c r="S147" s="36">
        <v>10.1</v>
      </c>
      <c r="T147" s="4">
        <f t="shared" si="38"/>
        <v>1.282</v>
      </c>
      <c r="U147" s="11">
        <v>20</v>
      </c>
      <c r="V147" s="36">
        <v>0.5</v>
      </c>
      <c r="W147" s="36">
        <v>0.6</v>
      </c>
      <c r="X147" s="4">
        <f t="shared" si="39"/>
        <v>1.2</v>
      </c>
      <c r="Y147" s="11">
        <v>30</v>
      </c>
      <c r="Z147" s="45">
        <f t="shared" si="46"/>
        <v>1.1093498080931981</v>
      </c>
      <c r="AA147" s="46">
        <v>2328</v>
      </c>
      <c r="AB147" s="36">
        <f t="shared" si="40"/>
        <v>211.63636363636363</v>
      </c>
      <c r="AC147" s="36">
        <f t="shared" si="41"/>
        <v>234.8</v>
      </c>
      <c r="AD147" s="36">
        <f t="shared" si="42"/>
        <v>23.163636363636385</v>
      </c>
      <c r="AE147" s="36">
        <v>-1.7</v>
      </c>
      <c r="AF147" s="36">
        <f t="shared" si="43"/>
        <v>233.1</v>
      </c>
      <c r="AG147" s="36"/>
      <c r="AH147" s="36">
        <f t="shared" si="44"/>
        <v>233.1</v>
      </c>
      <c r="AI147" s="36"/>
      <c r="AJ147" s="36">
        <f t="shared" si="45"/>
        <v>233.1</v>
      </c>
      <c r="AK147" s="9"/>
      <c r="AL147" s="9"/>
      <c r="AM147" s="9"/>
      <c r="AN147" s="9"/>
      <c r="AO147" s="9"/>
      <c r="AP147" s="9"/>
      <c r="AQ147" s="9"/>
      <c r="AR147" s="10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0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10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10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10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10"/>
      <c r="GC147" s="9"/>
      <c r="GD147" s="9"/>
    </row>
    <row r="148" spans="1:186" s="2" customFormat="1" ht="16.95" customHeight="1">
      <c r="A148" s="14" t="s">
        <v>147</v>
      </c>
      <c r="B148" s="36">
        <v>224</v>
      </c>
      <c r="C148" s="36">
        <v>225.7</v>
      </c>
      <c r="D148" s="4">
        <f t="shared" si="36"/>
        <v>1.0075892857142856</v>
      </c>
      <c r="E148" s="11">
        <v>10</v>
      </c>
      <c r="F148" s="5" t="s">
        <v>370</v>
      </c>
      <c r="G148" s="5" t="s">
        <v>370</v>
      </c>
      <c r="H148" s="5" t="s">
        <v>370</v>
      </c>
      <c r="I148" s="5" t="s">
        <v>370</v>
      </c>
      <c r="J148" s="5" t="s">
        <v>370</v>
      </c>
      <c r="K148" s="5" t="s">
        <v>370</v>
      </c>
      <c r="L148" s="5" t="s">
        <v>370</v>
      </c>
      <c r="M148" s="5" t="s">
        <v>370</v>
      </c>
      <c r="N148" s="36">
        <v>1028.9000000000001</v>
      </c>
      <c r="O148" s="36">
        <v>276.8</v>
      </c>
      <c r="P148" s="4">
        <f t="shared" si="37"/>
        <v>0.26902517251433566</v>
      </c>
      <c r="Q148" s="11">
        <v>20</v>
      </c>
      <c r="R148" s="36">
        <v>0.3</v>
      </c>
      <c r="S148" s="36">
        <v>0.3</v>
      </c>
      <c r="T148" s="4">
        <f t="shared" si="38"/>
        <v>1</v>
      </c>
      <c r="U148" s="11">
        <v>15</v>
      </c>
      <c r="V148" s="36">
        <v>0.3</v>
      </c>
      <c r="W148" s="36">
        <v>0.3</v>
      </c>
      <c r="X148" s="4">
        <f t="shared" si="39"/>
        <v>1</v>
      </c>
      <c r="Y148" s="11">
        <v>35</v>
      </c>
      <c r="Z148" s="45">
        <f t="shared" si="46"/>
        <v>0.81820495384286962</v>
      </c>
      <c r="AA148" s="46">
        <v>2752</v>
      </c>
      <c r="AB148" s="36">
        <f t="shared" si="40"/>
        <v>250.18181818181819</v>
      </c>
      <c r="AC148" s="36">
        <f t="shared" si="41"/>
        <v>204.7</v>
      </c>
      <c r="AD148" s="36">
        <f t="shared" si="42"/>
        <v>-45.481818181818198</v>
      </c>
      <c r="AE148" s="36">
        <v>2.1</v>
      </c>
      <c r="AF148" s="36">
        <f t="shared" si="43"/>
        <v>206.8</v>
      </c>
      <c r="AG148" s="36"/>
      <c r="AH148" s="36">
        <f t="shared" si="44"/>
        <v>206.8</v>
      </c>
      <c r="AI148" s="36"/>
      <c r="AJ148" s="36">
        <f t="shared" si="45"/>
        <v>206.8</v>
      </c>
      <c r="AK148" s="9"/>
      <c r="AL148" s="9"/>
      <c r="AM148" s="9"/>
      <c r="AN148" s="9"/>
      <c r="AO148" s="9"/>
      <c r="AP148" s="9"/>
      <c r="AQ148" s="9"/>
      <c r="AR148" s="10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0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10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10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10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10"/>
      <c r="GC148" s="9"/>
      <c r="GD148" s="9"/>
    </row>
    <row r="149" spans="1:186" s="2" customFormat="1" ht="16.95" customHeight="1">
      <c r="A149" s="14" t="s">
        <v>148</v>
      </c>
      <c r="B149" s="36">
        <v>1242</v>
      </c>
      <c r="C149" s="36">
        <v>1281.5999999999999</v>
      </c>
      <c r="D149" s="4">
        <f t="shared" si="36"/>
        <v>1.0318840579710145</v>
      </c>
      <c r="E149" s="11">
        <v>10</v>
      </c>
      <c r="F149" s="5" t="s">
        <v>370</v>
      </c>
      <c r="G149" s="5" t="s">
        <v>370</v>
      </c>
      <c r="H149" s="5" t="s">
        <v>370</v>
      </c>
      <c r="I149" s="5" t="s">
        <v>370</v>
      </c>
      <c r="J149" s="5" t="s">
        <v>370</v>
      </c>
      <c r="K149" s="5" t="s">
        <v>370</v>
      </c>
      <c r="L149" s="5" t="s">
        <v>370</v>
      </c>
      <c r="M149" s="5" t="s">
        <v>370</v>
      </c>
      <c r="N149" s="36">
        <v>574.29999999999995</v>
      </c>
      <c r="O149" s="36">
        <v>355.9</v>
      </c>
      <c r="P149" s="4">
        <f t="shared" si="37"/>
        <v>0.61971095246386909</v>
      </c>
      <c r="Q149" s="11">
        <v>20</v>
      </c>
      <c r="R149" s="36">
        <v>220</v>
      </c>
      <c r="S149" s="36">
        <v>361.5</v>
      </c>
      <c r="T149" s="4">
        <f t="shared" si="38"/>
        <v>1.2443181818181817</v>
      </c>
      <c r="U149" s="11">
        <v>10</v>
      </c>
      <c r="V149" s="36">
        <v>0.7</v>
      </c>
      <c r="W149" s="36">
        <v>0.8</v>
      </c>
      <c r="X149" s="4">
        <f t="shared" si="39"/>
        <v>1.142857142857143</v>
      </c>
      <c r="Y149" s="11">
        <v>40</v>
      </c>
      <c r="Z149" s="45">
        <f t="shared" si="46"/>
        <v>1.0108815895181884</v>
      </c>
      <c r="AA149" s="46">
        <v>3953</v>
      </c>
      <c r="AB149" s="36">
        <f t="shared" si="40"/>
        <v>359.36363636363637</v>
      </c>
      <c r="AC149" s="36">
        <f t="shared" si="41"/>
        <v>363.3</v>
      </c>
      <c r="AD149" s="36">
        <f t="shared" si="42"/>
        <v>3.9363636363636374</v>
      </c>
      <c r="AE149" s="36">
        <v>-0.7</v>
      </c>
      <c r="AF149" s="36">
        <f t="shared" si="43"/>
        <v>362.6</v>
      </c>
      <c r="AG149" s="36"/>
      <c r="AH149" s="36">
        <f t="shared" si="44"/>
        <v>362.6</v>
      </c>
      <c r="AI149" s="36"/>
      <c r="AJ149" s="36">
        <f t="shared" si="45"/>
        <v>362.6</v>
      </c>
      <c r="AK149" s="9"/>
      <c r="AL149" s="9"/>
      <c r="AM149" s="9"/>
      <c r="AN149" s="9"/>
      <c r="AO149" s="9"/>
      <c r="AP149" s="9"/>
      <c r="AQ149" s="9"/>
      <c r="AR149" s="10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0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10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10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10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10"/>
      <c r="GC149" s="9"/>
      <c r="GD149" s="9"/>
    </row>
    <row r="150" spans="1:186" s="2" customFormat="1" ht="16.95" customHeight="1">
      <c r="A150" s="14" t="s">
        <v>149</v>
      </c>
      <c r="B150" s="36">
        <v>6381</v>
      </c>
      <c r="C150" s="36">
        <v>6508.3</v>
      </c>
      <c r="D150" s="4">
        <f t="shared" si="36"/>
        <v>1.0199498511205141</v>
      </c>
      <c r="E150" s="11">
        <v>10</v>
      </c>
      <c r="F150" s="5" t="s">
        <v>370</v>
      </c>
      <c r="G150" s="5" t="s">
        <v>370</v>
      </c>
      <c r="H150" s="5" t="s">
        <v>370</v>
      </c>
      <c r="I150" s="5" t="s">
        <v>370</v>
      </c>
      <c r="J150" s="5" t="s">
        <v>370</v>
      </c>
      <c r="K150" s="5" t="s">
        <v>370</v>
      </c>
      <c r="L150" s="5" t="s">
        <v>370</v>
      </c>
      <c r="M150" s="5" t="s">
        <v>370</v>
      </c>
      <c r="N150" s="36">
        <v>716.8</v>
      </c>
      <c r="O150" s="36">
        <v>413.1</v>
      </c>
      <c r="P150" s="4">
        <f t="shared" si="37"/>
        <v>0.57631138392857151</v>
      </c>
      <c r="Q150" s="11">
        <v>20</v>
      </c>
      <c r="R150" s="36">
        <v>2.5</v>
      </c>
      <c r="S150" s="36">
        <v>2.8</v>
      </c>
      <c r="T150" s="4">
        <f t="shared" si="38"/>
        <v>1.1199999999999999</v>
      </c>
      <c r="U150" s="11">
        <v>20</v>
      </c>
      <c r="V150" s="36">
        <v>2.6</v>
      </c>
      <c r="W150" s="36">
        <v>3.4</v>
      </c>
      <c r="X150" s="4">
        <f t="shared" si="39"/>
        <v>1.2107692307692308</v>
      </c>
      <c r="Y150" s="11">
        <v>30</v>
      </c>
      <c r="Z150" s="45">
        <f t="shared" si="46"/>
        <v>1.0056100389106688</v>
      </c>
      <c r="AA150" s="46">
        <v>7757</v>
      </c>
      <c r="AB150" s="36">
        <f t="shared" si="40"/>
        <v>705.18181818181813</v>
      </c>
      <c r="AC150" s="36">
        <f t="shared" si="41"/>
        <v>709.1</v>
      </c>
      <c r="AD150" s="36">
        <f t="shared" si="42"/>
        <v>3.9181818181818926</v>
      </c>
      <c r="AE150" s="36">
        <v>-7.2</v>
      </c>
      <c r="AF150" s="36">
        <f t="shared" si="43"/>
        <v>701.9</v>
      </c>
      <c r="AG150" s="36"/>
      <c r="AH150" s="36">
        <f t="shared" si="44"/>
        <v>701.9</v>
      </c>
      <c r="AI150" s="36"/>
      <c r="AJ150" s="36">
        <f t="shared" si="45"/>
        <v>701.9</v>
      </c>
      <c r="AK150" s="9"/>
      <c r="AL150" s="9"/>
      <c r="AM150" s="9"/>
      <c r="AN150" s="9"/>
      <c r="AO150" s="9"/>
      <c r="AP150" s="9"/>
      <c r="AQ150" s="9"/>
      <c r="AR150" s="10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10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10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10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10"/>
      <c r="GC150" s="9"/>
      <c r="GD150" s="9"/>
    </row>
    <row r="151" spans="1:186" s="2" customFormat="1" ht="16.95" customHeight="1">
      <c r="A151" s="14" t="s">
        <v>150</v>
      </c>
      <c r="B151" s="36">
        <v>137</v>
      </c>
      <c r="C151" s="36">
        <v>148.5</v>
      </c>
      <c r="D151" s="4">
        <f t="shared" si="36"/>
        <v>1.083941605839416</v>
      </c>
      <c r="E151" s="11">
        <v>10</v>
      </c>
      <c r="F151" s="5" t="s">
        <v>370</v>
      </c>
      <c r="G151" s="5" t="s">
        <v>370</v>
      </c>
      <c r="H151" s="5" t="s">
        <v>370</v>
      </c>
      <c r="I151" s="5" t="s">
        <v>370</v>
      </c>
      <c r="J151" s="5" t="s">
        <v>370</v>
      </c>
      <c r="K151" s="5" t="s">
        <v>370</v>
      </c>
      <c r="L151" s="5" t="s">
        <v>370</v>
      </c>
      <c r="M151" s="5" t="s">
        <v>370</v>
      </c>
      <c r="N151" s="36">
        <v>2483.6</v>
      </c>
      <c r="O151" s="36">
        <v>462.1</v>
      </c>
      <c r="P151" s="4">
        <f t="shared" si="37"/>
        <v>0.18606055725559673</v>
      </c>
      <c r="Q151" s="11">
        <v>20</v>
      </c>
      <c r="R151" s="36">
        <v>126.7</v>
      </c>
      <c r="S151" s="36">
        <v>149.4</v>
      </c>
      <c r="T151" s="4">
        <f t="shared" si="38"/>
        <v>1.1791633780584057</v>
      </c>
      <c r="U151" s="11">
        <v>35</v>
      </c>
      <c r="V151" s="36">
        <v>4</v>
      </c>
      <c r="W151" s="36">
        <v>4.7</v>
      </c>
      <c r="X151" s="4">
        <f t="shared" si="39"/>
        <v>1.175</v>
      </c>
      <c r="Y151" s="11">
        <v>15</v>
      </c>
      <c r="Z151" s="45">
        <f t="shared" si="46"/>
        <v>0.91820431794437862</v>
      </c>
      <c r="AA151" s="46">
        <v>1592</v>
      </c>
      <c r="AB151" s="36">
        <f t="shared" si="40"/>
        <v>144.72727272727272</v>
      </c>
      <c r="AC151" s="36">
        <f t="shared" si="41"/>
        <v>132.9</v>
      </c>
      <c r="AD151" s="36">
        <f t="shared" si="42"/>
        <v>-11.827272727272714</v>
      </c>
      <c r="AE151" s="36">
        <v>-3.3</v>
      </c>
      <c r="AF151" s="36">
        <f t="shared" si="43"/>
        <v>129.6</v>
      </c>
      <c r="AG151" s="36"/>
      <c r="AH151" s="36">
        <f t="shared" si="44"/>
        <v>129.6</v>
      </c>
      <c r="AI151" s="36"/>
      <c r="AJ151" s="36">
        <f t="shared" si="45"/>
        <v>129.6</v>
      </c>
      <c r="AK151" s="9"/>
      <c r="AL151" s="9"/>
      <c r="AM151" s="9"/>
      <c r="AN151" s="9"/>
      <c r="AO151" s="9"/>
      <c r="AP151" s="9"/>
      <c r="AQ151" s="9"/>
      <c r="AR151" s="10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0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10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10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10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10"/>
      <c r="GC151" s="9"/>
      <c r="GD151" s="9"/>
    </row>
    <row r="152" spans="1:186" s="2" customFormat="1" ht="16.95" customHeight="1">
      <c r="A152" s="14" t="s">
        <v>151</v>
      </c>
      <c r="B152" s="36">
        <v>0</v>
      </c>
      <c r="C152" s="36">
        <v>0</v>
      </c>
      <c r="D152" s="4">
        <f t="shared" si="36"/>
        <v>0</v>
      </c>
      <c r="E152" s="11">
        <v>0</v>
      </c>
      <c r="F152" s="5" t="s">
        <v>370</v>
      </c>
      <c r="G152" s="5" t="s">
        <v>370</v>
      </c>
      <c r="H152" s="5" t="s">
        <v>370</v>
      </c>
      <c r="I152" s="5" t="s">
        <v>370</v>
      </c>
      <c r="J152" s="5" t="s">
        <v>370</v>
      </c>
      <c r="K152" s="5" t="s">
        <v>370</v>
      </c>
      <c r="L152" s="5" t="s">
        <v>370</v>
      </c>
      <c r="M152" s="5" t="s">
        <v>370</v>
      </c>
      <c r="N152" s="36">
        <v>1462</v>
      </c>
      <c r="O152" s="36">
        <v>2551.3000000000002</v>
      </c>
      <c r="P152" s="4">
        <f t="shared" si="37"/>
        <v>1.2545075239398085</v>
      </c>
      <c r="Q152" s="11">
        <v>20</v>
      </c>
      <c r="R152" s="36">
        <v>2.2000000000000002</v>
      </c>
      <c r="S152" s="36">
        <v>4.9000000000000004</v>
      </c>
      <c r="T152" s="4">
        <f t="shared" si="38"/>
        <v>1.3</v>
      </c>
      <c r="U152" s="11">
        <v>5</v>
      </c>
      <c r="V152" s="36">
        <v>21</v>
      </c>
      <c r="W152" s="36">
        <v>26.9</v>
      </c>
      <c r="X152" s="4">
        <f t="shared" si="39"/>
        <v>1.2080952380952381</v>
      </c>
      <c r="Y152" s="11">
        <v>45</v>
      </c>
      <c r="Z152" s="45">
        <f t="shared" si="46"/>
        <v>1.2279205170440268</v>
      </c>
      <c r="AA152" s="46">
        <v>983</v>
      </c>
      <c r="AB152" s="36">
        <f t="shared" si="40"/>
        <v>89.36363636363636</v>
      </c>
      <c r="AC152" s="36">
        <f t="shared" si="41"/>
        <v>109.7</v>
      </c>
      <c r="AD152" s="36">
        <f t="shared" si="42"/>
        <v>20.336363636363643</v>
      </c>
      <c r="AE152" s="36">
        <v>-1.4</v>
      </c>
      <c r="AF152" s="36">
        <f t="shared" si="43"/>
        <v>108.3</v>
      </c>
      <c r="AG152" s="36"/>
      <c r="AH152" s="36">
        <f t="shared" si="44"/>
        <v>108.3</v>
      </c>
      <c r="AI152" s="36"/>
      <c r="AJ152" s="36">
        <f t="shared" si="45"/>
        <v>108.3</v>
      </c>
      <c r="AK152" s="9"/>
      <c r="AL152" s="9"/>
      <c r="AM152" s="9"/>
      <c r="AN152" s="9"/>
      <c r="AO152" s="9"/>
      <c r="AP152" s="9"/>
      <c r="AQ152" s="9"/>
      <c r="AR152" s="10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0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10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10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10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10"/>
      <c r="GC152" s="9"/>
      <c r="GD152" s="9"/>
    </row>
    <row r="153" spans="1:186" s="2" customFormat="1" ht="16.95" customHeight="1">
      <c r="A153" s="14" t="s">
        <v>152</v>
      </c>
      <c r="B153" s="36">
        <v>18302</v>
      </c>
      <c r="C153" s="36">
        <v>20046.400000000001</v>
      </c>
      <c r="D153" s="4">
        <f t="shared" si="36"/>
        <v>1.0953119877609006</v>
      </c>
      <c r="E153" s="11">
        <v>10</v>
      </c>
      <c r="F153" s="5" t="s">
        <v>370</v>
      </c>
      <c r="G153" s="5" t="s">
        <v>370</v>
      </c>
      <c r="H153" s="5" t="s">
        <v>370</v>
      </c>
      <c r="I153" s="5" t="s">
        <v>370</v>
      </c>
      <c r="J153" s="5" t="s">
        <v>370</v>
      </c>
      <c r="K153" s="5" t="s">
        <v>370</v>
      </c>
      <c r="L153" s="5" t="s">
        <v>370</v>
      </c>
      <c r="M153" s="5" t="s">
        <v>370</v>
      </c>
      <c r="N153" s="36">
        <v>1061</v>
      </c>
      <c r="O153" s="36">
        <v>807.1</v>
      </c>
      <c r="P153" s="4">
        <f t="shared" si="37"/>
        <v>0.76069745523091425</v>
      </c>
      <c r="Q153" s="11">
        <v>20</v>
      </c>
      <c r="R153" s="36">
        <v>0.8</v>
      </c>
      <c r="S153" s="36">
        <v>0.8</v>
      </c>
      <c r="T153" s="4">
        <f t="shared" si="38"/>
        <v>1</v>
      </c>
      <c r="U153" s="11">
        <v>15</v>
      </c>
      <c r="V153" s="36">
        <v>14</v>
      </c>
      <c r="W153" s="36">
        <v>27.1</v>
      </c>
      <c r="X153" s="4">
        <f t="shared" si="39"/>
        <v>1.2735714285714286</v>
      </c>
      <c r="Y153" s="11">
        <v>35</v>
      </c>
      <c r="Z153" s="45">
        <f t="shared" si="46"/>
        <v>1.0717758622778413</v>
      </c>
      <c r="AA153" s="46">
        <v>4740</v>
      </c>
      <c r="AB153" s="36">
        <f t="shared" si="40"/>
        <v>430.90909090909093</v>
      </c>
      <c r="AC153" s="36">
        <f t="shared" si="41"/>
        <v>461.8</v>
      </c>
      <c r="AD153" s="36">
        <f t="shared" si="42"/>
        <v>30.890909090909076</v>
      </c>
      <c r="AE153" s="36">
        <v>-2.2999999999999998</v>
      </c>
      <c r="AF153" s="36">
        <f t="shared" si="43"/>
        <v>459.5</v>
      </c>
      <c r="AG153" s="36"/>
      <c r="AH153" s="36">
        <f t="shared" si="44"/>
        <v>459.5</v>
      </c>
      <c r="AI153" s="36"/>
      <c r="AJ153" s="36">
        <f t="shared" si="45"/>
        <v>459.5</v>
      </c>
      <c r="AK153" s="9"/>
      <c r="AL153" s="9"/>
      <c r="AM153" s="9"/>
      <c r="AN153" s="9"/>
      <c r="AO153" s="9"/>
      <c r="AP153" s="9"/>
      <c r="AQ153" s="9"/>
      <c r="AR153" s="10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10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10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10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10"/>
      <c r="GC153" s="9"/>
      <c r="GD153" s="9"/>
    </row>
    <row r="154" spans="1:186" s="2" customFormat="1" ht="16.95" customHeight="1">
      <c r="A154" s="14" t="s">
        <v>153</v>
      </c>
      <c r="B154" s="36">
        <v>138</v>
      </c>
      <c r="C154" s="36">
        <v>145</v>
      </c>
      <c r="D154" s="4">
        <f t="shared" si="36"/>
        <v>1.0507246376811594</v>
      </c>
      <c r="E154" s="11">
        <v>10</v>
      </c>
      <c r="F154" s="5" t="s">
        <v>370</v>
      </c>
      <c r="G154" s="5" t="s">
        <v>370</v>
      </c>
      <c r="H154" s="5" t="s">
        <v>370</v>
      </c>
      <c r="I154" s="5" t="s">
        <v>370</v>
      </c>
      <c r="J154" s="5" t="s">
        <v>370</v>
      </c>
      <c r="K154" s="5" t="s">
        <v>370</v>
      </c>
      <c r="L154" s="5" t="s">
        <v>370</v>
      </c>
      <c r="M154" s="5" t="s">
        <v>370</v>
      </c>
      <c r="N154" s="36">
        <v>657.2</v>
      </c>
      <c r="O154" s="36">
        <v>169.8</v>
      </c>
      <c r="P154" s="4">
        <f t="shared" si="37"/>
        <v>0.25836883749239198</v>
      </c>
      <c r="Q154" s="11">
        <v>20</v>
      </c>
      <c r="R154" s="36">
        <v>143</v>
      </c>
      <c r="S154" s="36">
        <v>209.6</v>
      </c>
      <c r="T154" s="4">
        <f t="shared" si="38"/>
        <v>1.2265734265734265</v>
      </c>
      <c r="U154" s="11">
        <v>35</v>
      </c>
      <c r="V154" s="36">
        <v>7</v>
      </c>
      <c r="W154" s="36">
        <v>10.3</v>
      </c>
      <c r="X154" s="4">
        <f t="shared" si="39"/>
        <v>1.2271428571428571</v>
      </c>
      <c r="Y154" s="11">
        <v>15</v>
      </c>
      <c r="Z154" s="45">
        <f t="shared" si="46"/>
        <v>0.96264794892340277</v>
      </c>
      <c r="AA154" s="46">
        <v>1369</v>
      </c>
      <c r="AB154" s="36">
        <f t="shared" si="40"/>
        <v>124.45454545454545</v>
      </c>
      <c r="AC154" s="36">
        <f t="shared" si="41"/>
        <v>119.8</v>
      </c>
      <c r="AD154" s="36">
        <f t="shared" si="42"/>
        <v>-4.6545454545454561</v>
      </c>
      <c r="AE154" s="36">
        <v>-5.4</v>
      </c>
      <c r="AF154" s="36">
        <f t="shared" si="43"/>
        <v>114.4</v>
      </c>
      <c r="AG154" s="36"/>
      <c r="AH154" s="36">
        <f t="shared" si="44"/>
        <v>114.4</v>
      </c>
      <c r="AI154" s="36"/>
      <c r="AJ154" s="36">
        <f t="shared" si="45"/>
        <v>114.4</v>
      </c>
      <c r="AK154" s="9"/>
      <c r="AL154" s="9"/>
      <c r="AM154" s="9"/>
      <c r="AN154" s="9"/>
      <c r="AO154" s="9"/>
      <c r="AP154" s="9"/>
      <c r="AQ154" s="9"/>
      <c r="AR154" s="10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10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10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10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10"/>
      <c r="GC154" s="9"/>
      <c r="GD154" s="9"/>
    </row>
    <row r="155" spans="1:186" s="2" customFormat="1" ht="16.95" customHeight="1">
      <c r="A155" s="14" t="s">
        <v>154</v>
      </c>
      <c r="B155" s="36">
        <v>4403</v>
      </c>
      <c r="C155" s="36">
        <v>3960</v>
      </c>
      <c r="D155" s="4">
        <f t="shared" si="36"/>
        <v>0.89938678173972286</v>
      </c>
      <c r="E155" s="11">
        <v>10</v>
      </c>
      <c r="F155" s="5" t="s">
        <v>370</v>
      </c>
      <c r="G155" s="5" t="s">
        <v>370</v>
      </c>
      <c r="H155" s="5" t="s">
        <v>370</v>
      </c>
      <c r="I155" s="5" t="s">
        <v>370</v>
      </c>
      <c r="J155" s="5" t="s">
        <v>370</v>
      </c>
      <c r="K155" s="5" t="s">
        <v>370</v>
      </c>
      <c r="L155" s="5" t="s">
        <v>370</v>
      </c>
      <c r="M155" s="5" t="s">
        <v>370</v>
      </c>
      <c r="N155" s="36">
        <v>551.1</v>
      </c>
      <c r="O155" s="36">
        <v>198.9</v>
      </c>
      <c r="P155" s="4">
        <f t="shared" si="37"/>
        <v>0.36091453456722916</v>
      </c>
      <c r="Q155" s="11">
        <v>20</v>
      </c>
      <c r="R155" s="36">
        <v>1.1000000000000001</v>
      </c>
      <c r="S155" s="36">
        <v>1.7</v>
      </c>
      <c r="T155" s="4">
        <f t="shared" si="38"/>
        <v>1.2345454545454544</v>
      </c>
      <c r="U155" s="11">
        <v>20</v>
      </c>
      <c r="V155" s="36">
        <v>0.6</v>
      </c>
      <c r="W155" s="36">
        <v>1</v>
      </c>
      <c r="X155" s="4">
        <f t="shared" si="39"/>
        <v>1.2466666666666666</v>
      </c>
      <c r="Y155" s="11">
        <v>30</v>
      </c>
      <c r="Z155" s="45">
        <f t="shared" si="46"/>
        <v>0.97878834499563605</v>
      </c>
      <c r="AA155" s="46">
        <v>3493</v>
      </c>
      <c r="AB155" s="36">
        <f t="shared" si="40"/>
        <v>317.54545454545456</v>
      </c>
      <c r="AC155" s="36">
        <f t="shared" si="41"/>
        <v>310.8</v>
      </c>
      <c r="AD155" s="36">
        <f t="shared" si="42"/>
        <v>-6.7454545454545496</v>
      </c>
      <c r="AE155" s="36">
        <v>-7.2</v>
      </c>
      <c r="AF155" s="36">
        <f t="shared" si="43"/>
        <v>303.60000000000002</v>
      </c>
      <c r="AG155" s="36"/>
      <c r="AH155" s="36">
        <f t="shared" si="44"/>
        <v>303.60000000000002</v>
      </c>
      <c r="AI155" s="36"/>
      <c r="AJ155" s="36">
        <f t="shared" si="45"/>
        <v>303.60000000000002</v>
      </c>
      <c r="AK155" s="9"/>
      <c r="AL155" s="9"/>
      <c r="AM155" s="9"/>
      <c r="AN155" s="9"/>
      <c r="AO155" s="9"/>
      <c r="AP155" s="9"/>
      <c r="AQ155" s="9"/>
      <c r="AR155" s="10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0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10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10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10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10"/>
      <c r="GC155" s="9"/>
      <c r="GD155" s="9"/>
    </row>
    <row r="156" spans="1:186" s="2" customFormat="1" ht="16.95" customHeight="1">
      <c r="A156" s="14" t="s">
        <v>155</v>
      </c>
      <c r="B156" s="36">
        <v>54</v>
      </c>
      <c r="C156" s="36">
        <v>53</v>
      </c>
      <c r="D156" s="4">
        <f t="shared" si="36"/>
        <v>0.98148148148148151</v>
      </c>
      <c r="E156" s="11">
        <v>10</v>
      </c>
      <c r="F156" s="5" t="s">
        <v>370</v>
      </c>
      <c r="G156" s="5" t="s">
        <v>370</v>
      </c>
      <c r="H156" s="5" t="s">
        <v>370</v>
      </c>
      <c r="I156" s="5" t="s">
        <v>370</v>
      </c>
      <c r="J156" s="5" t="s">
        <v>370</v>
      </c>
      <c r="K156" s="5" t="s">
        <v>370</v>
      </c>
      <c r="L156" s="5" t="s">
        <v>370</v>
      </c>
      <c r="M156" s="5" t="s">
        <v>370</v>
      </c>
      <c r="N156" s="36">
        <v>112.5</v>
      </c>
      <c r="O156" s="36">
        <v>94.7</v>
      </c>
      <c r="P156" s="4">
        <f t="shared" si="37"/>
        <v>0.84177777777777785</v>
      </c>
      <c r="Q156" s="11">
        <v>20</v>
      </c>
      <c r="R156" s="36">
        <v>130</v>
      </c>
      <c r="S156" s="36">
        <v>141.30000000000001</v>
      </c>
      <c r="T156" s="4">
        <f t="shared" si="38"/>
        <v>1.0869230769230771</v>
      </c>
      <c r="U156" s="11">
        <v>30</v>
      </c>
      <c r="V156" s="36">
        <v>3.3</v>
      </c>
      <c r="W156" s="36">
        <v>3.9</v>
      </c>
      <c r="X156" s="4">
        <f t="shared" si="39"/>
        <v>1.1818181818181819</v>
      </c>
      <c r="Y156" s="11">
        <v>20</v>
      </c>
      <c r="Z156" s="45">
        <f t="shared" si="46"/>
        <v>1.0361803289303291</v>
      </c>
      <c r="AA156" s="46">
        <v>3141</v>
      </c>
      <c r="AB156" s="36">
        <f t="shared" si="40"/>
        <v>285.54545454545456</v>
      </c>
      <c r="AC156" s="36">
        <f t="shared" si="41"/>
        <v>295.89999999999998</v>
      </c>
      <c r="AD156" s="36">
        <f t="shared" si="42"/>
        <v>10.354545454545416</v>
      </c>
      <c r="AE156" s="36">
        <v>-6</v>
      </c>
      <c r="AF156" s="36">
        <f t="shared" si="43"/>
        <v>289.89999999999998</v>
      </c>
      <c r="AG156" s="36"/>
      <c r="AH156" s="36">
        <f t="shared" si="44"/>
        <v>289.89999999999998</v>
      </c>
      <c r="AI156" s="36"/>
      <c r="AJ156" s="36">
        <f t="shared" si="45"/>
        <v>289.89999999999998</v>
      </c>
      <c r="AK156" s="9"/>
      <c r="AL156" s="9"/>
      <c r="AM156" s="9"/>
      <c r="AN156" s="9"/>
      <c r="AO156" s="9"/>
      <c r="AP156" s="9"/>
      <c r="AQ156" s="9"/>
      <c r="AR156" s="10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10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10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10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10"/>
      <c r="GC156" s="9"/>
      <c r="GD156" s="9"/>
    </row>
    <row r="157" spans="1:186" s="2" customFormat="1" ht="16.95" customHeight="1">
      <c r="A157" s="14" t="s">
        <v>156</v>
      </c>
      <c r="B157" s="36">
        <v>182</v>
      </c>
      <c r="C157" s="36">
        <v>211.3</v>
      </c>
      <c r="D157" s="4">
        <f t="shared" si="36"/>
        <v>1.1609890109890111</v>
      </c>
      <c r="E157" s="11">
        <v>10</v>
      </c>
      <c r="F157" s="5" t="s">
        <v>370</v>
      </c>
      <c r="G157" s="5" t="s">
        <v>370</v>
      </c>
      <c r="H157" s="5" t="s">
        <v>370</v>
      </c>
      <c r="I157" s="5" t="s">
        <v>370</v>
      </c>
      <c r="J157" s="5" t="s">
        <v>370</v>
      </c>
      <c r="K157" s="5" t="s">
        <v>370</v>
      </c>
      <c r="L157" s="5" t="s">
        <v>370</v>
      </c>
      <c r="M157" s="5" t="s">
        <v>370</v>
      </c>
      <c r="N157" s="36">
        <v>150</v>
      </c>
      <c r="O157" s="36">
        <v>102.1</v>
      </c>
      <c r="P157" s="4">
        <f t="shared" si="37"/>
        <v>0.68066666666666664</v>
      </c>
      <c r="Q157" s="11">
        <v>20</v>
      </c>
      <c r="R157" s="36">
        <v>0.5</v>
      </c>
      <c r="S157" s="36">
        <v>0.5</v>
      </c>
      <c r="T157" s="4">
        <f t="shared" si="38"/>
        <v>1</v>
      </c>
      <c r="U157" s="11">
        <v>15</v>
      </c>
      <c r="V157" s="36">
        <v>0.5</v>
      </c>
      <c r="W157" s="36">
        <v>0.5</v>
      </c>
      <c r="X157" s="4">
        <f t="shared" si="39"/>
        <v>1</v>
      </c>
      <c r="Y157" s="11">
        <v>35</v>
      </c>
      <c r="Z157" s="45">
        <f t="shared" si="46"/>
        <v>0.9402902930402931</v>
      </c>
      <c r="AA157" s="46">
        <v>3537</v>
      </c>
      <c r="AB157" s="36">
        <f t="shared" si="40"/>
        <v>321.54545454545456</v>
      </c>
      <c r="AC157" s="36">
        <f t="shared" si="41"/>
        <v>302.3</v>
      </c>
      <c r="AD157" s="36">
        <f t="shared" si="42"/>
        <v>-19.24545454545455</v>
      </c>
      <c r="AE157" s="36">
        <v>-1.6</v>
      </c>
      <c r="AF157" s="36">
        <f t="shared" si="43"/>
        <v>300.7</v>
      </c>
      <c r="AG157" s="36"/>
      <c r="AH157" s="36">
        <f t="shared" si="44"/>
        <v>300.7</v>
      </c>
      <c r="AI157" s="36"/>
      <c r="AJ157" s="36">
        <f t="shared" si="45"/>
        <v>300.7</v>
      </c>
      <c r="AK157" s="9"/>
      <c r="AL157" s="9"/>
      <c r="AM157" s="9"/>
      <c r="AN157" s="9"/>
      <c r="AO157" s="9"/>
      <c r="AP157" s="9"/>
      <c r="AQ157" s="9"/>
      <c r="AR157" s="10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10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10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10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10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10"/>
      <c r="GC157" s="9"/>
      <c r="GD157" s="9"/>
    </row>
    <row r="158" spans="1:186" s="2" customFormat="1" ht="16.95" customHeight="1">
      <c r="A158" s="14" t="s">
        <v>157</v>
      </c>
      <c r="B158" s="36">
        <v>1068567</v>
      </c>
      <c r="C158" s="36">
        <v>1512977.3</v>
      </c>
      <c r="D158" s="4">
        <f t="shared" si="36"/>
        <v>1.2215893715602297</v>
      </c>
      <c r="E158" s="11">
        <v>10</v>
      </c>
      <c r="F158" s="5" t="s">
        <v>370</v>
      </c>
      <c r="G158" s="5" t="s">
        <v>370</v>
      </c>
      <c r="H158" s="5" t="s">
        <v>370</v>
      </c>
      <c r="I158" s="5" t="s">
        <v>370</v>
      </c>
      <c r="J158" s="5" t="s">
        <v>370</v>
      </c>
      <c r="K158" s="5" t="s">
        <v>370</v>
      </c>
      <c r="L158" s="5" t="s">
        <v>370</v>
      </c>
      <c r="M158" s="5" t="s">
        <v>370</v>
      </c>
      <c r="N158" s="36">
        <v>3423.3</v>
      </c>
      <c r="O158" s="36">
        <v>0</v>
      </c>
      <c r="P158" s="4">
        <f t="shared" si="37"/>
        <v>0</v>
      </c>
      <c r="Q158" s="11">
        <v>20</v>
      </c>
      <c r="R158" s="36">
        <v>0.4</v>
      </c>
      <c r="S158" s="36">
        <v>0.4</v>
      </c>
      <c r="T158" s="4">
        <f t="shared" si="38"/>
        <v>1</v>
      </c>
      <c r="U158" s="11">
        <v>20</v>
      </c>
      <c r="V158" s="36">
        <v>250</v>
      </c>
      <c r="W158" s="36">
        <v>290</v>
      </c>
      <c r="X158" s="4">
        <f t="shared" si="39"/>
        <v>1.1599999999999999</v>
      </c>
      <c r="Y158" s="11">
        <v>30</v>
      </c>
      <c r="Z158" s="45">
        <f t="shared" si="46"/>
        <v>0.83769867144502863</v>
      </c>
      <c r="AA158" s="46">
        <v>1377</v>
      </c>
      <c r="AB158" s="36">
        <f t="shared" si="40"/>
        <v>125.18181818181819</v>
      </c>
      <c r="AC158" s="36">
        <f t="shared" si="41"/>
        <v>104.9</v>
      </c>
      <c r="AD158" s="36">
        <f t="shared" si="42"/>
        <v>-20.281818181818181</v>
      </c>
      <c r="AE158" s="36">
        <v>0.2</v>
      </c>
      <c r="AF158" s="36">
        <f t="shared" si="43"/>
        <v>105.1</v>
      </c>
      <c r="AG158" s="36"/>
      <c r="AH158" s="36">
        <f t="shared" si="44"/>
        <v>105.1</v>
      </c>
      <c r="AI158" s="36"/>
      <c r="AJ158" s="36">
        <f t="shared" si="45"/>
        <v>105.1</v>
      </c>
      <c r="AK158" s="9"/>
      <c r="AL158" s="9"/>
      <c r="AM158" s="9"/>
      <c r="AN158" s="9"/>
      <c r="AO158" s="9"/>
      <c r="AP158" s="9"/>
      <c r="AQ158" s="9"/>
      <c r="AR158" s="10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10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10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10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10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10"/>
      <c r="GC158" s="9"/>
      <c r="GD158" s="9"/>
    </row>
    <row r="159" spans="1:186" s="2" customFormat="1" ht="16.95" customHeight="1">
      <c r="A159" s="18" t="s">
        <v>158</v>
      </c>
      <c r="B159" s="6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9"/>
      <c r="AL159" s="9"/>
      <c r="AM159" s="9"/>
      <c r="AN159" s="9"/>
      <c r="AO159" s="9"/>
      <c r="AP159" s="9"/>
      <c r="AQ159" s="9"/>
      <c r="AR159" s="10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10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10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10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10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10"/>
      <c r="GC159" s="9"/>
      <c r="GD159" s="9"/>
    </row>
    <row r="160" spans="1:186" s="2" customFormat="1" ht="16.95" customHeight="1">
      <c r="A160" s="14" t="s">
        <v>72</v>
      </c>
      <c r="B160" s="36">
        <v>0</v>
      </c>
      <c r="C160" s="36">
        <v>0</v>
      </c>
      <c r="D160" s="4">
        <f t="shared" si="36"/>
        <v>0</v>
      </c>
      <c r="E160" s="11">
        <v>0</v>
      </c>
      <c r="F160" s="5" t="s">
        <v>370</v>
      </c>
      <c r="G160" s="5" t="s">
        <v>370</v>
      </c>
      <c r="H160" s="5" t="s">
        <v>370</v>
      </c>
      <c r="I160" s="5" t="s">
        <v>370</v>
      </c>
      <c r="J160" s="5" t="s">
        <v>370</v>
      </c>
      <c r="K160" s="5" t="s">
        <v>370</v>
      </c>
      <c r="L160" s="5" t="s">
        <v>370</v>
      </c>
      <c r="M160" s="5" t="s">
        <v>370</v>
      </c>
      <c r="N160" s="36">
        <v>94</v>
      </c>
      <c r="O160" s="36">
        <v>151.30000000000001</v>
      </c>
      <c r="P160" s="4">
        <f t="shared" si="37"/>
        <v>1.2409574468085105</v>
      </c>
      <c r="Q160" s="11">
        <v>20</v>
      </c>
      <c r="R160" s="36">
        <v>0</v>
      </c>
      <c r="S160" s="36">
        <v>0</v>
      </c>
      <c r="T160" s="4">
        <f t="shared" si="38"/>
        <v>1</v>
      </c>
      <c r="U160" s="11">
        <v>25</v>
      </c>
      <c r="V160" s="36">
        <v>0</v>
      </c>
      <c r="W160" s="36">
        <v>0</v>
      </c>
      <c r="X160" s="4">
        <f t="shared" si="39"/>
        <v>1</v>
      </c>
      <c r="Y160" s="11">
        <v>25</v>
      </c>
      <c r="Z160" s="45">
        <f t="shared" si="46"/>
        <v>1.0688449848024315</v>
      </c>
      <c r="AA160" s="46">
        <v>2204</v>
      </c>
      <c r="AB160" s="36">
        <f t="shared" si="40"/>
        <v>200.36363636363637</v>
      </c>
      <c r="AC160" s="36">
        <f t="shared" si="41"/>
        <v>214.2</v>
      </c>
      <c r="AD160" s="36">
        <f t="shared" si="42"/>
        <v>13.836363636363615</v>
      </c>
      <c r="AE160" s="36">
        <v>3.7</v>
      </c>
      <c r="AF160" s="36">
        <f t="shared" si="43"/>
        <v>217.9</v>
      </c>
      <c r="AG160" s="36"/>
      <c r="AH160" s="36">
        <f t="shared" si="44"/>
        <v>217.9</v>
      </c>
      <c r="AI160" s="36"/>
      <c r="AJ160" s="36">
        <f t="shared" si="45"/>
        <v>217.9</v>
      </c>
      <c r="AK160" s="9"/>
      <c r="AL160" s="9"/>
      <c r="AM160" s="9"/>
      <c r="AN160" s="9"/>
      <c r="AO160" s="9"/>
      <c r="AP160" s="9"/>
      <c r="AQ160" s="9"/>
      <c r="AR160" s="10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10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10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10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10"/>
      <c r="GC160" s="9"/>
      <c r="GD160" s="9"/>
    </row>
    <row r="161" spans="1:186" s="2" customFormat="1" ht="16.95" customHeight="1">
      <c r="A161" s="14" t="s">
        <v>159</v>
      </c>
      <c r="B161" s="36">
        <v>0</v>
      </c>
      <c r="C161" s="36">
        <v>0</v>
      </c>
      <c r="D161" s="4">
        <f t="shared" si="36"/>
        <v>0</v>
      </c>
      <c r="E161" s="11">
        <v>0</v>
      </c>
      <c r="F161" s="5" t="s">
        <v>370</v>
      </c>
      <c r="G161" s="5" t="s">
        <v>370</v>
      </c>
      <c r="H161" s="5" t="s">
        <v>370</v>
      </c>
      <c r="I161" s="5" t="s">
        <v>370</v>
      </c>
      <c r="J161" s="5" t="s">
        <v>370</v>
      </c>
      <c r="K161" s="5" t="s">
        <v>370</v>
      </c>
      <c r="L161" s="5" t="s">
        <v>370</v>
      </c>
      <c r="M161" s="5" t="s">
        <v>370</v>
      </c>
      <c r="N161" s="36">
        <v>292.10000000000002</v>
      </c>
      <c r="O161" s="36">
        <v>156.69999999999999</v>
      </c>
      <c r="P161" s="4">
        <f t="shared" si="37"/>
        <v>0.53646011639849356</v>
      </c>
      <c r="Q161" s="11">
        <v>20</v>
      </c>
      <c r="R161" s="36">
        <v>0</v>
      </c>
      <c r="S161" s="36">
        <v>0</v>
      </c>
      <c r="T161" s="4">
        <f t="shared" si="38"/>
        <v>1</v>
      </c>
      <c r="U161" s="11">
        <v>45</v>
      </c>
      <c r="V161" s="36">
        <v>0</v>
      </c>
      <c r="W161" s="36">
        <v>0</v>
      </c>
      <c r="X161" s="4">
        <f t="shared" si="39"/>
        <v>1</v>
      </c>
      <c r="Y161" s="11">
        <v>5</v>
      </c>
      <c r="Z161" s="45">
        <f t="shared" si="46"/>
        <v>0.86756003325671249</v>
      </c>
      <c r="AA161" s="46">
        <v>697</v>
      </c>
      <c r="AB161" s="36">
        <f t="shared" si="40"/>
        <v>63.363636363636367</v>
      </c>
      <c r="AC161" s="36">
        <f t="shared" si="41"/>
        <v>55</v>
      </c>
      <c r="AD161" s="36">
        <f t="shared" si="42"/>
        <v>-8.3636363636363669</v>
      </c>
      <c r="AE161" s="36">
        <v>1.1000000000000001</v>
      </c>
      <c r="AF161" s="36">
        <f t="shared" si="43"/>
        <v>56.1</v>
      </c>
      <c r="AG161" s="36"/>
      <c r="AH161" s="36">
        <f t="shared" si="44"/>
        <v>56.1</v>
      </c>
      <c r="AI161" s="36"/>
      <c r="AJ161" s="36">
        <f t="shared" si="45"/>
        <v>56.1</v>
      </c>
      <c r="AK161" s="9"/>
      <c r="AL161" s="9"/>
      <c r="AM161" s="9"/>
      <c r="AN161" s="9"/>
      <c r="AO161" s="9"/>
      <c r="AP161" s="9"/>
      <c r="AQ161" s="9"/>
      <c r="AR161" s="10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10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10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10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10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10"/>
      <c r="GC161" s="9"/>
      <c r="GD161" s="9"/>
    </row>
    <row r="162" spans="1:186" s="2" customFormat="1" ht="16.95" customHeight="1">
      <c r="A162" s="14" t="s">
        <v>160</v>
      </c>
      <c r="B162" s="36">
        <v>0</v>
      </c>
      <c r="C162" s="36">
        <v>0</v>
      </c>
      <c r="D162" s="4">
        <f t="shared" si="36"/>
        <v>0</v>
      </c>
      <c r="E162" s="11">
        <v>0</v>
      </c>
      <c r="F162" s="5" t="s">
        <v>370</v>
      </c>
      <c r="G162" s="5" t="s">
        <v>370</v>
      </c>
      <c r="H162" s="5" t="s">
        <v>370</v>
      </c>
      <c r="I162" s="5" t="s">
        <v>370</v>
      </c>
      <c r="J162" s="5" t="s">
        <v>370</v>
      </c>
      <c r="K162" s="5" t="s">
        <v>370</v>
      </c>
      <c r="L162" s="5" t="s">
        <v>370</v>
      </c>
      <c r="M162" s="5" t="s">
        <v>370</v>
      </c>
      <c r="N162" s="36">
        <v>107.5</v>
      </c>
      <c r="O162" s="36">
        <v>182.8</v>
      </c>
      <c r="P162" s="4">
        <f t="shared" si="37"/>
        <v>1.2500465116279069</v>
      </c>
      <c r="Q162" s="11">
        <v>20</v>
      </c>
      <c r="R162" s="36">
        <v>0</v>
      </c>
      <c r="S162" s="36">
        <v>0</v>
      </c>
      <c r="T162" s="4">
        <f t="shared" si="38"/>
        <v>1</v>
      </c>
      <c r="U162" s="11">
        <v>20</v>
      </c>
      <c r="V162" s="36">
        <v>0</v>
      </c>
      <c r="W162" s="36">
        <v>0</v>
      </c>
      <c r="X162" s="4">
        <f t="shared" si="39"/>
        <v>1</v>
      </c>
      <c r="Y162" s="11">
        <v>30</v>
      </c>
      <c r="Z162" s="45">
        <f t="shared" si="46"/>
        <v>1.0714418604651164</v>
      </c>
      <c r="AA162" s="46">
        <v>3012</v>
      </c>
      <c r="AB162" s="36">
        <f t="shared" si="40"/>
        <v>273.81818181818181</v>
      </c>
      <c r="AC162" s="36">
        <f t="shared" si="41"/>
        <v>293.39999999999998</v>
      </c>
      <c r="AD162" s="36">
        <f t="shared" si="42"/>
        <v>19.581818181818164</v>
      </c>
      <c r="AE162" s="36">
        <v>2.7</v>
      </c>
      <c r="AF162" s="36">
        <f t="shared" si="43"/>
        <v>296.10000000000002</v>
      </c>
      <c r="AG162" s="36"/>
      <c r="AH162" s="36">
        <f t="shared" si="44"/>
        <v>296.10000000000002</v>
      </c>
      <c r="AI162" s="36"/>
      <c r="AJ162" s="36">
        <f t="shared" si="45"/>
        <v>296.10000000000002</v>
      </c>
      <c r="AK162" s="9"/>
      <c r="AL162" s="9"/>
      <c r="AM162" s="9"/>
      <c r="AN162" s="9"/>
      <c r="AO162" s="9"/>
      <c r="AP162" s="9"/>
      <c r="AQ162" s="9"/>
      <c r="AR162" s="10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10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10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10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10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10"/>
      <c r="GC162" s="9"/>
      <c r="GD162" s="9"/>
    </row>
    <row r="163" spans="1:186" s="2" customFormat="1" ht="16.95" customHeight="1">
      <c r="A163" s="14" t="s">
        <v>161</v>
      </c>
      <c r="B163" s="36">
        <v>0</v>
      </c>
      <c r="C163" s="36">
        <v>0</v>
      </c>
      <c r="D163" s="4">
        <f t="shared" si="36"/>
        <v>0</v>
      </c>
      <c r="E163" s="11">
        <v>0</v>
      </c>
      <c r="F163" s="5" t="s">
        <v>370</v>
      </c>
      <c r="G163" s="5" t="s">
        <v>370</v>
      </c>
      <c r="H163" s="5" t="s">
        <v>370</v>
      </c>
      <c r="I163" s="5" t="s">
        <v>370</v>
      </c>
      <c r="J163" s="5" t="s">
        <v>370</v>
      </c>
      <c r="K163" s="5" t="s">
        <v>370</v>
      </c>
      <c r="L163" s="5" t="s">
        <v>370</v>
      </c>
      <c r="M163" s="5" t="s">
        <v>370</v>
      </c>
      <c r="N163" s="36">
        <v>281.39999999999998</v>
      </c>
      <c r="O163" s="36">
        <v>584.79999999999995</v>
      </c>
      <c r="P163" s="4">
        <f t="shared" si="37"/>
        <v>1.287818052594172</v>
      </c>
      <c r="Q163" s="11">
        <v>20</v>
      </c>
      <c r="R163" s="36">
        <v>0</v>
      </c>
      <c r="S163" s="36">
        <v>0</v>
      </c>
      <c r="T163" s="4">
        <f t="shared" si="38"/>
        <v>1</v>
      </c>
      <c r="U163" s="11">
        <v>25</v>
      </c>
      <c r="V163" s="36">
        <v>0</v>
      </c>
      <c r="W163" s="36">
        <v>1.1000000000000001</v>
      </c>
      <c r="X163" s="4">
        <f t="shared" si="39"/>
        <v>1</v>
      </c>
      <c r="Y163" s="11">
        <v>25</v>
      </c>
      <c r="Z163" s="45">
        <f t="shared" si="46"/>
        <v>1.0822337293126207</v>
      </c>
      <c r="AA163" s="46">
        <v>1641</v>
      </c>
      <c r="AB163" s="36">
        <f t="shared" si="40"/>
        <v>149.18181818181819</v>
      </c>
      <c r="AC163" s="36">
        <f t="shared" si="41"/>
        <v>161.4</v>
      </c>
      <c r="AD163" s="36">
        <f t="shared" si="42"/>
        <v>12.218181818181819</v>
      </c>
      <c r="AE163" s="36">
        <v>-1.3</v>
      </c>
      <c r="AF163" s="36">
        <f t="shared" si="43"/>
        <v>160.1</v>
      </c>
      <c r="AG163" s="36"/>
      <c r="AH163" s="36">
        <f t="shared" si="44"/>
        <v>160.1</v>
      </c>
      <c r="AI163" s="36"/>
      <c r="AJ163" s="36">
        <f t="shared" si="45"/>
        <v>160.1</v>
      </c>
      <c r="AK163" s="9"/>
      <c r="AL163" s="9"/>
      <c r="AM163" s="9"/>
      <c r="AN163" s="9"/>
      <c r="AO163" s="9"/>
      <c r="AP163" s="9"/>
      <c r="AQ163" s="9"/>
      <c r="AR163" s="10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0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10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10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10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10"/>
      <c r="GC163" s="9"/>
      <c r="GD163" s="9"/>
    </row>
    <row r="164" spans="1:186" s="2" customFormat="1" ht="16.95" customHeight="1">
      <c r="A164" s="14" t="s">
        <v>162</v>
      </c>
      <c r="B164" s="36">
        <v>80197</v>
      </c>
      <c r="C164" s="36">
        <v>106279</v>
      </c>
      <c r="D164" s="4">
        <f t="shared" si="36"/>
        <v>1.2125224135566168</v>
      </c>
      <c r="E164" s="11">
        <v>10</v>
      </c>
      <c r="F164" s="5" t="s">
        <v>370</v>
      </c>
      <c r="G164" s="5" t="s">
        <v>370</v>
      </c>
      <c r="H164" s="5" t="s">
        <v>370</v>
      </c>
      <c r="I164" s="5" t="s">
        <v>370</v>
      </c>
      <c r="J164" s="5" t="s">
        <v>370</v>
      </c>
      <c r="K164" s="5" t="s">
        <v>370</v>
      </c>
      <c r="L164" s="5" t="s">
        <v>370</v>
      </c>
      <c r="M164" s="5" t="s">
        <v>370</v>
      </c>
      <c r="N164" s="36">
        <v>3228.9</v>
      </c>
      <c r="O164" s="36">
        <v>5475.6</v>
      </c>
      <c r="P164" s="4">
        <f t="shared" si="37"/>
        <v>1.2495809718479978</v>
      </c>
      <c r="Q164" s="11">
        <v>20</v>
      </c>
      <c r="R164" s="36">
        <v>139</v>
      </c>
      <c r="S164" s="36">
        <v>153.9</v>
      </c>
      <c r="T164" s="4">
        <f t="shared" si="38"/>
        <v>1.1071942446043166</v>
      </c>
      <c r="U164" s="11">
        <v>25</v>
      </c>
      <c r="V164" s="36">
        <v>2</v>
      </c>
      <c r="W164" s="36">
        <v>6</v>
      </c>
      <c r="X164" s="4">
        <f t="shared" si="39"/>
        <v>1.3</v>
      </c>
      <c r="Y164" s="11">
        <v>25</v>
      </c>
      <c r="Z164" s="45">
        <f t="shared" si="46"/>
        <v>1.2162087460954254</v>
      </c>
      <c r="AA164" s="46">
        <v>4359</v>
      </c>
      <c r="AB164" s="36">
        <f t="shared" si="40"/>
        <v>396.27272727272725</v>
      </c>
      <c r="AC164" s="36">
        <f t="shared" si="41"/>
        <v>482</v>
      </c>
      <c r="AD164" s="36">
        <f t="shared" si="42"/>
        <v>85.727272727272748</v>
      </c>
      <c r="AE164" s="36">
        <v>-1.6</v>
      </c>
      <c r="AF164" s="36">
        <f t="shared" si="43"/>
        <v>480.4</v>
      </c>
      <c r="AG164" s="36"/>
      <c r="AH164" s="36">
        <f t="shared" si="44"/>
        <v>480.4</v>
      </c>
      <c r="AI164" s="36"/>
      <c r="AJ164" s="36">
        <f t="shared" si="45"/>
        <v>480.4</v>
      </c>
      <c r="AK164" s="9"/>
      <c r="AL164" s="9"/>
      <c r="AM164" s="9"/>
      <c r="AN164" s="9"/>
      <c r="AO164" s="9"/>
      <c r="AP164" s="9"/>
      <c r="AQ164" s="9"/>
      <c r="AR164" s="10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10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10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10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10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10"/>
      <c r="GC164" s="9"/>
      <c r="GD164" s="9"/>
    </row>
    <row r="165" spans="1:186" s="2" customFormat="1" ht="16.95" customHeight="1">
      <c r="A165" s="14" t="s">
        <v>163</v>
      </c>
      <c r="B165" s="36">
        <v>0</v>
      </c>
      <c r="C165" s="36">
        <v>0</v>
      </c>
      <c r="D165" s="4">
        <f t="shared" si="36"/>
        <v>0</v>
      </c>
      <c r="E165" s="11">
        <v>0</v>
      </c>
      <c r="F165" s="5" t="s">
        <v>370</v>
      </c>
      <c r="G165" s="5" t="s">
        <v>370</v>
      </c>
      <c r="H165" s="5" t="s">
        <v>370</v>
      </c>
      <c r="I165" s="5" t="s">
        <v>370</v>
      </c>
      <c r="J165" s="5" t="s">
        <v>370</v>
      </c>
      <c r="K165" s="5" t="s">
        <v>370</v>
      </c>
      <c r="L165" s="5" t="s">
        <v>370</v>
      </c>
      <c r="M165" s="5" t="s">
        <v>370</v>
      </c>
      <c r="N165" s="36">
        <v>122</v>
      </c>
      <c r="O165" s="36">
        <v>127.4</v>
      </c>
      <c r="P165" s="4">
        <f t="shared" si="37"/>
        <v>1.0442622950819673</v>
      </c>
      <c r="Q165" s="11">
        <v>20</v>
      </c>
      <c r="R165" s="36">
        <v>0</v>
      </c>
      <c r="S165" s="36">
        <v>0</v>
      </c>
      <c r="T165" s="4">
        <f t="shared" si="38"/>
        <v>1</v>
      </c>
      <c r="U165" s="11">
        <v>25</v>
      </c>
      <c r="V165" s="36">
        <v>1</v>
      </c>
      <c r="W165" s="36">
        <v>2.4</v>
      </c>
      <c r="X165" s="4">
        <f t="shared" si="39"/>
        <v>1.3</v>
      </c>
      <c r="Y165" s="11">
        <v>25</v>
      </c>
      <c r="Z165" s="45">
        <f t="shared" si="46"/>
        <v>1.1197892271662764</v>
      </c>
      <c r="AA165" s="46">
        <v>2464</v>
      </c>
      <c r="AB165" s="36">
        <f t="shared" si="40"/>
        <v>224</v>
      </c>
      <c r="AC165" s="36">
        <f t="shared" si="41"/>
        <v>250.8</v>
      </c>
      <c r="AD165" s="36">
        <f t="shared" si="42"/>
        <v>26.800000000000011</v>
      </c>
      <c r="AE165" s="36">
        <v>-2.8</v>
      </c>
      <c r="AF165" s="36">
        <f t="shared" si="43"/>
        <v>248</v>
      </c>
      <c r="AG165" s="36"/>
      <c r="AH165" s="36">
        <f t="shared" si="44"/>
        <v>248</v>
      </c>
      <c r="AI165" s="36"/>
      <c r="AJ165" s="36">
        <f t="shared" si="45"/>
        <v>248</v>
      </c>
      <c r="AK165" s="9"/>
      <c r="AL165" s="9"/>
      <c r="AM165" s="9"/>
      <c r="AN165" s="9"/>
      <c r="AO165" s="9"/>
      <c r="AP165" s="9"/>
      <c r="AQ165" s="9"/>
      <c r="AR165" s="10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10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10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10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10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10"/>
      <c r="GC165" s="9"/>
      <c r="GD165" s="9"/>
    </row>
    <row r="166" spans="1:186" s="2" customFormat="1" ht="16.95" customHeight="1">
      <c r="A166" s="14" t="s">
        <v>164</v>
      </c>
      <c r="B166" s="36">
        <v>9910</v>
      </c>
      <c r="C166" s="36">
        <v>8502.2000000000007</v>
      </c>
      <c r="D166" s="4">
        <f t="shared" si="36"/>
        <v>0.85794147325933412</v>
      </c>
      <c r="E166" s="11">
        <v>10</v>
      </c>
      <c r="F166" s="5" t="s">
        <v>370</v>
      </c>
      <c r="G166" s="5" t="s">
        <v>370</v>
      </c>
      <c r="H166" s="5" t="s">
        <v>370</v>
      </c>
      <c r="I166" s="5" t="s">
        <v>370</v>
      </c>
      <c r="J166" s="5" t="s">
        <v>370</v>
      </c>
      <c r="K166" s="5" t="s">
        <v>370</v>
      </c>
      <c r="L166" s="5" t="s">
        <v>370</v>
      </c>
      <c r="M166" s="5" t="s">
        <v>370</v>
      </c>
      <c r="N166" s="36">
        <v>2691.6</v>
      </c>
      <c r="O166" s="36">
        <v>1114.7</v>
      </c>
      <c r="P166" s="4">
        <f t="shared" si="37"/>
        <v>0.41414028830435434</v>
      </c>
      <c r="Q166" s="11">
        <v>20</v>
      </c>
      <c r="R166" s="36">
        <v>0</v>
      </c>
      <c r="S166" s="36">
        <v>0</v>
      </c>
      <c r="T166" s="4">
        <f t="shared" si="38"/>
        <v>1</v>
      </c>
      <c r="U166" s="11">
        <v>35</v>
      </c>
      <c r="V166" s="36">
        <v>0</v>
      </c>
      <c r="W166" s="36">
        <v>0</v>
      </c>
      <c r="X166" s="4">
        <f t="shared" si="39"/>
        <v>1</v>
      </c>
      <c r="Y166" s="11">
        <v>15</v>
      </c>
      <c r="Z166" s="45">
        <f t="shared" si="46"/>
        <v>0.83577775623350536</v>
      </c>
      <c r="AA166" s="46">
        <v>5329</v>
      </c>
      <c r="AB166" s="36">
        <f t="shared" si="40"/>
        <v>484.45454545454544</v>
      </c>
      <c r="AC166" s="36">
        <f t="shared" si="41"/>
        <v>404.9</v>
      </c>
      <c r="AD166" s="36">
        <f t="shared" si="42"/>
        <v>-79.554545454545462</v>
      </c>
      <c r="AE166" s="36">
        <v>47.4</v>
      </c>
      <c r="AF166" s="36">
        <f t="shared" si="43"/>
        <v>452.3</v>
      </c>
      <c r="AG166" s="36"/>
      <c r="AH166" s="36">
        <f t="shared" si="44"/>
        <v>452.3</v>
      </c>
      <c r="AI166" s="36"/>
      <c r="AJ166" s="36">
        <f t="shared" si="45"/>
        <v>452.3</v>
      </c>
      <c r="AK166" s="9"/>
      <c r="AL166" s="9"/>
      <c r="AM166" s="9"/>
      <c r="AN166" s="9"/>
      <c r="AO166" s="9"/>
      <c r="AP166" s="9"/>
      <c r="AQ166" s="9"/>
      <c r="AR166" s="10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10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10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10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10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10"/>
      <c r="GC166" s="9"/>
      <c r="GD166" s="9"/>
    </row>
    <row r="167" spans="1:186" s="2" customFormat="1" ht="16.95" customHeight="1">
      <c r="A167" s="14" t="s">
        <v>165</v>
      </c>
      <c r="B167" s="36">
        <v>0</v>
      </c>
      <c r="C167" s="36">
        <v>0</v>
      </c>
      <c r="D167" s="4">
        <f t="shared" si="36"/>
        <v>0</v>
      </c>
      <c r="E167" s="11">
        <v>0</v>
      </c>
      <c r="F167" s="5" t="s">
        <v>370</v>
      </c>
      <c r="G167" s="5" t="s">
        <v>370</v>
      </c>
      <c r="H167" s="5" t="s">
        <v>370</v>
      </c>
      <c r="I167" s="5" t="s">
        <v>370</v>
      </c>
      <c r="J167" s="5" t="s">
        <v>370</v>
      </c>
      <c r="K167" s="5" t="s">
        <v>370</v>
      </c>
      <c r="L167" s="5" t="s">
        <v>370</v>
      </c>
      <c r="M167" s="5" t="s">
        <v>370</v>
      </c>
      <c r="N167" s="36">
        <v>190.8</v>
      </c>
      <c r="O167" s="36">
        <v>259.8</v>
      </c>
      <c r="P167" s="4">
        <f t="shared" si="37"/>
        <v>1.2161635220125786</v>
      </c>
      <c r="Q167" s="11">
        <v>20</v>
      </c>
      <c r="R167" s="36">
        <v>0</v>
      </c>
      <c r="S167" s="36">
        <v>0</v>
      </c>
      <c r="T167" s="4">
        <f t="shared" si="38"/>
        <v>1</v>
      </c>
      <c r="U167" s="11">
        <v>15</v>
      </c>
      <c r="V167" s="36">
        <v>0</v>
      </c>
      <c r="W167" s="36">
        <v>0</v>
      </c>
      <c r="X167" s="4">
        <f t="shared" si="39"/>
        <v>1</v>
      </c>
      <c r="Y167" s="11">
        <v>35</v>
      </c>
      <c r="Z167" s="45">
        <f t="shared" si="46"/>
        <v>1.0617610062893081</v>
      </c>
      <c r="AA167" s="46">
        <v>1551</v>
      </c>
      <c r="AB167" s="36">
        <f t="shared" si="40"/>
        <v>141</v>
      </c>
      <c r="AC167" s="36">
        <f t="shared" si="41"/>
        <v>149.69999999999999</v>
      </c>
      <c r="AD167" s="36">
        <f t="shared" si="42"/>
        <v>8.6999999999999886</v>
      </c>
      <c r="AE167" s="36">
        <v>-1.3</v>
      </c>
      <c r="AF167" s="36">
        <f t="shared" si="43"/>
        <v>148.4</v>
      </c>
      <c r="AG167" s="36"/>
      <c r="AH167" s="36">
        <f t="shared" si="44"/>
        <v>148.4</v>
      </c>
      <c r="AI167" s="36"/>
      <c r="AJ167" s="36">
        <f t="shared" si="45"/>
        <v>148.4</v>
      </c>
      <c r="AK167" s="9"/>
      <c r="AL167" s="9"/>
      <c r="AM167" s="9"/>
      <c r="AN167" s="9"/>
      <c r="AO167" s="9"/>
      <c r="AP167" s="9"/>
      <c r="AQ167" s="9"/>
      <c r="AR167" s="10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10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10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10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10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10"/>
      <c r="GC167" s="9"/>
      <c r="GD167" s="9"/>
    </row>
    <row r="168" spans="1:186" s="2" customFormat="1" ht="16.95" customHeight="1">
      <c r="A168" s="14" t="s">
        <v>166</v>
      </c>
      <c r="B168" s="36">
        <v>0</v>
      </c>
      <c r="C168" s="36">
        <v>0</v>
      </c>
      <c r="D168" s="4">
        <f t="shared" si="36"/>
        <v>0</v>
      </c>
      <c r="E168" s="11">
        <v>0</v>
      </c>
      <c r="F168" s="5" t="s">
        <v>370</v>
      </c>
      <c r="G168" s="5" t="s">
        <v>370</v>
      </c>
      <c r="H168" s="5" t="s">
        <v>370</v>
      </c>
      <c r="I168" s="5" t="s">
        <v>370</v>
      </c>
      <c r="J168" s="5" t="s">
        <v>370</v>
      </c>
      <c r="K168" s="5" t="s">
        <v>370</v>
      </c>
      <c r="L168" s="5" t="s">
        <v>370</v>
      </c>
      <c r="M168" s="5" t="s">
        <v>370</v>
      </c>
      <c r="N168" s="36">
        <v>275.8</v>
      </c>
      <c r="O168" s="36">
        <v>230.8</v>
      </c>
      <c r="P168" s="4">
        <f t="shared" si="37"/>
        <v>0.83683828861493836</v>
      </c>
      <c r="Q168" s="11">
        <v>20</v>
      </c>
      <c r="R168" s="36">
        <v>0</v>
      </c>
      <c r="S168" s="36">
        <v>0</v>
      </c>
      <c r="T168" s="4">
        <f t="shared" si="38"/>
        <v>1</v>
      </c>
      <c r="U168" s="11">
        <v>35</v>
      </c>
      <c r="V168" s="36">
        <v>0</v>
      </c>
      <c r="W168" s="36">
        <v>0</v>
      </c>
      <c r="X168" s="4">
        <f t="shared" si="39"/>
        <v>1</v>
      </c>
      <c r="Y168" s="11">
        <v>15</v>
      </c>
      <c r="Z168" s="45">
        <f t="shared" si="46"/>
        <v>0.95338236817569666</v>
      </c>
      <c r="AA168" s="46">
        <v>1070</v>
      </c>
      <c r="AB168" s="36">
        <f t="shared" si="40"/>
        <v>97.272727272727266</v>
      </c>
      <c r="AC168" s="36">
        <f t="shared" si="41"/>
        <v>92.7</v>
      </c>
      <c r="AD168" s="36">
        <f t="shared" si="42"/>
        <v>-4.5727272727272634</v>
      </c>
      <c r="AE168" s="36">
        <v>-1.8</v>
      </c>
      <c r="AF168" s="36">
        <f t="shared" si="43"/>
        <v>90.9</v>
      </c>
      <c r="AG168" s="36"/>
      <c r="AH168" s="36">
        <f t="shared" si="44"/>
        <v>90.9</v>
      </c>
      <c r="AI168" s="36"/>
      <c r="AJ168" s="36">
        <f t="shared" si="45"/>
        <v>90.9</v>
      </c>
      <c r="AK168" s="9"/>
      <c r="AL168" s="9"/>
      <c r="AM168" s="9"/>
      <c r="AN168" s="9"/>
      <c r="AO168" s="9"/>
      <c r="AP168" s="9"/>
      <c r="AQ168" s="9"/>
      <c r="AR168" s="10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10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10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10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10"/>
      <c r="GC168" s="9"/>
      <c r="GD168" s="9"/>
    </row>
    <row r="169" spans="1:186" s="2" customFormat="1" ht="16.95" customHeight="1">
      <c r="A169" s="14" t="s">
        <v>100</v>
      </c>
      <c r="B169" s="36">
        <v>16030</v>
      </c>
      <c r="C169" s="36">
        <v>12577</v>
      </c>
      <c r="D169" s="4">
        <f t="shared" si="36"/>
        <v>0.78459139114160947</v>
      </c>
      <c r="E169" s="11">
        <v>10</v>
      </c>
      <c r="F169" s="5" t="s">
        <v>370</v>
      </c>
      <c r="G169" s="5" t="s">
        <v>370</v>
      </c>
      <c r="H169" s="5" t="s">
        <v>370</v>
      </c>
      <c r="I169" s="5" t="s">
        <v>370</v>
      </c>
      <c r="J169" s="5" t="s">
        <v>370</v>
      </c>
      <c r="K169" s="5" t="s">
        <v>370</v>
      </c>
      <c r="L169" s="5" t="s">
        <v>370</v>
      </c>
      <c r="M169" s="5" t="s">
        <v>370</v>
      </c>
      <c r="N169" s="36">
        <v>149.5</v>
      </c>
      <c r="O169" s="36">
        <v>223.9</v>
      </c>
      <c r="P169" s="4">
        <f t="shared" si="37"/>
        <v>1.2297658862876253</v>
      </c>
      <c r="Q169" s="11">
        <v>20</v>
      </c>
      <c r="R169" s="36">
        <v>0</v>
      </c>
      <c r="S169" s="36">
        <v>0</v>
      </c>
      <c r="T169" s="4">
        <f t="shared" si="38"/>
        <v>1</v>
      </c>
      <c r="U169" s="11">
        <v>25</v>
      </c>
      <c r="V169" s="36">
        <v>0</v>
      </c>
      <c r="W169" s="36">
        <v>0</v>
      </c>
      <c r="X169" s="4">
        <f t="shared" si="39"/>
        <v>1</v>
      </c>
      <c r="Y169" s="11">
        <v>25</v>
      </c>
      <c r="Z169" s="45">
        <f t="shared" si="46"/>
        <v>1.0305153954646076</v>
      </c>
      <c r="AA169" s="46">
        <v>2892</v>
      </c>
      <c r="AB169" s="36">
        <f t="shared" si="40"/>
        <v>262.90909090909093</v>
      </c>
      <c r="AC169" s="36">
        <f t="shared" si="41"/>
        <v>270.89999999999998</v>
      </c>
      <c r="AD169" s="36">
        <f t="shared" si="42"/>
        <v>7.9909090909090423</v>
      </c>
      <c r="AE169" s="36">
        <v>-1</v>
      </c>
      <c r="AF169" s="36">
        <f t="shared" si="43"/>
        <v>269.89999999999998</v>
      </c>
      <c r="AG169" s="36"/>
      <c r="AH169" s="36">
        <f t="shared" si="44"/>
        <v>269.89999999999998</v>
      </c>
      <c r="AI169" s="36"/>
      <c r="AJ169" s="36">
        <f t="shared" si="45"/>
        <v>269.89999999999998</v>
      </c>
      <c r="AK169" s="9"/>
      <c r="AL169" s="9"/>
      <c r="AM169" s="9"/>
      <c r="AN169" s="9"/>
      <c r="AO169" s="9"/>
      <c r="AP169" s="9"/>
      <c r="AQ169" s="9"/>
      <c r="AR169" s="10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10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10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10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10"/>
      <c r="GC169" s="9"/>
      <c r="GD169" s="9"/>
    </row>
    <row r="170" spans="1:186" s="2" customFormat="1" ht="16.95" customHeight="1">
      <c r="A170" s="14" t="s">
        <v>167</v>
      </c>
      <c r="B170" s="36">
        <v>162280</v>
      </c>
      <c r="C170" s="36">
        <v>267016</v>
      </c>
      <c r="D170" s="4">
        <f t="shared" si="36"/>
        <v>1.2445403007148139</v>
      </c>
      <c r="E170" s="11">
        <v>10</v>
      </c>
      <c r="F170" s="5" t="s">
        <v>370</v>
      </c>
      <c r="G170" s="5" t="s">
        <v>370</v>
      </c>
      <c r="H170" s="5" t="s">
        <v>370</v>
      </c>
      <c r="I170" s="5" t="s">
        <v>370</v>
      </c>
      <c r="J170" s="5" t="s">
        <v>370</v>
      </c>
      <c r="K170" s="5" t="s">
        <v>370</v>
      </c>
      <c r="L170" s="5" t="s">
        <v>370</v>
      </c>
      <c r="M170" s="5" t="s">
        <v>370</v>
      </c>
      <c r="N170" s="36">
        <v>223.7</v>
      </c>
      <c r="O170" s="36">
        <v>456.4</v>
      </c>
      <c r="P170" s="4">
        <f t="shared" si="37"/>
        <v>1.2840232454179705</v>
      </c>
      <c r="Q170" s="11">
        <v>20</v>
      </c>
      <c r="R170" s="36">
        <v>195</v>
      </c>
      <c r="S170" s="36">
        <v>195.2</v>
      </c>
      <c r="T170" s="4">
        <f t="shared" si="38"/>
        <v>1.0010256410256411</v>
      </c>
      <c r="U170" s="11">
        <v>5</v>
      </c>
      <c r="V170" s="36">
        <v>2000</v>
      </c>
      <c r="W170" s="36">
        <v>3356.5</v>
      </c>
      <c r="X170" s="4">
        <f t="shared" si="39"/>
        <v>1.247825</v>
      </c>
      <c r="Y170" s="11">
        <v>45</v>
      </c>
      <c r="Z170" s="45">
        <f t="shared" si="46"/>
        <v>1.241039014007947</v>
      </c>
      <c r="AA170" s="46">
        <v>2912</v>
      </c>
      <c r="AB170" s="36">
        <f t="shared" si="40"/>
        <v>264.72727272727275</v>
      </c>
      <c r="AC170" s="36">
        <f t="shared" si="41"/>
        <v>328.5</v>
      </c>
      <c r="AD170" s="36">
        <f t="shared" si="42"/>
        <v>63.772727272727252</v>
      </c>
      <c r="AE170" s="36">
        <v>-1.3</v>
      </c>
      <c r="AF170" s="36">
        <f t="shared" si="43"/>
        <v>327.2</v>
      </c>
      <c r="AG170" s="36">
        <f>MIN(AF170,13.7)</f>
        <v>13.7</v>
      </c>
      <c r="AH170" s="36">
        <f t="shared" si="44"/>
        <v>313.5</v>
      </c>
      <c r="AI170" s="36"/>
      <c r="AJ170" s="36">
        <f t="shared" si="45"/>
        <v>313.5</v>
      </c>
      <c r="AK170" s="9"/>
      <c r="AL170" s="9"/>
      <c r="AM170" s="9"/>
      <c r="AN170" s="9"/>
      <c r="AO170" s="9"/>
      <c r="AP170" s="9"/>
      <c r="AQ170" s="9"/>
      <c r="AR170" s="10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10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10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10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10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10"/>
      <c r="GC170" s="9"/>
      <c r="GD170" s="9"/>
    </row>
    <row r="171" spans="1:186" s="2" customFormat="1" ht="16.95" customHeight="1">
      <c r="A171" s="14" t="s">
        <v>168</v>
      </c>
      <c r="B171" s="36">
        <v>16756</v>
      </c>
      <c r="C171" s="36">
        <v>11951.3</v>
      </c>
      <c r="D171" s="4">
        <f t="shared" si="36"/>
        <v>0.71325495344951062</v>
      </c>
      <c r="E171" s="11">
        <v>10</v>
      </c>
      <c r="F171" s="5" t="s">
        <v>370</v>
      </c>
      <c r="G171" s="5" t="s">
        <v>370</v>
      </c>
      <c r="H171" s="5" t="s">
        <v>370</v>
      </c>
      <c r="I171" s="5" t="s">
        <v>370</v>
      </c>
      <c r="J171" s="5" t="s">
        <v>370</v>
      </c>
      <c r="K171" s="5" t="s">
        <v>370</v>
      </c>
      <c r="L171" s="5" t="s">
        <v>370</v>
      </c>
      <c r="M171" s="5" t="s">
        <v>370</v>
      </c>
      <c r="N171" s="36">
        <v>287.7</v>
      </c>
      <c r="O171" s="36">
        <v>307.8</v>
      </c>
      <c r="P171" s="4">
        <f t="shared" si="37"/>
        <v>1.0698644421272159</v>
      </c>
      <c r="Q171" s="11">
        <v>20</v>
      </c>
      <c r="R171" s="36">
        <v>75</v>
      </c>
      <c r="S171" s="36">
        <v>75.900000000000006</v>
      </c>
      <c r="T171" s="4">
        <f t="shared" si="38"/>
        <v>1.012</v>
      </c>
      <c r="U171" s="11">
        <v>45</v>
      </c>
      <c r="V171" s="36">
        <v>0</v>
      </c>
      <c r="W171" s="36">
        <v>0</v>
      </c>
      <c r="X171" s="4">
        <f t="shared" si="39"/>
        <v>1</v>
      </c>
      <c r="Y171" s="11">
        <v>5</v>
      </c>
      <c r="Z171" s="45">
        <f t="shared" si="46"/>
        <v>0.98837297971299276</v>
      </c>
      <c r="AA171" s="46">
        <v>6939</v>
      </c>
      <c r="AB171" s="36">
        <f t="shared" si="40"/>
        <v>630.81818181818187</v>
      </c>
      <c r="AC171" s="36">
        <f t="shared" si="41"/>
        <v>623.5</v>
      </c>
      <c r="AD171" s="36">
        <f t="shared" si="42"/>
        <v>-7.3181818181818699</v>
      </c>
      <c r="AE171" s="36">
        <v>-9.6999999999999993</v>
      </c>
      <c r="AF171" s="36">
        <f t="shared" si="43"/>
        <v>613.79999999999995</v>
      </c>
      <c r="AG171" s="36"/>
      <c r="AH171" s="36">
        <f t="shared" si="44"/>
        <v>613.79999999999995</v>
      </c>
      <c r="AI171" s="36"/>
      <c r="AJ171" s="36">
        <f t="shared" si="45"/>
        <v>613.79999999999995</v>
      </c>
      <c r="AK171" s="9"/>
      <c r="AL171" s="9"/>
      <c r="AM171" s="9"/>
      <c r="AN171" s="9"/>
      <c r="AO171" s="9"/>
      <c r="AP171" s="9"/>
      <c r="AQ171" s="9"/>
      <c r="AR171" s="10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10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10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10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10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10"/>
      <c r="GC171" s="9"/>
      <c r="GD171" s="9"/>
    </row>
    <row r="172" spans="1:186" s="2" customFormat="1" ht="16.95" customHeight="1">
      <c r="A172" s="14" t="s">
        <v>169</v>
      </c>
      <c r="B172" s="36">
        <v>2010</v>
      </c>
      <c r="C172" s="36">
        <v>2050.4</v>
      </c>
      <c r="D172" s="4">
        <f t="shared" si="36"/>
        <v>1.0200995024875623</v>
      </c>
      <c r="E172" s="11">
        <v>10</v>
      </c>
      <c r="F172" s="5" t="s">
        <v>370</v>
      </c>
      <c r="G172" s="5" t="s">
        <v>370</v>
      </c>
      <c r="H172" s="5" t="s">
        <v>370</v>
      </c>
      <c r="I172" s="5" t="s">
        <v>370</v>
      </c>
      <c r="J172" s="5" t="s">
        <v>370</v>
      </c>
      <c r="K172" s="5" t="s">
        <v>370</v>
      </c>
      <c r="L172" s="5" t="s">
        <v>370</v>
      </c>
      <c r="M172" s="5" t="s">
        <v>370</v>
      </c>
      <c r="N172" s="36">
        <v>192.7</v>
      </c>
      <c r="O172" s="36">
        <v>186.9</v>
      </c>
      <c r="P172" s="4">
        <f t="shared" si="37"/>
        <v>0.96990140114167112</v>
      </c>
      <c r="Q172" s="11">
        <v>20</v>
      </c>
      <c r="R172" s="36">
        <v>0</v>
      </c>
      <c r="S172" s="36">
        <v>0</v>
      </c>
      <c r="T172" s="4">
        <f t="shared" si="38"/>
        <v>1</v>
      </c>
      <c r="U172" s="11">
        <v>45</v>
      </c>
      <c r="V172" s="36">
        <v>0</v>
      </c>
      <c r="W172" s="36">
        <v>0</v>
      </c>
      <c r="X172" s="4">
        <f t="shared" si="39"/>
        <v>1</v>
      </c>
      <c r="Y172" s="11">
        <v>5</v>
      </c>
      <c r="Z172" s="45">
        <f t="shared" si="46"/>
        <v>0.99498778809636301</v>
      </c>
      <c r="AA172" s="46">
        <v>2347</v>
      </c>
      <c r="AB172" s="36">
        <f t="shared" si="40"/>
        <v>213.36363636363637</v>
      </c>
      <c r="AC172" s="36">
        <f t="shared" si="41"/>
        <v>212.3</v>
      </c>
      <c r="AD172" s="36">
        <f t="shared" si="42"/>
        <v>-1.0636363636363626</v>
      </c>
      <c r="AE172" s="36">
        <v>2.7</v>
      </c>
      <c r="AF172" s="36">
        <f t="shared" si="43"/>
        <v>215</v>
      </c>
      <c r="AG172" s="36"/>
      <c r="AH172" s="36">
        <f t="shared" si="44"/>
        <v>215</v>
      </c>
      <c r="AI172" s="36"/>
      <c r="AJ172" s="36">
        <f t="shared" si="45"/>
        <v>215</v>
      </c>
      <c r="AK172" s="9"/>
      <c r="AL172" s="9"/>
      <c r="AM172" s="9"/>
      <c r="AN172" s="9"/>
      <c r="AO172" s="9"/>
      <c r="AP172" s="9"/>
      <c r="AQ172" s="9"/>
      <c r="AR172" s="10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10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10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10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10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10"/>
      <c r="GC172" s="9"/>
      <c r="GD172" s="9"/>
    </row>
    <row r="173" spans="1:186" s="2" customFormat="1" ht="16.95" customHeight="1">
      <c r="A173" s="18" t="s">
        <v>170</v>
      </c>
      <c r="B173" s="6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9"/>
      <c r="AL173" s="9"/>
      <c r="AM173" s="9"/>
      <c r="AN173" s="9"/>
      <c r="AO173" s="9"/>
      <c r="AP173" s="9"/>
      <c r="AQ173" s="9"/>
      <c r="AR173" s="10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10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10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10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10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10"/>
      <c r="GC173" s="9"/>
      <c r="GD173" s="9"/>
    </row>
    <row r="174" spans="1:186" s="2" customFormat="1" ht="16.95" customHeight="1">
      <c r="A174" s="14" t="s">
        <v>171</v>
      </c>
      <c r="B174" s="36">
        <v>0</v>
      </c>
      <c r="C174" s="36">
        <v>0</v>
      </c>
      <c r="D174" s="4">
        <f t="shared" si="36"/>
        <v>0</v>
      </c>
      <c r="E174" s="11">
        <v>0</v>
      </c>
      <c r="F174" s="5" t="s">
        <v>370</v>
      </c>
      <c r="G174" s="5" t="s">
        <v>370</v>
      </c>
      <c r="H174" s="5" t="s">
        <v>370</v>
      </c>
      <c r="I174" s="5" t="s">
        <v>370</v>
      </c>
      <c r="J174" s="5" t="s">
        <v>370</v>
      </c>
      <c r="K174" s="5" t="s">
        <v>370</v>
      </c>
      <c r="L174" s="5" t="s">
        <v>370</v>
      </c>
      <c r="M174" s="5" t="s">
        <v>370</v>
      </c>
      <c r="N174" s="36">
        <v>74.900000000000006</v>
      </c>
      <c r="O174" s="36">
        <v>62.4</v>
      </c>
      <c r="P174" s="4">
        <f t="shared" si="37"/>
        <v>0.83311081441922552</v>
      </c>
      <c r="Q174" s="11">
        <v>20</v>
      </c>
      <c r="R174" s="36">
        <v>83</v>
      </c>
      <c r="S174" s="36">
        <v>88.8</v>
      </c>
      <c r="T174" s="4">
        <f t="shared" si="38"/>
        <v>1.0698795180722891</v>
      </c>
      <c r="U174" s="11">
        <v>35</v>
      </c>
      <c r="V174" s="36">
        <v>1.6</v>
      </c>
      <c r="W174" s="36">
        <v>0.7</v>
      </c>
      <c r="X174" s="4">
        <f t="shared" si="39"/>
        <v>0.43749999999999994</v>
      </c>
      <c r="Y174" s="11">
        <v>15</v>
      </c>
      <c r="Z174" s="45">
        <f t="shared" si="46"/>
        <v>0.8667214202987803</v>
      </c>
      <c r="AA174" s="46">
        <v>2038</v>
      </c>
      <c r="AB174" s="36">
        <f t="shared" si="40"/>
        <v>185.27272727272728</v>
      </c>
      <c r="AC174" s="36">
        <f t="shared" si="41"/>
        <v>160.6</v>
      </c>
      <c r="AD174" s="36">
        <f t="shared" si="42"/>
        <v>-24.672727272727286</v>
      </c>
      <c r="AE174" s="36">
        <v>-2.9</v>
      </c>
      <c r="AF174" s="36">
        <f t="shared" si="43"/>
        <v>157.69999999999999</v>
      </c>
      <c r="AG174" s="36">
        <f>MIN(AF174,5.1)</f>
        <v>5.0999999999999996</v>
      </c>
      <c r="AH174" s="36">
        <f t="shared" si="44"/>
        <v>152.6</v>
      </c>
      <c r="AI174" s="36"/>
      <c r="AJ174" s="36">
        <f t="shared" si="45"/>
        <v>152.6</v>
      </c>
      <c r="AK174" s="9"/>
      <c r="AL174" s="9"/>
      <c r="AM174" s="9"/>
      <c r="AN174" s="9"/>
      <c r="AO174" s="9"/>
      <c r="AP174" s="9"/>
      <c r="AQ174" s="9"/>
      <c r="AR174" s="10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10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10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10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10"/>
      <c r="GC174" s="9"/>
      <c r="GD174" s="9"/>
    </row>
    <row r="175" spans="1:186" s="2" customFormat="1" ht="16.95" customHeight="1">
      <c r="A175" s="14" t="s">
        <v>172</v>
      </c>
      <c r="B175" s="36">
        <v>18350</v>
      </c>
      <c r="C175" s="36">
        <v>18420.400000000001</v>
      </c>
      <c r="D175" s="4">
        <f t="shared" ref="D175:D238" si="47">IF(E175=0,0,IF(B175=0,1,IF(C175&lt;0,0,IF(C175/B175&gt;1.2,IF((C175/B175-1.2)*0.1+1.2&gt;1.3,1.3,(C175/B175-1.2)*0.1+1.2),C175/B175))))</f>
        <v>1.0038365122615804</v>
      </c>
      <c r="E175" s="11">
        <v>10</v>
      </c>
      <c r="F175" s="5" t="s">
        <v>370</v>
      </c>
      <c r="G175" s="5" t="s">
        <v>370</v>
      </c>
      <c r="H175" s="5" t="s">
        <v>370</v>
      </c>
      <c r="I175" s="5" t="s">
        <v>370</v>
      </c>
      <c r="J175" s="5" t="s">
        <v>370</v>
      </c>
      <c r="K175" s="5" t="s">
        <v>370</v>
      </c>
      <c r="L175" s="5" t="s">
        <v>370</v>
      </c>
      <c r="M175" s="5" t="s">
        <v>370</v>
      </c>
      <c r="N175" s="36">
        <v>1420.5</v>
      </c>
      <c r="O175" s="36">
        <v>807.9</v>
      </c>
      <c r="P175" s="4">
        <f t="shared" ref="P175:P238" si="48">IF(Q175=0,0,IF(N175=0,1,IF(O175&lt;0,0,IF(O175/N175&gt;1.2,IF((O175/N175-1.2)*0.1+1.2&gt;1.3,1.3,(O175/N175-1.2)*0.1+1.2),O175/N175))))</f>
        <v>0.56874340021119318</v>
      </c>
      <c r="Q175" s="11">
        <v>20</v>
      </c>
      <c r="R175" s="36">
        <v>10</v>
      </c>
      <c r="S175" s="36">
        <v>33.299999999999997</v>
      </c>
      <c r="T175" s="4">
        <f t="shared" ref="T175:T238" si="49">IF(U175=0,0,IF(R175=0,1,IF(S175&lt;0,0,IF(S175/R175&gt;1.2,IF((S175/R175-1.2)*0.1+1.2&gt;1.3,1.3,(S175/R175-1.2)*0.1+1.2),S175/R175))))</f>
        <v>1.3</v>
      </c>
      <c r="U175" s="11">
        <v>25</v>
      </c>
      <c r="V175" s="36">
        <v>2</v>
      </c>
      <c r="W175" s="36">
        <v>0.6</v>
      </c>
      <c r="X175" s="4">
        <f t="shared" ref="X175:X238" si="50">IF(Y175=0,0,IF(V175=0,1,IF(W175&lt;0,0,IF(W175/V175&gt;1.2,IF((W175/V175-1.2)*0.1+1.2&gt;1.3,1.3,(W175/V175-1.2)*0.1+1.2),W175/V175))))</f>
        <v>0.3</v>
      </c>
      <c r="Y175" s="11">
        <v>25</v>
      </c>
      <c r="Z175" s="45">
        <f t="shared" si="46"/>
        <v>0.76766541408549593</v>
      </c>
      <c r="AA175" s="46">
        <v>2923</v>
      </c>
      <c r="AB175" s="36">
        <f t="shared" ref="AB175:AB238" si="51">AA175/11</f>
        <v>265.72727272727275</v>
      </c>
      <c r="AC175" s="36">
        <f t="shared" ref="AC175:AC238" si="52">ROUND(Z175*AB175,1)</f>
        <v>204</v>
      </c>
      <c r="AD175" s="36">
        <f t="shared" ref="AD175:AD238" si="53">AC175-AB175</f>
        <v>-61.727272727272748</v>
      </c>
      <c r="AE175" s="36">
        <v>-3.6</v>
      </c>
      <c r="AF175" s="36">
        <f t="shared" ref="AF175:AF238" si="54">IF((AC175+AE175)&gt;0,ROUND(AC175+AE175,1),0)</f>
        <v>200.4</v>
      </c>
      <c r="AG175" s="36"/>
      <c r="AH175" s="36">
        <f t="shared" ref="AH175:AH238" si="55">IF((AF175-AG175)&gt;0,ROUND(AF175-AG175,1),0)</f>
        <v>200.4</v>
      </c>
      <c r="AI175" s="36"/>
      <c r="AJ175" s="36">
        <f t="shared" ref="AJ175:AJ238" si="56">IF((AH175-AI175)&gt;0,ROUND(AH175-AI175,1),0)</f>
        <v>200.4</v>
      </c>
      <c r="AK175" s="9"/>
      <c r="AL175" s="9"/>
      <c r="AM175" s="9"/>
      <c r="AN175" s="9"/>
      <c r="AO175" s="9"/>
      <c r="AP175" s="9"/>
      <c r="AQ175" s="9"/>
      <c r="AR175" s="10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10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10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10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10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10"/>
      <c r="GC175" s="9"/>
      <c r="GD175" s="9"/>
    </row>
    <row r="176" spans="1:186" s="2" customFormat="1" ht="16.95" customHeight="1">
      <c r="A176" s="14" t="s">
        <v>173</v>
      </c>
      <c r="B176" s="36">
        <v>0</v>
      </c>
      <c r="C176" s="36">
        <v>0</v>
      </c>
      <c r="D176" s="4">
        <f t="shared" si="47"/>
        <v>0</v>
      </c>
      <c r="E176" s="11">
        <v>0</v>
      </c>
      <c r="F176" s="5" t="s">
        <v>370</v>
      </c>
      <c r="G176" s="5" t="s">
        <v>370</v>
      </c>
      <c r="H176" s="5" t="s">
        <v>370</v>
      </c>
      <c r="I176" s="5" t="s">
        <v>370</v>
      </c>
      <c r="J176" s="5" t="s">
        <v>370</v>
      </c>
      <c r="K176" s="5" t="s">
        <v>370</v>
      </c>
      <c r="L176" s="5" t="s">
        <v>370</v>
      </c>
      <c r="M176" s="5" t="s">
        <v>370</v>
      </c>
      <c r="N176" s="36">
        <v>26.1</v>
      </c>
      <c r="O176" s="36">
        <v>258.89999999999998</v>
      </c>
      <c r="P176" s="4">
        <f t="shared" si="48"/>
        <v>1.3</v>
      </c>
      <c r="Q176" s="11">
        <v>20</v>
      </c>
      <c r="R176" s="36">
        <v>0</v>
      </c>
      <c r="S176" s="36">
        <v>0</v>
      </c>
      <c r="T176" s="4">
        <f t="shared" si="49"/>
        <v>1</v>
      </c>
      <c r="U176" s="11">
        <v>20</v>
      </c>
      <c r="V176" s="36">
        <v>0</v>
      </c>
      <c r="W176" s="36">
        <v>0.3</v>
      </c>
      <c r="X176" s="4">
        <f t="shared" si="50"/>
        <v>1</v>
      </c>
      <c r="Y176" s="11">
        <v>30</v>
      </c>
      <c r="Z176" s="45">
        <f t="shared" ref="Z176:Z239" si="57">(D176*E176+P176*Q176+T176*U176+X176*Y176)/(E176+Q176+U176+Y176)</f>
        <v>1.0857142857142856</v>
      </c>
      <c r="AA176" s="46">
        <v>855</v>
      </c>
      <c r="AB176" s="36">
        <f t="shared" si="51"/>
        <v>77.727272727272734</v>
      </c>
      <c r="AC176" s="36">
        <f t="shared" si="52"/>
        <v>84.4</v>
      </c>
      <c r="AD176" s="36">
        <f t="shared" si="53"/>
        <v>6.672727272727272</v>
      </c>
      <c r="AE176" s="36">
        <v>1</v>
      </c>
      <c r="AF176" s="36">
        <f t="shared" si="54"/>
        <v>85.4</v>
      </c>
      <c r="AG176" s="36"/>
      <c r="AH176" s="36">
        <f t="shared" si="55"/>
        <v>85.4</v>
      </c>
      <c r="AI176" s="36"/>
      <c r="AJ176" s="36">
        <f t="shared" si="56"/>
        <v>85.4</v>
      </c>
      <c r="AK176" s="9"/>
      <c r="AL176" s="9"/>
      <c r="AM176" s="9"/>
      <c r="AN176" s="9"/>
      <c r="AO176" s="9"/>
      <c r="AP176" s="9"/>
      <c r="AQ176" s="9"/>
      <c r="AR176" s="10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10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10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10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10"/>
      <c r="GC176" s="9"/>
      <c r="GD176" s="9"/>
    </row>
    <row r="177" spans="1:186" s="2" customFormat="1" ht="16.95" customHeight="1">
      <c r="A177" s="14" t="s">
        <v>174</v>
      </c>
      <c r="B177" s="36">
        <v>0</v>
      </c>
      <c r="C177" s="36">
        <v>0</v>
      </c>
      <c r="D177" s="4">
        <f t="shared" si="47"/>
        <v>0</v>
      </c>
      <c r="E177" s="11">
        <v>0</v>
      </c>
      <c r="F177" s="5" t="s">
        <v>370</v>
      </c>
      <c r="G177" s="5" t="s">
        <v>370</v>
      </c>
      <c r="H177" s="5" t="s">
        <v>370</v>
      </c>
      <c r="I177" s="5" t="s">
        <v>370</v>
      </c>
      <c r="J177" s="5" t="s">
        <v>370</v>
      </c>
      <c r="K177" s="5" t="s">
        <v>370</v>
      </c>
      <c r="L177" s="5" t="s">
        <v>370</v>
      </c>
      <c r="M177" s="5" t="s">
        <v>370</v>
      </c>
      <c r="N177" s="36">
        <v>53.3</v>
      </c>
      <c r="O177" s="36">
        <v>30.6</v>
      </c>
      <c r="P177" s="4">
        <f t="shared" si="48"/>
        <v>0.57410881801125713</v>
      </c>
      <c r="Q177" s="11">
        <v>20</v>
      </c>
      <c r="R177" s="36">
        <v>0</v>
      </c>
      <c r="S177" s="36">
        <v>0</v>
      </c>
      <c r="T177" s="4">
        <f t="shared" si="49"/>
        <v>1</v>
      </c>
      <c r="U177" s="11">
        <v>25</v>
      </c>
      <c r="V177" s="36">
        <v>0</v>
      </c>
      <c r="W177" s="36">
        <v>0</v>
      </c>
      <c r="X177" s="4">
        <f t="shared" si="50"/>
        <v>1</v>
      </c>
      <c r="Y177" s="11">
        <v>25</v>
      </c>
      <c r="Z177" s="45">
        <f t="shared" si="57"/>
        <v>0.87831680514607346</v>
      </c>
      <c r="AA177" s="46">
        <v>776</v>
      </c>
      <c r="AB177" s="36">
        <f t="shared" si="51"/>
        <v>70.545454545454547</v>
      </c>
      <c r="AC177" s="36">
        <f t="shared" si="52"/>
        <v>62</v>
      </c>
      <c r="AD177" s="36">
        <f t="shared" si="53"/>
        <v>-8.5454545454545467</v>
      </c>
      <c r="AE177" s="36">
        <v>-0.3</v>
      </c>
      <c r="AF177" s="36">
        <f t="shared" si="54"/>
        <v>61.7</v>
      </c>
      <c r="AG177" s="36"/>
      <c r="AH177" s="36">
        <f t="shared" si="55"/>
        <v>61.7</v>
      </c>
      <c r="AI177" s="36"/>
      <c r="AJ177" s="36">
        <f t="shared" si="56"/>
        <v>61.7</v>
      </c>
      <c r="AK177" s="9"/>
      <c r="AL177" s="9"/>
      <c r="AM177" s="9"/>
      <c r="AN177" s="9"/>
      <c r="AO177" s="9"/>
      <c r="AP177" s="9"/>
      <c r="AQ177" s="9"/>
      <c r="AR177" s="10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10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10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10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10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10"/>
      <c r="GC177" s="9"/>
      <c r="GD177" s="9"/>
    </row>
    <row r="178" spans="1:186" s="2" customFormat="1" ht="16.95" customHeight="1">
      <c r="A178" s="14" t="s">
        <v>175</v>
      </c>
      <c r="B178" s="36">
        <v>0</v>
      </c>
      <c r="C178" s="36">
        <v>0</v>
      </c>
      <c r="D178" s="4">
        <f t="shared" si="47"/>
        <v>0</v>
      </c>
      <c r="E178" s="11">
        <v>0</v>
      </c>
      <c r="F178" s="5" t="s">
        <v>370</v>
      </c>
      <c r="G178" s="5" t="s">
        <v>370</v>
      </c>
      <c r="H178" s="5" t="s">
        <v>370</v>
      </c>
      <c r="I178" s="5" t="s">
        <v>370</v>
      </c>
      <c r="J178" s="5" t="s">
        <v>370</v>
      </c>
      <c r="K178" s="5" t="s">
        <v>370</v>
      </c>
      <c r="L178" s="5" t="s">
        <v>370</v>
      </c>
      <c r="M178" s="5" t="s">
        <v>370</v>
      </c>
      <c r="N178" s="36">
        <v>63.1</v>
      </c>
      <c r="O178" s="36">
        <v>37.200000000000003</v>
      </c>
      <c r="P178" s="4">
        <f t="shared" si="48"/>
        <v>0.58954041204437402</v>
      </c>
      <c r="Q178" s="11">
        <v>20</v>
      </c>
      <c r="R178" s="36">
        <v>0</v>
      </c>
      <c r="S178" s="36">
        <v>0</v>
      </c>
      <c r="T178" s="4">
        <f t="shared" si="49"/>
        <v>1</v>
      </c>
      <c r="U178" s="11">
        <v>20</v>
      </c>
      <c r="V178" s="36">
        <v>0.5</v>
      </c>
      <c r="W178" s="36">
        <v>0</v>
      </c>
      <c r="X178" s="4">
        <f t="shared" si="50"/>
        <v>0</v>
      </c>
      <c r="Y178" s="11">
        <v>30</v>
      </c>
      <c r="Z178" s="45">
        <f t="shared" si="57"/>
        <v>0.45415440344124969</v>
      </c>
      <c r="AA178" s="46">
        <v>886</v>
      </c>
      <c r="AB178" s="36">
        <f t="shared" si="51"/>
        <v>80.545454545454547</v>
      </c>
      <c r="AC178" s="36">
        <f t="shared" si="52"/>
        <v>36.6</v>
      </c>
      <c r="AD178" s="36">
        <f t="shared" si="53"/>
        <v>-43.945454545454545</v>
      </c>
      <c r="AE178" s="36">
        <v>2.2000000000000002</v>
      </c>
      <c r="AF178" s="36">
        <f t="shared" si="54"/>
        <v>38.799999999999997</v>
      </c>
      <c r="AG178" s="36"/>
      <c r="AH178" s="36">
        <f t="shared" si="55"/>
        <v>38.799999999999997</v>
      </c>
      <c r="AI178" s="36"/>
      <c r="AJ178" s="36">
        <f t="shared" si="56"/>
        <v>38.799999999999997</v>
      </c>
      <c r="AK178" s="9"/>
      <c r="AL178" s="9"/>
      <c r="AM178" s="9"/>
      <c r="AN178" s="9"/>
      <c r="AO178" s="9"/>
      <c r="AP178" s="9"/>
      <c r="AQ178" s="9"/>
      <c r="AR178" s="10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0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10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10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10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10"/>
      <c r="GC178" s="9"/>
      <c r="GD178" s="9"/>
    </row>
    <row r="179" spans="1:186" s="2" customFormat="1" ht="16.95" customHeight="1">
      <c r="A179" s="14" t="s">
        <v>176</v>
      </c>
      <c r="B179" s="36">
        <v>0</v>
      </c>
      <c r="C179" s="36">
        <v>0</v>
      </c>
      <c r="D179" s="4">
        <f t="shared" si="47"/>
        <v>0</v>
      </c>
      <c r="E179" s="11">
        <v>0</v>
      </c>
      <c r="F179" s="5" t="s">
        <v>370</v>
      </c>
      <c r="G179" s="5" t="s">
        <v>370</v>
      </c>
      <c r="H179" s="5" t="s">
        <v>370</v>
      </c>
      <c r="I179" s="5" t="s">
        <v>370</v>
      </c>
      <c r="J179" s="5" t="s">
        <v>370</v>
      </c>
      <c r="K179" s="5" t="s">
        <v>370</v>
      </c>
      <c r="L179" s="5" t="s">
        <v>370</v>
      </c>
      <c r="M179" s="5" t="s">
        <v>370</v>
      </c>
      <c r="N179" s="36">
        <v>573.20000000000005</v>
      </c>
      <c r="O179" s="36">
        <v>48.9</v>
      </c>
      <c r="P179" s="4">
        <f t="shared" si="48"/>
        <v>8.5310537334263775E-2</v>
      </c>
      <c r="Q179" s="11">
        <v>20</v>
      </c>
      <c r="R179" s="36">
        <v>19</v>
      </c>
      <c r="S179" s="36">
        <v>47.7</v>
      </c>
      <c r="T179" s="4">
        <f t="shared" si="49"/>
        <v>1.3</v>
      </c>
      <c r="U179" s="11">
        <v>35</v>
      </c>
      <c r="V179" s="36">
        <v>0.5</v>
      </c>
      <c r="W179" s="36">
        <v>0</v>
      </c>
      <c r="X179" s="4">
        <f t="shared" si="50"/>
        <v>0</v>
      </c>
      <c r="Y179" s="11">
        <v>15</v>
      </c>
      <c r="Z179" s="45">
        <f t="shared" si="57"/>
        <v>0.67437443923836105</v>
      </c>
      <c r="AA179" s="46">
        <v>898</v>
      </c>
      <c r="AB179" s="36">
        <f t="shared" si="51"/>
        <v>81.63636363636364</v>
      </c>
      <c r="AC179" s="36">
        <f t="shared" si="52"/>
        <v>55.1</v>
      </c>
      <c r="AD179" s="36">
        <f t="shared" si="53"/>
        <v>-26.536363636363639</v>
      </c>
      <c r="AE179" s="36">
        <v>7</v>
      </c>
      <c r="AF179" s="36">
        <f t="shared" si="54"/>
        <v>62.1</v>
      </c>
      <c r="AG179" s="36">
        <f>MIN(AF179,14.3)</f>
        <v>14.3</v>
      </c>
      <c r="AH179" s="36">
        <f t="shared" si="55"/>
        <v>47.8</v>
      </c>
      <c r="AI179" s="36"/>
      <c r="AJ179" s="36">
        <f t="shared" si="56"/>
        <v>47.8</v>
      </c>
      <c r="AK179" s="9"/>
      <c r="AL179" s="9"/>
      <c r="AM179" s="9"/>
      <c r="AN179" s="9"/>
      <c r="AO179" s="9"/>
      <c r="AP179" s="9"/>
      <c r="AQ179" s="9"/>
      <c r="AR179" s="10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0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10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10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10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10"/>
      <c r="GC179" s="9"/>
      <c r="GD179" s="9"/>
    </row>
    <row r="180" spans="1:186" s="2" customFormat="1" ht="16.95" customHeight="1">
      <c r="A180" s="14" t="s">
        <v>177</v>
      </c>
      <c r="B180" s="36">
        <v>0</v>
      </c>
      <c r="C180" s="36">
        <v>0</v>
      </c>
      <c r="D180" s="4">
        <f t="shared" si="47"/>
        <v>0</v>
      </c>
      <c r="E180" s="11">
        <v>0</v>
      </c>
      <c r="F180" s="5" t="s">
        <v>370</v>
      </c>
      <c r="G180" s="5" t="s">
        <v>370</v>
      </c>
      <c r="H180" s="5" t="s">
        <v>370</v>
      </c>
      <c r="I180" s="5" t="s">
        <v>370</v>
      </c>
      <c r="J180" s="5" t="s">
        <v>370</v>
      </c>
      <c r="K180" s="5" t="s">
        <v>370</v>
      </c>
      <c r="L180" s="5" t="s">
        <v>370</v>
      </c>
      <c r="M180" s="5" t="s">
        <v>370</v>
      </c>
      <c r="N180" s="36">
        <v>40</v>
      </c>
      <c r="O180" s="36">
        <v>4.8</v>
      </c>
      <c r="P180" s="4">
        <f t="shared" si="48"/>
        <v>0.12</v>
      </c>
      <c r="Q180" s="11">
        <v>20</v>
      </c>
      <c r="R180" s="36">
        <v>0</v>
      </c>
      <c r="S180" s="36">
        <v>0</v>
      </c>
      <c r="T180" s="4">
        <f t="shared" si="49"/>
        <v>1</v>
      </c>
      <c r="U180" s="11">
        <v>20</v>
      </c>
      <c r="V180" s="36">
        <v>0.5</v>
      </c>
      <c r="W180" s="36">
        <v>0.4</v>
      </c>
      <c r="X180" s="4">
        <f t="shared" si="50"/>
        <v>0.8</v>
      </c>
      <c r="Y180" s="11">
        <v>30</v>
      </c>
      <c r="Z180" s="45">
        <f t="shared" si="57"/>
        <v>0.66285714285714281</v>
      </c>
      <c r="AA180" s="46">
        <v>442</v>
      </c>
      <c r="AB180" s="36">
        <f t="shared" si="51"/>
        <v>40.18181818181818</v>
      </c>
      <c r="AC180" s="36">
        <f t="shared" si="52"/>
        <v>26.6</v>
      </c>
      <c r="AD180" s="36">
        <f t="shared" si="53"/>
        <v>-13.581818181818178</v>
      </c>
      <c r="AE180" s="36">
        <v>-0.2</v>
      </c>
      <c r="AF180" s="36">
        <f t="shared" si="54"/>
        <v>26.4</v>
      </c>
      <c r="AG180" s="36"/>
      <c r="AH180" s="36">
        <f t="shared" si="55"/>
        <v>26.4</v>
      </c>
      <c r="AI180" s="36"/>
      <c r="AJ180" s="36">
        <f t="shared" si="56"/>
        <v>26.4</v>
      </c>
      <c r="AK180" s="9"/>
      <c r="AL180" s="9"/>
      <c r="AM180" s="9"/>
      <c r="AN180" s="9"/>
      <c r="AO180" s="9"/>
      <c r="AP180" s="9"/>
      <c r="AQ180" s="9"/>
      <c r="AR180" s="10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0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10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10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10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10"/>
      <c r="GC180" s="9"/>
      <c r="GD180" s="9"/>
    </row>
    <row r="181" spans="1:186" s="2" customFormat="1" ht="16.95" customHeight="1">
      <c r="A181" s="14" t="s">
        <v>178</v>
      </c>
      <c r="B181" s="36">
        <v>0</v>
      </c>
      <c r="C181" s="36">
        <v>0</v>
      </c>
      <c r="D181" s="4">
        <f t="shared" si="47"/>
        <v>0</v>
      </c>
      <c r="E181" s="11">
        <v>0</v>
      </c>
      <c r="F181" s="5" t="s">
        <v>370</v>
      </c>
      <c r="G181" s="5" t="s">
        <v>370</v>
      </c>
      <c r="H181" s="5" t="s">
        <v>370</v>
      </c>
      <c r="I181" s="5" t="s">
        <v>370</v>
      </c>
      <c r="J181" s="5" t="s">
        <v>370</v>
      </c>
      <c r="K181" s="5" t="s">
        <v>370</v>
      </c>
      <c r="L181" s="5" t="s">
        <v>370</v>
      </c>
      <c r="M181" s="5" t="s">
        <v>370</v>
      </c>
      <c r="N181" s="36">
        <v>37.700000000000003</v>
      </c>
      <c r="O181" s="36">
        <v>5</v>
      </c>
      <c r="P181" s="4">
        <f t="shared" si="48"/>
        <v>0.1326259946949602</v>
      </c>
      <c r="Q181" s="11">
        <v>20</v>
      </c>
      <c r="R181" s="36">
        <v>0</v>
      </c>
      <c r="S181" s="36">
        <v>0</v>
      </c>
      <c r="T181" s="4">
        <f t="shared" si="49"/>
        <v>1</v>
      </c>
      <c r="U181" s="11">
        <v>20</v>
      </c>
      <c r="V181" s="36">
        <v>0</v>
      </c>
      <c r="W181" s="36">
        <v>0</v>
      </c>
      <c r="X181" s="4">
        <f t="shared" si="50"/>
        <v>1</v>
      </c>
      <c r="Y181" s="11">
        <v>30</v>
      </c>
      <c r="Z181" s="45">
        <f t="shared" si="57"/>
        <v>0.75217885562713149</v>
      </c>
      <c r="AA181" s="46">
        <v>13</v>
      </c>
      <c r="AB181" s="36">
        <f t="shared" si="51"/>
        <v>1.1818181818181819</v>
      </c>
      <c r="AC181" s="36">
        <f t="shared" si="52"/>
        <v>0.9</v>
      </c>
      <c r="AD181" s="36">
        <f t="shared" si="53"/>
        <v>-0.28181818181818186</v>
      </c>
      <c r="AE181" s="36">
        <v>0</v>
      </c>
      <c r="AF181" s="36">
        <f t="shared" si="54"/>
        <v>0.9</v>
      </c>
      <c r="AG181" s="36"/>
      <c r="AH181" s="36">
        <f t="shared" si="55"/>
        <v>0.9</v>
      </c>
      <c r="AI181" s="36"/>
      <c r="AJ181" s="36">
        <f t="shared" si="56"/>
        <v>0.9</v>
      </c>
      <c r="AK181" s="9"/>
      <c r="AL181" s="9"/>
      <c r="AM181" s="9"/>
      <c r="AN181" s="9"/>
      <c r="AO181" s="9"/>
      <c r="AP181" s="9"/>
      <c r="AQ181" s="9"/>
      <c r="AR181" s="10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0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10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10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10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10"/>
      <c r="GC181" s="9"/>
      <c r="GD181" s="9"/>
    </row>
    <row r="182" spans="1:186" s="2" customFormat="1" ht="16.95" customHeight="1">
      <c r="A182" s="14" t="s">
        <v>179</v>
      </c>
      <c r="B182" s="36">
        <v>0</v>
      </c>
      <c r="C182" s="36">
        <v>0</v>
      </c>
      <c r="D182" s="4">
        <f t="shared" si="47"/>
        <v>0</v>
      </c>
      <c r="E182" s="11">
        <v>0</v>
      </c>
      <c r="F182" s="5" t="s">
        <v>370</v>
      </c>
      <c r="G182" s="5" t="s">
        <v>370</v>
      </c>
      <c r="H182" s="5" t="s">
        <v>370</v>
      </c>
      <c r="I182" s="5" t="s">
        <v>370</v>
      </c>
      <c r="J182" s="5" t="s">
        <v>370</v>
      </c>
      <c r="K182" s="5" t="s">
        <v>370</v>
      </c>
      <c r="L182" s="5" t="s">
        <v>370</v>
      </c>
      <c r="M182" s="5" t="s">
        <v>370</v>
      </c>
      <c r="N182" s="36">
        <v>448.2</v>
      </c>
      <c r="O182" s="36">
        <v>111.6</v>
      </c>
      <c r="P182" s="4">
        <f t="shared" si="48"/>
        <v>0.24899598393574296</v>
      </c>
      <c r="Q182" s="11">
        <v>20</v>
      </c>
      <c r="R182" s="36">
        <v>0</v>
      </c>
      <c r="S182" s="36">
        <v>0</v>
      </c>
      <c r="T182" s="4">
        <f t="shared" si="49"/>
        <v>1</v>
      </c>
      <c r="U182" s="11">
        <v>20</v>
      </c>
      <c r="V182" s="36">
        <v>0.3</v>
      </c>
      <c r="W182" s="36">
        <v>0</v>
      </c>
      <c r="X182" s="4">
        <f t="shared" si="50"/>
        <v>0</v>
      </c>
      <c r="Y182" s="11">
        <v>30</v>
      </c>
      <c r="Z182" s="45">
        <f t="shared" si="57"/>
        <v>0.35685599541021223</v>
      </c>
      <c r="AA182" s="46">
        <v>762</v>
      </c>
      <c r="AB182" s="36">
        <f t="shared" si="51"/>
        <v>69.272727272727266</v>
      </c>
      <c r="AC182" s="36">
        <f t="shared" si="52"/>
        <v>24.7</v>
      </c>
      <c r="AD182" s="36">
        <f t="shared" si="53"/>
        <v>-44.572727272727263</v>
      </c>
      <c r="AE182" s="36">
        <v>-2.5</v>
      </c>
      <c r="AF182" s="36">
        <f t="shared" si="54"/>
        <v>22.2</v>
      </c>
      <c r="AG182" s="36"/>
      <c r="AH182" s="36">
        <f t="shared" si="55"/>
        <v>22.2</v>
      </c>
      <c r="AI182" s="36"/>
      <c r="AJ182" s="36">
        <f t="shared" si="56"/>
        <v>22.2</v>
      </c>
      <c r="AK182" s="9"/>
      <c r="AL182" s="9"/>
      <c r="AM182" s="9"/>
      <c r="AN182" s="9"/>
      <c r="AO182" s="9"/>
      <c r="AP182" s="9"/>
      <c r="AQ182" s="9"/>
      <c r="AR182" s="10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10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10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10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10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10"/>
      <c r="GC182" s="9"/>
      <c r="GD182" s="9"/>
    </row>
    <row r="183" spans="1:186" s="2" customFormat="1" ht="16.95" customHeight="1">
      <c r="A183" s="14" t="s">
        <v>180</v>
      </c>
      <c r="B183" s="36">
        <v>0</v>
      </c>
      <c r="C183" s="36">
        <v>0</v>
      </c>
      <c r="D183" s="4">
        <f t="shared" si="47"/>
        <v>0</v>
      </c>
      <c r="E183" s="11">
        <v>0</v>
      </c>
      <c r="F183" s="5" t="s">
        <v>370</v>
      </c>
      <c r="G183" s="5" t="s">
        <v>370</v>
      </c>
      <c r="H183" s="5" t="s">
        <v>370</v>
      </c>
      <c r="I183" s="5" t="s">
        <v>370</v>
      </c>
      <c r="J183" s="5" t="s">
        <v>370</v>
      </c>
      <c r="K183" s="5" t="s">
        <v>370</v>
      </c>
      <c r="L183" s="5" t="s">
        <v>370</v>
      </c>
      <c r="M183" s="5" t="s">
        <v>370</v>
      </c>
      <c r="N183" s="36">
        <v>520.29999999999995</v>
      </c>
      <c r="O183" s="36">
        <v>48</v>
      </c>
      <c r="P183" s="4">
        <f t="shared" si="48"/>
        <v>9.2254468575821647E-2</v>
      </c>
      <c r="Q183" s="11">
        <v>20</v>
      </c>
      <c r="R183" s="36">
        <v>135</v>
      </c>
      <c r="S183" s="36">
        <v>75.900000000000006</v>
      </c>
      <c r="T183" s="4">
        <f t="shared" si="49"/>
        <v>0.56222222222222229</v>
      </c>
      <c r="U183" s="11">
        <v>25</v>
      </c>
      <c r="V183" s="36">
        <v>1.2</v>
      </c>
      <c r="W183" s="36">
        <v>8.3000000000000007</v>
      </c>
      <c r="X183" s="4">
        <f t="shared" si="50"/>
        <v>1.3</v>
      </c>
      <c r="Y183" s="11">
        <v>25</v>
      </c>
      <c r="Z183" s="45">
        <f t="shared" si="57"/>
        <v>0.69143778467245709</v>
      </c>
      <c r="AA183" s="46">
        <v>1676</v>
      </c>
      <c r="AB183" s="36">
        <f t="shared" si="51"/>
        <v>152.36363636363637</v>
      </c>
      <c r="AC183" s="36">
        <f t="shared" si="52"/>
        <v>105.3</v>
      </c>
      <c r="AD183" s="36">
        <f t="shared" si="53"/>
        <v>-47.063636363636377</v>
      </c>
      <c r="AE183" s="36">
        <v>-1.3</v>
      </c>
      <c r="AF183" s="36">
        <f t="shared" si="54"/>
        <v>104</v>
      </c>
      <c r="AG183" s="36"/>
      <c r="AH183" s="36">
        <f t="shared" si="55"/>
        <v>104</v>
      </c>
      <c r="AI183" s="36"/>
      <c r="AJ183" s="36">
        <f t="shared" si="56"/>
        <v>104</v>
      </c>
      <c r="AK183" s="9"/>
      <c r="AL183" s="9"/>
      <c r="AM183" s="9"/>
      <c r="AN183" s="9"/>
      <c r="AO183" s="9"/>
      <c r="AP183" s="9"/>
      <c r="AQ183" s="9"/>
      <c r="AR183" s="10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0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10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10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10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10"/>
      <c r="GC183" s="9"/>
      <c r="GD183" s="9"/>
    </row>
    <row r="184" spans="1:186" s="2" customFormat="1" ht="16.95" customHeight="1">
      <c r="A184" s="14" t="s">
        <v>181</v>
      </c>
      <c r="B184" s="36">
        <v>0</v>
      </c>
      <c r="C184" s="36">
        <v>0</v>
      </c>
      <c r="D184" s="4">
        <f t="shared" si="47"/>
        <v>0</v>
      </c>
      <c r="E184" s="11">
        <v>0</v>
      </c>
      <c r="F184" s="5" t="s">
        <v>370</v>
      </c>
      <c r="G184" s="5" t="s">
        <v>370</v>
      </c>
      <c r="H184" s="5" t="s">
        <v>370</v>
      </c>
      <c r="I184" s="5" t="s">
        <v>370</v>
      </c>
      <c r="J184" s="5" t="s">
        <v>370</v>
      </c>
      <c r="K184" s="5" t="s">
        <v>370</v>
      </c>
      <c r="L184" s="5" t="s">
        <v>370</v>
      </c>
      <c r="M184" s="5" t="s">
        <v>370</v>
      </c>
      <c r="N184" s="36">
        <v>717.5</v>
      </c>
      <c r="O184" s="36">
        <v>41.3</v>
      </c>
      <c r="P184" s="4">
        <f t="shared" si="48"/>
        <v>5.7560975609756093E-2</v>
      </c>
      <c r="Q184" s="11">
        <v>20</v>
      </c>
      <c r="R184" s="36">
        <v>0</v>
      </c>
      <c r="S184" s="36">
        <v>1.8</v>
      </c>
      <c r="T184" s="4">
        <f t="shared" si="49"/>
        <v>1</v>
      </c>
      <c r="U184" s="11">
        <v>20</v>
      </c>
      <c r="V184" s="36">
        <v>0.2</v>
      </c>
      <c r="W184" s="36">
        <v>0.1</v>
      </c>
      <c r="X184" s="4">
        <f t="shared" si="50"/>
        <v>0.5</v>
      </c>
      <c r="Y184" s="11">
        <v>30</v>
      </c>
      <c r="Z184" s="45">
        <f t="shared" si="57"/>
        <v>0.51644599303135896</v>
      </c>
      <c r="AA184" s="46">
        <v>1092</v>
      </c>
      <c r="AB184" s="36">
        <f t="shared" si="51"/>
        <v>99.272727272727266</v>
      </c>
      <c r="AC184" s="36">
        <f t="shared" si="52"/>
        <v>51.3</v>
      </c>
      <c r="AD184" s="36">
        <f t="shared" si="53"/>
        <v>-47.972727272727269</v>
      </c>
      <c r="AE184" s="36">
        <v>2</v>
      </c>
      <c r="AF184" s="36">
        <f t="shared" si="54"/>
        <v>53.3</v>
      </c>
      <c r="AG184" s="36"/>
      <c r="AH184" s="36">
        <f t="shared" si="55"/>
        <v>53.3</v>
      </c>
      <c r="AI184" s="36"/>
      <c r="AJ184" s="36">
        <f t="shared" si="56"/>
        <v>53.3</v>
      </c>
      <c r="AK184" s="9"/>
      <c r="AL184" s="9"/>
      <c r="AM184" s="9"/>
      <c r="AN184" s="9"/>
      <c r="AO184" s="9"/>
      <c r="AP184" s="9"/>
      <c r="AQ184" s="9"/>
      <c r="AR184" s="10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0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10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10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10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10"/>
      <c r="GC184" s="9"/>
      <c r="GD184" s="9"/>
    </row>
    <row r="185" spans="1:186" s="2" customFormat="1" ht="16.95" customHeight="1">
      <c r="A185" s="18" t="s">
        <v>182</v>
      </c>
      <c r="B185" s="6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9"/>
      <c r="AL185" s="9"/>
      <c r="AM185" s="9"/>
      <c r="AN185" s="9"/>
      <c r="AO185" s="9"/>
      <c r="AP185" s="9"/>
      <c r="AQ185" s="9"/>
      <c r="AR185" s="10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10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10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10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10"/>
      <c r="GC185" s="9"/>
      <c r="GD185" s="9"/>
    </row>
    <row r="186" spans="1:186" s="2" customFormat="1" ht="16.95" customHeight="1">
      <c r="A186" s="14" t="s">
        <v>183</v>
      </c>
      <c r="B186" s="36">
        <v>0</v>
      </c>
      <c r="C186" s="36">
        <v>0</v>
      </c>
      <c r="D186" s="4">
        <f t="shared" si="47"/>
        <v>0</v>
      </c>
      <c r="E186" s="11">
        <v>0</v>
      </c>
      <c r="F186" s="5" t="s">
        <v>370</v>
      </c>
      <c r="G186" s="5" t="s">
        <v>370</v>
      </c>
      <c r="H186" s="5" t="s">
        <v>370</v>
      </c>
      <c r="I186" s="5" t="s">
        <v>370</v>
      </c>
      <c r="J186" s="5" t="s">
        <v>370</v>
      </c>
      <c r="K186" s="5" t="s">
        <v>370</v>
      </c>
      <c r="L186" s="5" t="s">
        <v>370</v>
      </c>
      <c r="M186" s="5" t="s">
        <v>370</v>
      </c>
      <c r="N186" s="36">
        <v>13.8</v>
      </c>
      <c r="O186" s="36">
        <v>13.3</v>
      </c>
      <c r="P186" s="4">
        <f t="shared" si="48"/>
        <v>0.96376811594202894</v>
      </c>
      <c r="Q186" s="11">
        <v>20</v>
      </c>
      <c r="R186" s="36">
        <v>17</v>
      </c>
      <c r="S186" s="36">
        <v>26.4</v>
      </c>
      <c r="T186" s="4">
        <f t="shared" si="49"/>
        <v>1.2352941176470589</v>
      </c>
      <c r="U186" s="11">
        <v>25</v>
      </c>
      <c r="V186" s="36">
        <v>0.6</v>
      </c>
      <c r="W186" s="36">
        <v>0.7</v>
      </c>
      <c r="X186" s="4">
        <f t="shared" si="50"/>
        <v>1.1666666666666667</v>
      </c>
      <c r="Y186" s="11">
        <v>25</v>
      </c>
      <c r="Z186" s="45">
        <f t="shared" si="57"/>
        <v>1.1332054560954816</v>
      </c>
      <c r="AA186" s="46">
        <v>1678</v>
      </c>
      <c r="AB186" s="36">
        <f t="shared" si="51"/>
        <v>152.54545454545453</v>
      </c>
      <c r="AC186" s="36">
        <f t="shared" si="52"/>
        <v>172.9</v>
      </c>
      <c r="AD186" s="36">
        <f t="shared" si="53"/>
        <v>20.354545454545473</v>
      </c>
      <c r="AE186" s="36">
        <v>-4</v>
      </c>
      <c r="AF186" s="36">
        <f t="shared" si="54"/>
        <v>168.9</v>
      </c>
      <c r="AG186" s="36"/>
      <c r="AH186" s="36">
        <f t="shared" si="55"/>
        <v>168.9</v>
      </c>
      <c r="AI186" s="36"/>
      <c r="AJ186" s="36">
        <f t="shared" si="56"/>
        <v>168.9</v>
      </c>
      <c r="AK186" s="9"/>
      <c r="AL186" s="9"/>
      <c r="AM186" s="9"/>
      <c r="AN186" s="9"/>
      <c r="AO186" s="9"/>
      <c r="AP186" s="9"/>
      <c r="AQ186" s="9"/>
      <c r="AR186" s="10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0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0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10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10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10"/>
      <c r="GC186" s="9"/>
      <c r="GD186" s="9"/>
    </row>
    <row r="187" spans="1:186" s="2" customFormat="1" ht="16.95" customHeight="1">
      <c r="A187" s="14" t="s">
        <v>184</v>
      </c>
      <c r="B187" s="36">
        <v>0</v>
      </c>
      <c r="C187" s="36">
        <v>0</v>
      </c>
      <c r="D187" s="4">
        <f t="shared" si="47"/>
        <v>0</v>
      </c>
      <c r="E187" s="11">
        <v>0</v>
      </c>
      <c r="F187" s="5" t="s">
        <v>370</v>
      </c>
      <c r="G187" s="5" t="s">
        <v>370</v>
      </c>
      <c r="H187" s="5" t="s">
        <v>370</v>
      </c>
      <c r="I187" s="5" t="s">
        <v>370</v>
      </c>
      <c r="J187" s="5" t="s">
        <v>370</v>
      </c>
      <c r="K187" s="5" t="s">
        <v>370</v>
      </c>
      <c r="L187" s="5" t="s">
        <v>370</v>
      </c>
      <c r="M187" s="5" t="s">
        <v>370</v>
      </c>
      <c r="N187" s="36">
        <v>434.3</v>
      </c>
      <c r="O187" s="36">
        <v>37.200000000000003</v>
      </c>
      <c r="P187" s="4">
        <f t="shared" si="48"/>
        <v>8.5655077135620539E-2</v>
      </c>
      <c r="Q187" s="11">
        <v>20</v>
      </c>
      <c r="R187" s="36">
        <v>9</v>
      </c>
      <c r="S187" s="36">
        <v>10.3</v>
      </c>
      <c r="T187" s="4">
        <f t="shared" si="49"/>
        <v>1.1444444444444446</v>
      </c>
      <c r="U187" s="11">
        <v>20</v>
      </c>
      <c r="V187" s="36">
        <v>1</v>
      </c>
      <c r="W187" s="36">
        <v>1.1000000000000001</v>
      </c>
      <c r="X187" s="4">
        <f t="shared" si="50"/>
        <v>1.1000000000000001</v>
      </c>
      <c r="Y187" s="11">
        <v>30</v>
      </c>
      <c r="Z187" s="45">
        <f t="shared" si="57"/>
        <v>0.82288557759430436</v>
      </c>
      <c r="AA187" s="46">
        <v>1552</v>
      </c>
      <c r="AB187" s="36">
        <f t="shared" si="51"/>
        <v>141.09090909090909</v>
      </c>
      <c r="AC187" s="36">
        <f t="shared" si="52"/>
        <v>116.1</v>
      </c>
      <c r="AD187" s="36">
        <f t="shared" si="53"/>
        <v>-24.990909090909099</v>
      </c>
      <c r="AE187" s="36">
        <v>-4.5</v>
      </c>
      <c r="AF187" s="36">
        <f t="shared" si="54"/>
        <v>111.6</v>
      </c>
      <c r="AG187" s="36"/>
      <c r="AH187" s="36">
        <f t="shared" si="55"/>
        <v>111.6</v>
      </c>
      <c r="AI187" s="36"/>
      <c r="AJ187" s="36">
        <f t="shared" si="56"/>
        <v>111.6</v>
      </c>
      <c r="AK187" s="9"/>
      <c r="AL187" s="9"/>
      <c r="AM187" s="9"/>
      <c r="AN187" s="9"/>
      <c r="AO187" s="9"/>
      <c r="AP187" s="9"/>
      <c r="AQ187" s="9"/>
      <c r="AR187" s="10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10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0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10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10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10"/>
      <c r="GC187" s="9"/>
      <c r="GD187" s="9"/>
    </row>
    <row r="188" spans="1:186" s="2" customFormat="1" ht="16.95" customHeight="1">
      <c r="A188" s="14" t="s">
        <v>185</v>
      </c>
      <c r="B188" s="36">
        <v>0</v>
      </c>
      <c r="C188" s="36">
        <v>0</v>
      </c>
      <c r="D188" s="4">
        <f t="shared" si="47"/>
        <v>0</v>
      </c>
      <c r="E188" s="11">
        <v>0</v>
      </c>
      <c r="F188" s="5" t="s">
        <v>370</v>
      </c>
      <c r="G188" s="5" t="s">
        <v>370</v>
      </c>
      <c r="H188" s="5" t="s">
        <v>370</v>
      </c>
      <c r="I188" s="5" t="s">
        <v>370</v>
      </c>
      <c r="J188" s="5" t="s">
        <v>370</v>
      </c>
      <c r="K188" s="5" t="s">
        <v>370</v>
      </c>
      <c r="L188" s="5" t="s">
        <v>370</v>
      </c>
      <c r="M188" s="5" t="s">
        <v>370</v>
      </c>
      <c r="N188" s="36">
        <v>52.9</v>
      </c>
      <c r="O188" s="36">
        <v>6.8</v>
      </c>
      <c r="P188" s="4">
        <f t="shared" si="48"/>
        <v>0.12854442344045369</v>
      </c>
      <c r="Q188" s="11">
        <v>20</v>
      </c>
      <c r="R188" s="36">
        <v>60</v>
      </c>
      <c r="S188" s="36">
        <v>61.4</v>
      </c>
      <c r="T188" s="4">
        <f t="shared" si="49"/>
        <v>1.0233333333333332</v>
      </c>
      <c r="U188" s="11">
        <v>30</v>
      </c>
      <c r="V188" s="36">
        <v>2</v>
      </c>
      <c r="W188" s="36">
        <v>2.2000000000000002</v>
      </c>
      <c r="X188" s="4">
        <f t="shared" si="50"/>
        <v>1.1000000000000001</v>
      </c>
      <c r="Y188" s="11">
        <v>20</v>
      </c>
      <c r="Z188" s="45">
        <f t="shared" si="57"/>
        <v>0.78958412098298669</v>
      </c>
      <c r="AA188" s="46">
        <v>2909</v>
      </c>
      <c r="AB188" s="36">
        <f t="shared" si="51"/>
        <v>264.45454545454544</v>
      </c>
      <c r="AC188" s="36">
        <f t="shared" si="52"/>
        <v>208.8</v>
      </c>
      <c r="AD188" s="36">
        <f t="shared" si="53"/>
        <v>-55.654545454545428</v>
      </c>
      <c r="AE188" s="36">
        <v>5.2</v>
      </c>
      <c r="AF188" s="36">
        <f t="shared" si="54"/>
        <v>214</v>
      </c>
      <c r="AG188" s="36"/>
      <c r="AH188" s="36">
        <f t="shared" si="55"/>
        <v>214</v>
      </c>
      <c r="AI188" s="36"/>
      <c r="AJ188" s="36">
        <f t="shared" si="56"/>
        <v>214</v>
      </c>
      <c r="AK188" s="9"/>
      <c r="AL188" s="9"/>
      <c r="AM188" s="9"/>
      <c r="AN188" s="9"/>
      <c r="AO188" s="9"/>
      <c r="AP188" s="9"/>
      <c r="AQ188" s="9"/>
      <c r="AR188" s="10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10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0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10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10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10"/>
      <c r="GC188" s="9"/>
      <c r="GD188" s="9"/>
    </row>
    <row r="189" spans="1:186" s="2" customFormat="1" ht="16.95" customHeight="1">
      <c r="A189" s="14" t="s">
        <v>186</v>
      </c>
      <c r="B189" s="36">
        <v>171944</v>
      </c>
      <c r="C189" s="36">
        <v>183669</v>
      </c>
      <c r="D189" s="4">
        <f t="shared" si="47"/>
        <v>1.0681908063090308</v>
      </c>
      <c r="E189" s="11">
        <v>10</v>
      </c>
      <c r="F189" s="5" t="s">
        <v>370</v>
      </c>
      <c r="G189" s="5" t="s">
        <v>370</v>
      </c>
      <c r="H189" s="5" t="s">
        <v>370</v>
      </c>
      <c r="I189" s="5" t="s">
        <v>370</v>
      </c>
      <c r="J189" s="5" t="s">
        <v>370</v>
      </c>
      <c r="K189" s="5" t="s">
        <v>370</v>
      </c>
      <c r="L189" s="5" t="s">
        <v>370</v>
      </c>
      <c r="M189" s="5" t="s">
        <v>370</v>
      </c>
      <c r="N189" s="36">
        <v>1872.4</v>
      </c>
      <c r="O189" s="36">
        <v>1502.8</v>
      </c>
      <c r="P189" s="4">
        <f t="shared" si="48"/>
        <v>0.80260628070925011</v>
      </c>
      <c r="Q189" s="11">
        <v>20</v>
      </c>
      <c r="R189" s="36">
        <v>5</v>
      </c>
      <c r="S189" s="36">
        <v>5.2</v>
      </c>
      <c r="T189" s="4">
        <f t="shared" si="49"/>
        <v>1.04</v>
      </c>
      <c r="U189" s="11">
        <v>10</v>
      </c>
      <c r="V189" s="36">
        <v>4</v>
      </c>
      <c r="W189" s="36">
        <v>10.9</v>
      </c>
      <c r="X189" s="4">
        <f t="shared" si="50"/>
        <v>1.3</v>
      </c>
      <c r="Y189" s="11">
        <v>40</v>
      </c>
      <c r="Z189" s="45">
        <f t="shared" si="57"/>
        <v>1.1141754209659414</v>
      </c>
      <c r="AA189" s="46">
        <v>4579</v>
      </c>
      <c r="AB189" s="36">
        <f t="shared" si="51"/>
        <v>416.27272727272725</v>
      </c>
      <c r="AC189" s="36">
        <f t="shared" si="52"/>
        <v>463.8</v>
      </c>
      <c r="AD189" s="36">
        <f t="shared" si="53"/>
        <v>47.527272727272759</v>
      </c>
      <c r="AE189" s="36">
        <v>-2.1</v>
      </c>
      <c r="AF189" s="36">
        <f t="shared" si="54"/>
        <v>461.7</v>
      </c>
      <c r="AG189" s="36"/>
      <c r="AH189" s="36">
        <f t="shared" si="55"/>
        <v>461.7</v>
      </c>
      <c r="AI189" s="36"/>
      <c r="AJ189" s="36">
        <f t="shared" si="56"/>
        <v>461.7</v>
      </c>
      <c r="AK189" s="9"/>
      <c r="AL189" s="9"/>
      <c r="AM189" s="9"/>
      <c r="AN189" s="9"/>
      <c r="AO189" s="9"/>
      <c r="AP189" s="9"/>
      <c r="AQ189" s="9"/>
      <c r="AR189" s="10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10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10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10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10"/>
      <c r="GC189" s="9"/>
      <c r="GD189" s="9"/>
    </row>
    <row r="190" spans="1:186" s="2" customFormat="1" ht="16.95" customHeight="1">
      <c r="A190" s="14" t="s">
        <v>187</v>
      </c>
      <c r="B190" s="36">
        <v>0</v>
      </c>
      <c r="C190" s="36">
        <v>0</v>
      </c>
      <c r="D190" s="4">
        <f t="shared" si="47"/>
        <v>0</v>
      </c>
      <c r="E190" s="11">
        <v>0</v>
      </c>
      <c r="F190" s="5" t="s">
        <v>370</v>
      </c>
      <c r="G190" s="5" t="s">
        <v>370</v>
      </c>
      <c r="H190" s="5" t="s">
        <v>370</v>
      </c>
      <c r="I190" s="5" t="s">
        <v>370</v>
      </c>
      <c r="J190" s="5" t="s">
        <v>370</v>
      </c>
      <c r="K190" s="5" t="s">
        <v>370</v>
      </c>
      <c r="L190" s="5" t="s">
        <v>370</v>
      </c>
      <c r="M190" s="5" t="s">
        <v>370</v>
      </c>
      <c r="N190" s="36">
        <v>1000.2</v>
      </c>
      <c r="O190" s="36">
        <v>200.3</v>
      </c>
      <c r="P190" s="4">
        <f t="shared" si="48"/>
        <v>0.20025994801039793</v>
      </c>
      <c r="Q190" s="11">
        <v>20</v>
      </c>
      <c r="R190" s="36">
        <v>205</v>
      </c>
      <c r="S190" s="36">
        <v>284.3</v>
      </c>
      <c r="T190" s="4">
        <f t="shared" si="49"/>
        <v>1.2186829268292683</v>
      </c>
      <c r="U190" s="11">
        <v>35</v>
      </c>
      <c r="V190" s="36">
        <v>8</v>
      </c>
      <c r="W190" s="36">
        <v>15.2</v>
      </c>
      <c r="X190" s="4">
        <f t="shared" si="50"/>
        <v>1.27</v>
      </c>
      <c r="Y190" s="11">
        <v>15</v>
      </c>
      <c r="Z190" s="45">
        <f t="shared" si="57"/>
        <v>0.93870144856046223</v>
      </c>
      <c r="AA190" s="46">
        <v>147</v>
      </c>
      <c r="AB190" s="36">
        <f t="shared" si="51"/>
        <v>13.363636363636363</v>
      </c>
      <c r="AC190" s="36">
        <f t="shared" si="52"/>
        <v>12.5</v>
      </c>
      <c r="AD190" s="36">
        <f t="shared" si="53"/>
        <v>-0.86363636363636331</v>
      </c>
      <c r="AE190" s="36">
        <v>-1</v>
      </c>
      <c r="AF190" s="36">
        <f t="shared" si="54"/>
        <v>11.5</v>
      </c>
      <c r="AG190" s="36"/>
      <c r="AH190" s="36">
        <f t="shared" si="55"/>
        <v>11.5</v>
      </c>
      <c r="AI190" s="36"/>
      <c r="AJ190" s="36">
        <f t="shared" si="56"/>
        <v>11.5</v>
      </c>
      <c r="AK190" s="9"/>
      <c r="AL190" s="9"/>
      <c r="AM190" s="9"/>
      <c r="AN190" s="9"/>
      <c r="AO190" s="9"/>
      <c r="AP190" s="9"/>
      <c r="AQ190" s="9"/>
      <c r="AR190" s="10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10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10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10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10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10"/>
      <c r="GC190" s="9"/>
      <c r="GD190" s="9"/>
    </row>
    <row r="191" spans="1:186" s="2" customFormat="1" ht="16.95" customHeight="1">
      <c r="A191" s="14" t="s">
        <v>188</v>
      </c>
      <c r="B191" s="36">
        <v>0</v>
      </c>
      <c r="C191" s="36">
        <v>0</v>
      </c>
      <c r="D191" s="4">
        <f t="shared" si="47"/>
        <v>0</v>
      </c>
      <c r="E191" s="11">
        <v>0</v>
      </c>
      <c r="F191" s="5" t="s">
        <v>370</v>
      </c>
      <c r="G191" s="5" t="s">
        <v>370</v>
      </c>
      <c r="H191" s="5" t="s">
        <v>370</v>
      </c>
      <c r="I191" s="5" t="s">
        <v>370</v>
      </c>
      <c r="J191" s="5" t="s">
        <v>370</v>
      </c>
      <c r="K191" s="5" t="s">
        <v>370</v>
      </c>
      <c r="L191" s="5" t="s">
        <v>370</v>
      </c>
      <c r="M191" s="5" t="s">
        <v>370</v>
      </c>
      <c r="N191" s="36">
        <v>487.9</v>
      </c>
      <c r="O191" s="36">
        <v>133.19999999999999</v>
      </c>
      <c r="P191" s="4">
        <f t="shared" si="48"/>
        <v>0.27300676368108218</v>
      </c>
      <c r="Q191" s="11">
        <v>20</v>
      </c>
      <c r="R191" s="36">
        <v>60</v>
      </c>
      <c r="S191" s="36">
        <v>62.6</v>
      </c>
      <c r="T191" s="4">
        <f t="shared" si="49"/>
        <v>1.0433333333333334</v>
      </c>
      <c r="U191" s="11">
        <v>25</v>
      </c>
      <c r="V191" s="36">
        <v>3</v>
      </c>
      <c r="W191" s="36">
        <v>3</v>
      </c>
      <c r="X191" s="4">
        <f t="shared" si="50"/>
        <v>1</v>
      </c>
      <c r="Y191" s="11">
        <v>25</v>
      </c>
      <c r="Z191" s="45">
        <f t="shared" si="57"/>
        <v>0.80776383724221401</v>
      </c>
      <c r="AA191" s="46">
        <v>324</v>
      </c>
      <c r="AB191" s="36">
        <f t="shared" si="51"/>
        <v>29.454545454545453</v>
      </c>
      <c r="AC191" s="36">
        <f t="shared" si="52"/>
        <v>23.8</v>
      </c>
      <c r="AD191" s="36">
        <f t="shared" si="53"/>
        <v>-5.6545454545454525</v>
      </c>
      <c r="AE191" s="36">
        <v>-0.8</v>
      </c>
      <c r="AF191" s="36">
        <f t="shared" si="54"/>
        <v>23</v>
      </c>
      <c r="AG191" s="36"/>
      <c r="AH191" s="36">
        <f t="shared" si="55"/>
        <v>23</v>
      </c>
      <c r="AI191" s="36"/>
      <c r="AJ191" s="36">
        <f t="shared" si="56"/>
        <v>23</v>
      </c>
      <c r="AK191" s="9"/>
      <c r="AL191" s="9"/>
      <c r="AM191" s="9"/>
      <c r="AN191" s="9"/>
      <c r="AO191" s="9"/>
      <c r="AP191" s="9"/>
      <c r="AQ191" s="9"/>
      <c r="AR191" s="10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0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10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10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10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10"/>
      <c r="GC191" s="9"/>
      <c r="GD191" s="9"/>
    </row>
    <row r="192" spans="1:186" s="2" customFormat="1" ht="16.95" customHeight="1">
      <c r="A192" s="14" t="s">
        <v>189</v>
      </c>
      <c r="B192" s="36">
        <v>0</v>
      </c>
      <c r="C192" s="36">
        <v>0</v>
      </c>
      <c r="D192" s="4">
        <f t="shared" si="47"/>
        <v>0</v>
      </c>
      <c r="E192" s="11">
        <v>0</v>
      </c>
      <c r="F192" s="5" t="s">
        <v>370</v>
      </c>
      <c r="G192" s="5" t="s">
        <v>370</v>
      </c>
      <c r="H192" s="5" t="s">
        <v>370</v>
      </c>
      <c r="I192" s="5" t="s">
        <v>370</v>
      </c>
      <c r="J192" s="5" t="s">
        <v>370</v>
      </c>
      <c r="K192" s="5" t="s">
        <v>370</v>
      </c>
      <c r="L192" s="5" t="s">
        <v>370</v>
      </c>
      <c r="M192" s="5" t="s">
        <v>370</v>
      </c>
      <c r="N192" s="36">
        <v>102.2</v>
      </c>
      <c r="O192" s="36">
        <v>64.599999999999994</v>
      </c>
      <c r="P192" s="4">
        <f t="shared" si="48"/>
        <v>0.63209393346379639</v>
      </c>
      <c r="Q192" s="11">
        <v>20</v>
      </c>
      <c r="R192" s="36">
        <v>70</v>
      </c>
      <c r="S192" s="36">
        <v>90.5</v>
      </c>
      <c r="T192" s="4">
        <f t="shared" si="49"/>
        <v>1.2092857142857143</v>
      </c>
      <c r="U192" s="11">
        <v>25</v>
      </c>
      <c r="V192" s="36">
        <v>2.5</v>
      </c>
      <c r="W192" s="36">
        <v>2.7</v>
      </c>
      <c r="X192" s="4">
        <f t="shared" si="50"/>
        <v>1.08</v>
      </c>
      <c r="Y192" s="11">
        <v>25</v>
      </c>
      <c r="Z192" s="45">
        <f t="shared" si="57"/>
        <v>0.99820030752026834</v>
      </c>
      <c r="AA192" s="46">
        <v>2507</v>
      </c>
      <c r="AB192" s="36">
        <f t="shared" si="51"/>
        <v>227.90909090909091</v>
      </c>
      <c r="AC192" s="36">
        <f t="shared" si="52"/>
        <v>227.5</v>
      </c>
      <c r="AD192" s="36">
        <f t="shared" si="53"/>
        <v>-0.40909090909090651</v>
      </c>
      <c r="AE192" s="36">
        <v>-6.4</v>
      </c>
      <c r="AF192" s="36">
        <f t="shared" si="54"/>
        <v>221.1</v>
      </c>
      <c r="AG192" s="36"/>
      <c r="AH192" s="36">
        <f t="shared" si="55"/>
        <v>221.1</v>
      </c>
      <c r="AI192" s="36"/>
      <c r="AJ192" s="36">
        <f t="shared" si="56"/>
        <v>221.1</v>
      </c>
      <c r="AK192" s="9"/>
      <c r="AL192" s="9"/>
      <c r="AM192" s="9"/>
      <c r="AN192" s="9"/>
      <c r="AO192" s="9"/>
      <c r="AP192" s="9"/>
      <c r="AQ192" s="9"/>
      <c r="AR192" s="10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0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10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10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10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10"/>
      <c r="GC192" s="9"/>
      <c r="GD192" s="9"/>
    </row>
    <row r="193" spans="1:186" s="2" customFormat="1" ht="16.95" customHeight="1">
      <c r="A193" s="14" t="s">
        <v>190</v>
      </c>
      <c r="B193" s="36">
        <v>12382</v>
      </c>
      <c r="C193" s="36">
        <v>14176</v>
      </c>
      <c r="D193" s="4">
        <f t="shared" si="47"/>
        <v>1.1448877402681312</v>
      </c>
      <c r="E193" s="11">
        <v>10</v>
      </c>
      <c r="F193" s="5" t="s">
        <v>370</v>
      </c>
      <c r="G193" s="5" t="s">
        <v>370</v>
      </c>
      <c r="H193" s="5" t="s">
        <v>370</v>
      </c>
      <c r="I193" s="5" t="s">
        <v>370</v>
      </c>
      <c r="J193" s="5" t="s">
        <v>370</v>
      </c>
      <c r="K193" s="5" t="s">
        <v>370</v>
      </c>
      <c r="L193" s="5" t="s">
        <v>370</v>
      </c>
      <c r="M193" s="5" t="s">
        <v>370</v>
      </c>
      <c r="N193" s="36">
        <v>146.6</v>
      </c>
      <c r="O193" s="36">
        <v>857.7</v>
      </c>
      <c r="P193" s="4">
        <f t="shared" si="48"/>
        <v>1.3</v>
      </c>
      <c r="Q193" s="11">
        <v>20</v>
      </c>
      <c r="R193" s="36">
        <v>340</v>
      </c>
      <c r="S193" s="36">
        <v>340.9</v>
      </c>
      <c r="T193" s="4">
        <f t="shared" si="49"/>
        <v>1.0026470588235294</v>
      </c>
      <c r="U193" s="11">
        <v>35</v>
      </c>
      <c r="V193" s="36">
        <v>21</v>
      </c>
      <c r="W193" s="36">
        <v>21.4</v>
      </c>
      <c r="X193" s="4">
        <f t="shared" si="50"/>
        <v>1.019047619047619</v>
      </c>
      <c r="Y193" s="11">
        <v>15</v>
      </c>
      <c r="Z193" s="45">
        <f t="shared" si="57"/>
        <v>1.0978404843402392</v>
      </c>
      <c r="AA193" s="46">
        <v>2522</v>
      </c>
      <c r="AB193" s="36">
        <f t="shared" si="51"/>
        <v>229.27272727272728</v>
      </c>
      <c r="AC193" s="36">
        <f t="shared" si="52"/>
        <v>251.7</v>
      </c>
      <c r="AD193" s="36">
        <f t="shared" si="53"/>
        <v>22.427272727272708</v>
      </c>
      <c r="AE193" s="36">
        <v>-2.1</v>
      </c>
      <c r="AF193" s="36">
        <f t="shared" si="54"/>
        <v>249.6</v>
      </c>
      <c r="AG193" s="36"/>
      <c r="AH193" s="36">
        <f t="shared" si="55"/>
        <v>249.6</v>
      </c>
      <c r="AI193" s="36"/>
      <c r="AJ193" s="36">
        <f t="shared" si="56"/>
        <v>249.6</v>
      </c>
      <c r="AK193" s="9"/>
      <c r="AL193" s="9"/>
      <c r="AM193" s="9"/>
      <c r="AN193" s="9"/>
      <c r="AO193" s="9"/>
      <c r="AP193" s="9"/>
      <c r="AQ193" s="9"/>
      <c r="AR193" s="10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10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10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10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10"/>
      <c r="GC193" s="9"/>
      <c r="GD193" s="9"/>
    </row>
    <row r="194" spans="1:186" s="2" customFormat="1" ht="16.95" customHeight="1">
      <c r="A194" s="14" t="s">
        <v>191</v>
      </c>
      <c r="B194" s="36">
        <v>0</v>
      </c>
      <c r="C194" s="36">
        <v>0</v>
      </c>
      <c r="D194" s="4">
        <f t="shared" si="47"/>
        <v>0</v>
      </c>
      <c r="E194" s="11">
        <v>0</v>
      </c>
      <c r="F194" s="5" t="s">
        <v>370</v>
      </c>
      <c r="G194" s="5" t="s">
        <v>370</v>
      </c>
      <c r="H194" s="5" t="s">
        <v>370</v>
      </c>
      <c r="I194" s="5" t="s">
        <v>370</v>
      </c>
      <c r="J194" s="5" t="s">
        <v>370</v>
      </c>
      <c r="K194" s="5" t="s">
        <v>370</v>
      </c>
      <c r="L194" s="5" t="s">
        <v>370</v>
      </c>
      <c r="M194" s="5" t="s">
        <v>370</v>
      </c>
      <c r="N194" s="36">
        <v>122.7</v>
      </c>
      <c r="O194" s="36">
        <v>30.4</v>
      </c>
      <c r="P194" s="4">
        <f t="shared" si="48"/>
        <v>0.24775876120619394</v>
      </c>
      <c r="Q194" s="11">
        <v>20</v>
      </c>
      <c r="R194" s="36">
        <v>115</v>
      </c>
      <c r="S194" s="36">
        <v>142.4</v>
      </c>
      <c r="T194" s="4">
        <f t="shared" si="49"/>
        <v>1.2038260869565218</v>
      </c>
      <c r="U194" s="11">
        <v>30</v>
      </c>
      <c r="V194" s="36">
        <v>7</v>
      </c>
      <c r="W194" s="36">
        <v>7.2</v>
      </c>
      <c r="X194" s="4">
        <f t="shared" si="50"/>
        <v>1.0285714285714287</v>
      </c>
      <c r="Y194" s="11">
        <v>20</v>
      </c>
      <c r="Z194" s="45">
        <f t="shared" si="57"/>
        <v>0.88059123434640152</v>
      </c>
      <c r="AA194" s="46">
        <v>2268</v>
      </c>
      <c r="AB194" s="36">
        <f t="shared" si="51"/>
        <v>206.18181818181819</v>
      </c>
      <c r="AC194" s="36">
        <f t="shared" si="52"/>
        <v>181.6</v>
      </c>
      <c r="AD194" s="36">
        <f t="shared" si="53"/>
        <v>-24.581818181818193</v>
      </c>
      <c r="AE194" s="36">
        <v>1.7</v>
      </c>
      <c r="AF194" s="36">
        <f t="shared" si="54"/>
        <v>183.3</v>
      </c>
      <c r="AG194" s="36"/>
      <c r="AH194" s="36">
        <f t="shared" si="55"/>
        <v>183.3</v>
      </c>
      <c r="AI194" s="36"/>
      <c r="AJ194" s="36">
        <f t="shared" si="56"/>
        <v>183.3</v>
      </c>
      <c r="AK194" s="9"/>
      <c r="AL194" s="9"/>
      <c r="AM194" s="9"/>
      <c r="AN194" s="9"/>
      <c r="AO194" s="9"/>
      <c r="AP194" s="9"/>
      <c r="AQ194" s="9"/>
      <c r="AR194" s="10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0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10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10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10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10"/>
      <c r="GC194" s="9"/>
      <c r="GD194" s="9"/>
    </row>
    <row r="195" spans="1:186" s="2" customFormat="1" ht="16.95" customHeight="1">
      <c r="A195" s="14" t="s">
        <v>192</v>
      </c>
      <c r="B195" s="36">
        <v>0</v>
      </c>
      <c r="C195" s="36">
        <v>0</v>
      </c>
      <c r="D195" s="4">
        <f t="shared" si="47"/>
        <v>0</v>
      </c>
      <c r="E195" s="11">
        <v>0</v>
      </c>
      <c r="F195" s="5" t="s">
        <v>370</v>
      </c>
      <c r="G195" s="5" t="s">
        <v>370</v>
      </c>
      <c r="H195" s="5" t="s">
        <v>370</v>
      </c>
      <c r="I195" s="5" t="s">
        <v>370</v>
      </c>
      <c r="J195" s="5" t="s">
        <v>370</v>
      </c>
      <c r="K195" s="5" t="s">
        <v>370</v>
      </c>
      <c r="L195" s="5" t="s">
        <v>370</v>
      </c>
      <c r="M195" s="5" t="s">
        <v>370</v>
      </c>
      <c r="N195" s="36">
        <v>44.5</v>
      </c>
      <c r="O195" s="36">
        <v>39.700000000000003</v>
      </c>
      <c r="P195" s="4">
        <f t="shared" si="48"/>
        <v>0.89213483146067418</v>
      </c>
      <c r="Q195" s="11">
        <v>20</v>
      </c>
      <c r="R195" s="36">
        <v>145</v>
      </c>
      <c r="S195" s="36">
        <v>170.5</v>
      </c>
      <c r="T195" s="4">
        <f t="shared" si="49"/>
        <v>1.1758620689655173</v>
      </c>
      <c r="U195" s="11">
        <v>30</v>
      </c>
      <c r="V195" s="36">
        <v>10</v>
      </c>
      <c r="W195" s="36">
        <v>10.199999999999999</v>
      </c>
      <c r="X195" s="4">
        <f t="shared" si="50"/>
        <v>1.02</v>
      </c>
      <c r="Y195" s="11">
        <v>20</v>
      </c>
      <c r="Z195" s="45">
        <f t="shared" si="57"/>
        <v>1.0502651242596999</v>
      </c>
      <c r="AA195" s="46">
        <v>2108</v>
      </c>
      <c r="AB195" s="36">
        <f t="shared" si="51"/>
        <v>191.63636363636363</v>
      </c>
      <c r="AC195" s="36">
        <f t="shared" si="52"/>
        <v>201.3</v>
      </c>
      <c r="AD195" s="36">
        <f t="shared" si="53"/>
        <v>9.6636363636363853</v>
      </c>
      <c r="AE195" s="36">
        <v>2.4</v>
      </c>
      <c r="AF195" s="36">
        <f t="shared" si="54"/>
        <v>203.7</v>
      </c>
      <c r="AG195" s="36"/>
      <c r="AH195" s="36">
        <f t="shared" si="55"/>
        <v>203.7</v>
      </c>
      <c r="AI195" s="36"/>
      <c r="AJ195" s="36">
        <f t="shared" si="56"/>
        <v>203.7</v>
      </c>
      <c r="AK195" s="9"/>
      <c r="AL195" s="9"/>
      <c r="AM195" s="9"/>
      <c r="AN195" s="9"/>
      <c r="AO195" s="9"/>
      <c r="AP195" s="9"/>
      <c r="AQ195" s="9"/>
      <c r="AR195" s="10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0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10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10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10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10"/>
      <c r="GC195" s="9"/>
      <c r="GD195" s="9"/>
    </row>
    <row r="196" spans="1:186" s="2" customFormat="1" ht="16.95" customHeight="1">
      <c r="A196" s="14" t="s">
        <v>193</v>
      </c>
      <c r="B196" s="36">
        <v>0</v>
      </c>
      <c r="C196" s="36">
        <v>0</v>
      </c>
      <c r="D196" s="4">
        <f t="shared" si="47"/>
        <v>0</v>
      </c>
      <c r="E196" s="11">
        <v>0</v>
      </c>
      <c r="F196" s="5" t="s">
        <v>370</v>
      </c>
      <c r="G196" s="5" t="s">
        <v>370</v>
      </c>
      <c r="H196" s="5" t="s">
        <v>370</v>
      </c>
      <c r="I196" s="5" t="s">
        <v>370</v>
      </c>
      <c r="J196" s="5" t="s">
        <v>370</v>
      </c>
      <c r="K196" s="5" t="s">
        <v>370</v>
      </c>
      <c r="L196" s="5" t="s">
        <v>370</v>
      </c>
      <c r="M196" s="5" t="s">
        <v>370</v>
      </c>
      <c r="N196" s="36">
        <v>191.5</v>
      </c>
      <c r="O196" s="36">
        <v>10.8</v>
      </c>
      <c r="P196" s="4">
        <f t="shared" si="48"/>
        <v>5.6396866840731072E-2</v>
      </c>
      <c r="Q196" s="11">
        <v>20</v>
      </c>
      <c r="R196" s="36">
        <v>25</v>
      </c>
      <c r="S196" s="36">
        <v>27.5</v>
      </c>
      <c r="T196" s="4">
        <f t="shared" si="49"/>
        <v>1.1000000000000001</v>
      </c>
      <c r="U196" s="11">
        <v>25</v>
      </c>
      <c r="V196" s="36">
        <v>5</v>
      </c>
      <c r="W196" s="36">
        <v>5.2</v>
      </c>
      <c r="X196" s="4">
        <f t="shared" si="50"/>
        <v>1.04</v>
      </c>
      <c r="Y196" s="11">
        <v>25</v>
      </c>
      <c r="Z196" s="45">
        <f t="shared" si="57"/>
        <v>0.78039910481163755</v>
      </c>
      <c r="AA196" s="46">
        <v>472</v>
      </c>
      <c r="AB196" s="36">
        <f t="shared" si="51"/>
        <v>42.909090909090907</v>
      </c>
      <c r="AC196" s="36">
        <f t="shared" si="52"/>
        <v>33.5</v>
      </c>
      <c r="AD196" s="36">
        <f t="shared" si="53"/>
        <v>-9.4090909090909065</v>
      </c>
      <c r="AE196" s="36">
        <v>-2.1</v>
      </c>
      <c r="AF196" s="36">
        <f t="shared" si="54"/>
        <v>31.4</v>
      </c>
      <c r="AG196" s="36"/>
      <c r="AH196" s="36">
        <f t="shared" si="55"/>
        <v>31.4</v>
      </c>
      <c r="AI196" s="36"/>
      <c r="AJ196" s="36">
        <f t="shared" si="56"/>
        <v>31.4</v>
      </c>
      <c r="AK196" s="9"/>
      <c r="AL196" s="9"/>
      <c r="AM196" s="9"/>
      <c r="AN196" s="9"/>
      <c r="AO196" s="9"/>
      <c r="AP196" s="9"/>
      <c r="AQ196" s="9"/>
      <c r="AR196" s="10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0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10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10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10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10"/>
      <c r="GC196" s="9"/>
      <c r="GD196" s="9"/>
    </row>
    <row r="197" spans="1:186" s="2" customFormat="1" ht="16.95" customHeight="1">
      <c r="A197" s="14" t="s">
        <v>194</v>
      </c>
      <c r="B197" s="36">
        <v>0</v>
      </c>
      <c r="C197" s="36">
        <v>0</v>
      </c>
      <c r="D197" s="4">
        <f t="shared" si="47"/>
        <v>0</v>
      </c>
      <c r="E197" s="11">
        <v>0</v>
      </c>
      <c r="F197" s="5" t="s">
        <v>370</v>
      </c>
      <c r="G197" s="5" t="s">
        <v>370</v>
      </c>
      <c r="H197" s="5" t="s">
        <v>370</v>
      </c>
      <c r="I197" s="5" t="s">
        <v>370</v>
      </c>
      <c r="J197" s="5" t="s">
        <v>370</v>
      </c>
      <c r="K197" s="5" t="s">
        <v>370</v>
      </c>
      <c r="L197" s="5" t="s">
        <v>370</v>
      </c>
      <c r="M197" s="5" t="s">
        <v>370</v>
      </c>
      <c r="N197" s="36">
        <v>188.7</v>
      </c>
      <c r="O197" s="36">
        <v>34</v>
      </c>
      <c r="P197" s="4">
        <f t="shared" si="48"/>
        <v>0.1801801801801802</v>
      </c>
      <c r="Q197" s="11">
        <v>20</v>
      </c>
      <c r="R197" s="36">
        <v>420</v>
      </c>
      <c r="S197" s="36">
        <v>612.5</v>
      </c>
      <c r="T197" s="4">
        <f t="shared" si="49"/>
        <v>1.2258333333333333</v>
      </c>
      <c r="U197" s="11">
        <v>35</v>
      </c>
      <c r="V197" s="36">
        <v>16</v>
      </c>
      <c r="W197" s="36">
        <v>17</v>
      </c>
      <c r="X197" s="4">
        <f t="shared" si="50"/>
        <v>1.0625</v>
      </c>
      <c r="Y197" s="11">
        <v>15</v>
      </c>
      <c r="Z197" s="45">
        <f t="shared" si="57"/>
        <v>0.89207528957528959</v>
      </c>
      <c r="AA197" s="46">
        <v>620</v>
      </c>
      <c r="AB197" s="36">
        <f t="shared" si="51"/>
        <v>56.363636363636367</v>
      </c>
      <c r="AC197" s="36">
        <f t="shared" si="52"/>
        <v>50.3</v>
      </c>
      <c r="AD197" s="36">
        <f t="shared" si="53"/>
        <v>-6.0636363636363697</v>
      </c>
      <c r="AE197" s="36">
        <v>-0.8</v>
      </c>
      <c r="AF197" s="36">
        <f t="shared" si="54"/>
        <v>49.5</v>
      </c>
      <c r="AG197" s="36"/>
      <c r="AH197" s="36">
        <f t="shared" si="55"/>
        <v>49.5</v>
      </c>
      <c r="AI197" s="36"/>
      <c r="AJ197" s="36">
        <f t="shared" si="56"/>
        <v>49.5</v>
      </c>
      <c r="AK197" s="9"/>
      <c r="AL197" s="9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10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10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10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10"/>
      <c r="GC197" s="9"/>
      <c r="GD197" s="9"/>
    </row>
    <row r="198" spans="1:186" s="2" customFormat="1" ht="16.95" customHeight="1">
      <c r="A198" s="14" t="s">
        <v>195</v>
      </c>
      <c r="B198" s="36">
        <v>0</v>
      </c>
      <c r="C198" s="36">
        <v>0</v>
      </c>
      <c r="D198" s="4">
        <f t="shared" si="47"/>
        <v>0</v>
      </c>
      <c r="E198" s="11">
        <v>0</v>
      </c>
      <c r="F198" s="5" t="s">
        <v>370</v>
      </c>
      <c r="G198" s="5" t="s">
        <v>370</v>
      </c>
      <c r="H198" s="5" t="s">
        <v>370</v>
      </c>
      <c r="I198" s="5" t="s">
        <v>370</v>
      </c>
      <c r="J198" s="5" t="s">
        <v>370</v>
      </c>
      <c r="K198" s="5" t="s">
        <v>370</v>
      </c>
      <c r="L198" s="5" t="s">
        <v>370</v>
      </c>
      <c r="M198" s="5" t="s">
        <v>370</v>
      </c>
      <c r="N198" s="36">
        <v>529.6</v>
      </c>
      <c r="O198" s="36">
        <v>96.6</v>
      </c>
      <c r="P198" s="4">
        <f t="shared" si="48"/>
        <v>0.18240181268882175</v>
      </c>
      <c r="Q198" s="11">
        <v>20</v>
      </c>
      <c r="R198" s="36">
        <v>70</v>
      </c>
      <c r="S198" s="36">
        <v>73.8</v>
      </c>
      <c r="T198" s="4">
        <f t="shared" si="49"/>
        <v>1.0542857142857143</v>
      </c>
      <c r="U198" s="11">
        <v>25</v>
      </c>
      <c r="V198" s="36">
        <v>5</v>
      </c>
      <c r="W198" s="36">
        <v>9.6</v>
      </c>
      <c r="X198" s="4">
        <f t="shared" si="50"/>
        <v>1.272</v>
      </c>
      <c r="Y198" s="11">
        <v>25</v>
      </c>
      <c r="Z198" s="45">
        <f t="shared" si="57"/>
        <v>0.88293113015599001</v>
      </c>
      <c r="AA198" s="46">
        <v>1595</v>
      </c>
      <c r="AB198" s="36">
        <f t="shared" si="51"/>
        <v>145</v>
      </c>
      <c r="AC198" s="36">
        <f t="shared" si="52"/>
        <v>128</v>
      </c>
      <c r="AD198" s="36">
        <f t="shared" si="53"/>
        <v>-17</v>
      </c>
      <c r="AE198" s="36">
        <v>-1.4</v>
      </c>
      <c r="AF198" s="36">
        <f t="shared" si="54"/>
        <v>126.6</v>
      </c>
      <c r="AG198" s="36"/>
      <c r="AH198" s="36">
        <f t="shared" si="55"/>
        <v>126.6</v>
      </c>
      <c r="AI198" s="36"/>
      <c r="AJ198" s="36">
        <f t="shared" si="56"/>
        <v>126.6</v>
      </c>
      <c r="AK198" s="9"/>
      <c r="AL198" s="9"/>
      <c r="AM198" s="9"/>
      <c r="AN198" s="9"/>
      <c r="AO198" s="9"/>
      <c r="AP198" s="9"/>
      <c r="AQ198" s="9"/>
      <c r="AR198" s="10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10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10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10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10"/>
      <c r="GC198" s="9"/>
      <c r="GD198" s="9"/>
    </row>
    <row r="199" spans="1:186" s="2" customFormat="1" ht="16.95" customHeight="1">
      <c r="A199" s="18" t="s">
        <v>196</v>
      </c>
      <c r="B199" s="6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9"/>
      <c r="AL199" s="9"/>
      <c r="AM199" s="9"/>
      <c r="AN199" s="9"/>
      <c r="AO199" s="9"/>
      <c r="AP199" s="9"/>
      <c r="AQ199" s="9"/>
      <c r="AR199" s="10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10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10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10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10"/>
      <c r="GC199" s="9"/>
      <c r="GD199" s="9"/>
    </row>
    <row r="200" spans="1:186" s="2" customFormat="1" ht="16.95" customHeight="1">
      <c r="A200" s="14" t="s">
        <v>197</v>
      </c>
      <c r="B200" s="36">
        <v>0</v>
      </c>
      <c r="C200" s="36">
        <v>0</v>
      </c>
      <c r="D200" s="4">
        <f t="shared" si="47"/>
        <v>0</v>
      </c>
      <c r="E200" s="11">
        <v>0</v>
      </c>
      <c r="F200" s="5" t="s">
        <v>370</v>
      </c>
      <c r="G200" s="5" t="s">
        <v>370</v>
      </c>
      <c r="H200" s="5" t="s">
        <v>370</v>
      </c>
      <c r="I200" s="5" t="s">
        <v>370</v>
      </c>
      <c r="J200" s="5" t="s">
        <v>370</v>
      </c>
      <c r="K200" s="5" t="s">
        <v>370</v>
      </c>
      <c r="L200" s="5" t="s">
        <v>370</v>
      </c>
      <c r="M200" s="5" t="s">
        <v>370</v>
      </c>
      <c r="N200" s="36">
        <v>180.8</v>
      </c>
      <c r="O200" s="36">
        <v>193.3</v>
      </c>
      <c r="P200" s="4">
        <f t="shared" si="48"/>
        <v>1.0691371681415929</v>
      </c>
      <c r="Q200" s="11">
        <v>20</v>
      </c>
      <c r="R200" s="36">
        <v>3.9</v>
      </c>
      <c r="S200" s="36">
        <v>20.100000000000001</v>
      </c>
      <c r="T200" s="4">
        <f t="shared" si="49"/>
        <v>1.3</v>
      </c>
      <c r="U200" s="11">
        <v>35</v>
      </c>
      <c r="V200" s="36">
        <v>1.7</v>
      </c>
      <c r="W200" s="36">
        <v>1.1000000000000001</v>
      </c>
      <c r="X200" s="4">
        <f t="shared" si="50"/>
        <v>0.6470588235294118</v>
      </c>
      <c r="Y200" s="11">
        <v>15</v>
      </c>
      <c r="Z200" s="45">
        <f t="shared" si="57"/>
        <v>1.0941232245110433</v>
      </c>
      <c r="AA200" s="46">
        <v>1830</v>
      </c>
      <c r="AB200" s="36">
        <f t="shared" si="51"/>
        <v>166.36363636363637</v>
      </c>
      <c r="AC200" s="36">
        <f t="shared" si="52"/>
        <v>182</v>
      </c>
      <c r="AD200" s="36">
        <f t="shared" si="53"/>
        <v>15.636363636363626</v>
      </c>
      <c r="AE200" s="36">
        <v>-3</v>
      </c>
      <c r="AF200" s="36">
        <f t="shared" si="54"/>
        <v>179</v>
      </c>
      <c r="AG200" s="36"/>
      <c r="AH200" s="36">
        <f t="shared" si="55"/>
        <v>179</v>
      </c>
      <c r="AI200" s="36"/>
      <c r="AJ200" s="36">
        <f t="shared" si="56"/>
        <v>179</v>
      </c>
      <c r="AK200" s="9"/>
      <c r="AL200" s="9"/>
      <c r="AM200" s="9"/>
      <c r="AN200" s="9"/>
      <c r="AO200" s="9"/>
      <c r="AP200" s="9"/>
      <c r="AQ200" s="9"/>
      <c r="AR200" s="10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0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10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10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10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10"/>
      <c r="GC200" s="9"/>
      <c r="GD200" s="9"/>
    </row>
    <row r="201" spans="1:186" s="2" customFormat="1" ht="16.95" customHeight="1">
      <c r="A201" s="14" t="s">
        <v>198</v>
      </c>
      <c r="B201" s="36">
        <v>0</v>
      </c>
      <c r="C201" s="36">
        <v>0</v>
      </c>
      <c r="D201" s="4">
        <f t="shared" si="47"/>
        <v>0</v>
      </c>
      <c r="E201" s="11">
        <v>0</v>
      </c>
      <c r="F201" s="5" t="s">
        <v>370</v>
      </c>
      <c r="G201" s="5" t="s">
        <v>370</v>
      </c>
      <c r="H201" s="5" t="s">
        <v>370</v>
      </c>
      <c r="I201" s="5" t="s">
        <v>370</v>
      </c>
      <c r="J201" s="5" t="s">
        <v>370</v>
      </c>
      <c r="K201" s="5" t="s">
        <v>370</v>
      </c>
      <c r="L201" s="5" t="s">
        <v>370</v>
      </c>
      <c r="M201" s="5" t="s">
        <v>370</v>
      </c>
      <c r="N201" s="36">
        <v>13.7</v>
      </c>
      <c r="O201" s="36">
        <v>120.5</v>
      </c>
      <c r="P201" s="4">
        <f t="shared" si="48"/>
        <v>1.3</v>
      </c>
      <c r="Q201" s="11">
        <v>20</v>
      </c>
      <c r="R201" s="36">
        <v>0</v>
      </c>
      <c r="S201" s="36">
        <v>0</v>
      </c>
      <c r="T201" s="4">
        <f t="shared" si="49"/>
        <v>1</v>
      </c>
      <c r="U201" s="11">
        <v>30</v>
      </c>
      <c r="V201" s="36">
        <v>0</v>
      </c>
      <c r="W201" s="36">
        <v>0</v>
      </c>
      <c r="X201" s="4">
        <f t="shared" si="50"/>
        <v>1</v>
      </c>
      <c r="Y201" s="11">
        <v>20</v>
      </c>
      <c r="Z201" s="45">
        <f t="shared" si="57"/>
        <v>1.0857142857142856</v>
      </c>
      <c r="AA201" s="46">
        <v>1129</v>
      </c>
      <c r="AB201" s="36">
        <f t="shared" si="51"/>
        <v>102.63636363636364</v>
      </c>
      <c r="AC201" s="36">
        <f t="shared" si="52"/>
        <v>111.4</v>
      </c>
      <c r="AD201" s="36">
        <f t="shared" si="53"/>
        <v>8.7636363636363654</v>
      </c>
      <c r="AE201" s="36">
        <v>-1.9</v>
      </c>
      <c r="AF201" s="36">
        <f t="shared" si="54"/>
        <v>109.5</v>
      </c>
      <c r="AG201" s="36">
        <f>MIN(AF201,51.3)</f>
        <v>51.3</v>
      </c>
      <c r="AH201" s="36">
        <f t="shared" si="55"/>
        <v>58.2</v>
      </c>
      <c r="AI201" s="36"/>
      <c r="AJ201" s="36">
        <f t="shared" si="56"/>
        <v>58.2</v>
      </c>
      <c r="AK201" s="9"/>
      <c r="AL201" s="9"/>
      <c r="AM201" s="9"/>
      <c r="AN201" s="9"/>
      <c r="AO201" s="9"/>
      <c r="AP201" s="9"/>
      <c r="AQ201" s="9"/>
      <c r="AR201" s="10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10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10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10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10"/>
      <c r="GC201" s="9"/>
      <c r="GD201" s="9"/>
    </row>
    <row r="202" spans="1:186" s="2" customFormat="1" ht="16.95" customHeight="1">
      <c r="A202" s="14" t="s">
        <v>199</v>
      </c>
      <c r="B202" s="36">
        <v>0</v>
      </c>
      <c r="C202" s="36">
        <v>0</v>
      </c>
      <c r="D202" s="4">
        <f t="shared" si="47"/>
        <v>0</v>
      </c>
      <c r="E202" s="11">
        <v>0</v>
      </c>
      <c r="F202" s="5" t="s">
        <v>370</v>
      </c>
      <c r="G202" s="5" t="s">
        <v>370</v>
      </c>
      <c r="H202" s="5" t="s">
        <v>370</v>
      </c>
      <c r="I202" s="5" t="s">
        <v>370</v>
      </c>
      <c r="J202" s="5" t="s">
        <v>370</v>
      </c>
      <c r="K202" s="5" t="s">
        <v>370</v>
      </c>
      <c r="L202" s="5" t="s">
        <v>370</v>
      </c>
      <c r="M202" s="5" t="s">
        <v>370</v>
      </c>
      <c r="N202" s="36">
        <v>231.8</v>
      </c>
      <c r="O202" s="36">
        <v>371.5</v>
      </c>
      <c r="P202" s="4">
        <f t="shared" si="48"/>
        <v>1.2402674719585849</v>
      </c>
      <c r="Q202" s="11">
        <v>20</v>
      </c>
      <c r="R202" s="36">
        <v>66.900000000000006</v>
      </c>
      <c r="S202" s="36">
        <v>54.7</v>
      </c>
      <c r="T202" s="4">
        <f t="shared" si="49"/>
        <v>0.81763826606875933</v>
      </c>
      <c r="U202" s="11">
        <v>30</v>
      </c>
      <c r="V202" s="36">
        <v>5.0999999999999996</v>
      </c>
      <c r="W202" s="36">
        <v>6</v>
      </c>
      <c r="X202" s="4">
        <f t="shared" si="50"/>
        <v>1.1764705882352942</v>
      </c>
      <c r="Y202" s="11">
        <v>20</v>
      </c>
      <c r="Z202" s="45">
        <f t="shared" si="57"/>
        <v>1.0409129883705768</v>
      </c>
      <c r="AA202" s="46">
        <v>2985</v>
      </c>
      <c r="AB202" s="36">
        <f t="shared" si="51"/>
        <v>271.36363636363637</v>
      </c>
      <c r="AC202" s="36">
        <f t="shared" si="52"/>
        <v>282.5</v>
      </c>
      <c r="AD202" s="36">
        <f t="shared" si="53"/>
        <v>11.136363636363626</v>
      </c>
      <c r="AE202" s="36">
        <v>-1.6</v>
      </c>
      <c r="AF202" s="36">
        <f t="shared" si="54"/>
        <v>280.89999999999998</v>
      </c>
      <c r="AG202" s="36"/>
      <c r="AH202" s="36">
        <f t="shared" si="55"/>
        <v>280.89999999999998</v>
      </c>
      <c r="AI202" s="36"/>
      <c r="AJ202" s="36">
        <f t="shared" si="56"/>
        <v>280.89999999999998</v>
      </c>
      <c r="AK202" s="9"/>
      <c r="AL202" s="9"/>
      <c r="AM202" s="9"/>
      <c r="AN202" s="9"/>
      <c r="AO202" s="9"/>
      <c r="AP202" s="9"/>
      <c r="AQ202" s="9"/>
      <c r="AR202" s="10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0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10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10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10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10"/>
      <c r="GC202" s="9"/>
      <c r="GD202" s="9"/>
    </row>
    <row r="203" spans="1:186" s="2" customFormat="1" ht="16.95" customHeight="1">
      <c r="A203" s="14" t="s">
        <v>200</v>
      </c>
      <c r="B203" s="36">
        <v>0</v>
      </c>
      <c r="C203" s="36">
        <v>0</v>
      </c>
      <c r="D203" s="4">
        <f t="shared" si="47"/>
        <v>0</v>
      </c>
      <c r="E203" s="11">
        <v>0</v>
      </c>
      <c r="F203" s="5" t="s">
        <v>370</v>
      </c>
      <c r="G203" s="5" t="s">
        <v>370</v>
      </c>
      <c r="H203" s="5" t="s">
        <v>370</v>
      </c>
      <c r="I203" s="5" t="s">
        <v>370</v>
      </c>
      <c r="J203" s="5" t="s">
        <v>370</v>
      </c>
      <c r="K203" s="5" t="s">
        <v>370</v>
      </c>
      <c r="L203" s="5" t="s">
        <v>370</v>
      </c>
      <c r="M203" s="5" t="s">
        <v>370</v>
      </c>
      <c r="N203" s="36">
        <v>143.6</v>
      </c>
      <c r="O203" s="36">
        <v>47.3</v>
      </c>
      <c r="P203" s="4">
        <f t="shared" si="48"/>
        <v>0.32938718662952643</v>
      </c>
      <c r="Q203" s="11">
        <v>20</v>
      </c>
      <c r="R203" s="36">
        <v>0.1</v>
      </c>
      <c r="S203" s="36">
        <v>0.1</v>
      </c>
      <c r="T203" s="4">
        <f t="shared" si="49"/>
        <v>1</v>
      </c>
      <c r="U203" s="11">
        <v>30</v>
      </c>
      <c r="V203" s="36">
        <v>0.3</v>
      </c>
      <c r="W203" s="36">
        <v>0.1</v>
      </c>
      <c r="X203" s="4">
        <f t="shared" si="50"/>
        <v>0.33333333333333337</v>
      </c>
      <c r="Y203" s="11">
        <v>20</v>
      </c>
      <c r="Z203" s="45">
        <f t="shared" si="57"/>
        <v>0.61792014856081712</v>
      </c>
      <c r="AA203" s="46">
        <v>743</v>
      </c>
      <c r="AB203" s="36">
        <f t="shared" si="51"/>
        <v>67.545454545454547</v>
      </c>
      <c r="AC203" s="36">
        <f t="shared" si="52"/>
        <v>41.7</v>
      </c>
      <c r="AD203" s="36">
        <f t="shared" si="53"/>
        <v>-25.845454545454544</v>
      </c>
      <c r="AE203" s="36">
        <v>-2.4</v>
      </c>
      <c r="AF203" s="36">
        <f t="shared" si="54"/>
        <v>39.299999999999997</v>
      </c>
      <c r="AG203" s="36"/>
      <c r="AH203" s="36">
        <f t="shared" si="55"/>
        <v>39.299999999999997</v>
      </c>
      <c r="AI203" s="36"/>
      <c r="AJ203" s="36">
        <f t="shared" si="56"/>
        <v>39.299999999999997</v>
      </c>
      <c r="AK203" s="9"/>
      <c r="AL203" s="9"/>
      <c r="AM203" s="9"/>
      <c r="AN203" s="9"/>
      <c r="AO203" s="9"/>
      <c r="AP203" s="9"/>
      <c r="AQ203" s="9"/>
      <c r="AR203" s="10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0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10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10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10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10"/>
      <c r="GC203" s="9"/>
      <c r="GD203" s="9"/>
    </row>
    <row r="204" spans="1:186" s="2" customFormat="1" ht="16.95" customHeight="1">
      <c r="A204" s="14" t="s">
        <v>201</v>
      </c>
      <c r="B204" s="36">
        <v>0</v>
      </c>
      <c r="C204" s="36">
        <v>0</v>
      </c>
      <c r="D204" s="4">
        <f t="shared" si="47"/>
        <v>0</v>
      </c>
      <c r="E204" s="11">
        <v>0</v>
      </c>
      <c r="F204" s="5" t="s">
        <v>370</v>
      </c>
      <c r="G204" s="5" t="s">
        <v>370</v>
      </c>
      <c r="H204" s="5" t="s">
        <v>370</v>
      </c>
      <c r="I204" s="5" t="s">
        <v>370</v>
      </c>
      <c r="J204" s="5" t="s">
        <v>370</v>
      </c>
      <c r="K204" s="5" t="s">
        <v>370</v>
      </c>
      <c r="L204" s="5" t="s">
        <v>370</v>
      </c>
      <c r="M204" s="5" t="s">
        <v>370</v>
      </c>
      <c r="N204" s="36">
        <v>163.5</v>
      </c>
      <c r="O204" s="36">
        <v>127</v>
      </c>
      <c r="P204" s="4">
        <f t="shared" si="48"/>
        <v>0.77675840978593269</v>
      </c>
      <c r="Q204" s="11">
        <v>20</v>
      </c>
      <c r="R204" s="36">
        <v>3.2</v>
      </c>
      <c r="S204" s="36">
        <v>3.5</v>
      </c>
      <c r="T204" s="4">
        <f t="shared" si="49"/>
        <v>1.09375</v>
      </c>
      <c r="U204" s="11">
        <v>5</v>
      </c>
      <c r="V204" s="36">
        <v>2.9</v>
      </c>
      <c r="W204" s="36">
        <v>3.2</v>
      </c>
      <c r="X204" s="4">
        <f t="shared" si="50"/>
        <v>1.103448275862069</v>
      </c>
      <c r="Y204" s="11">
        <v>45</v>
      </c>
      <c r="Z204" s="45">
        <f t="shared" si="57"/>
        <v>1.0094155801358824</v>
      </c>
      <c r="AA204" s="46">
        <v>1973</v>
      </c>
      <c r="AB204" s="36">
        <f t="shared" si="51"/>
        <v>179.36363636363637</v>
      </c>
      <c r="AC204" s="36">
        <f t="shared" si="52"/>
        <v>181.1</v>
      </c>
      <c r="AD204" s="36">
        <f t="shared" si="53"/>
        <v>1.7363636363636203</v>
      </c>
      <c r="AE204" s="36">
        <v>-4.3</v>
      </c>
      <c r="AF204" s="36">
        <f t="shared" si="54"/>
        <v>176.8</v>
      </c>
      <c r="AG204" s="36"/>
      <c r="AH204" s="36">
        <f t="shared" si="55"/>
        <v>176.8</v>
      </c>
      <c r="AI204" s="36"/>
      <c r="AJ204" s="36">
        <f t="shared" si="56"/>
        <v>176.8</v>
      </c>
      <c r="AK204" s="9"/>
      <c r="AL204" s="9"/>
      <c r="AM204" s="9"/>
      <c r="AN204" s="9"/>
      <c r="AO204" s="9"/>
      <c r="AP204" s="9"/>
      <c r="AQ204" s="9"/>
      <c r="AR204" s="10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0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10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10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10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10"/>
      <c r="GC204" s="9"/>
      <c r="GD204" s="9"/>
    </row>
    <row r="205" spans="1:186" s="2" customFormat="1" ht="16.95" customHeight="1">
      <c r="A205" s="14" t="s">
        <v>202</v>
      </c>
      <c r="B205" s="36">
        <v>444</v>
      </c>
      <c r="C205" s="36">
        <v>600.9</v>
      </c>
      <c r="D205" s="4">
        <f t="shared" si="47"/>
        <v>1.2153378378378379</v>
      </c>
      <c r="E205" s="11">
        <v>10</v>
      </c>
      <c r="F205" s="5" t="s">
        <v>370</v>
      </c>
      <c r="G205" s="5" t="s">
        <v>370</v>
      </c>
      <c r="H205" s="5" t="s">
        <v>370</v>
      </c>
      <c r="I205" s="5" t="s">
        <v>370</v>
      </c>
      <c r="J205" s="5" t="s">
        <v>370</v>
      </c>
      <c r="K205" s="5" t="s">
        <v>370</v>
      </c>
      <c r="L205" s="5" t="s">
        <v>370</v>
      </c>
      <c r="M205" s="5" t="s">
        <v>370</v>
      </c>
      <c r="N205" s="36">
        <v>148.80000000000001</v>
      </c>
      <c r="O205" s="36">
        <v>66</v>
      </c>
      <c r="P205" s="4">
        <f t="shared" si="48"/>
        <v>0.44354838709677413</v>
      </c>
      <c r="Q205" s="11">
        <v>20</v>
      </c>
      <c r="R205" s="36">
        <v>20.2</v>
      </c>
      <c r="S205" s="36">
        <v>20.8</v>
      </c>
      <c r="T205" s="4">
        <f t="shared" si="49"/>
        <v>1.0297029702970297</v>
      </c>
      <c r="U205" s="11">
        <v>35</v>
      </c>
      <c r="V205" s="36">
        <v>4</v>
      </c>
      <c r="W205" s="36">
        <v>4.2</v>
      </c>
      <c r="X205" s="4">
        <f t="shared" si="50"/>
        <v>1.05</v>
      </c>
      <c r="Y205" s="11">
        <v>15</v>
      </c>
      <c r="Z205" s="45">
        <f t="shared" si="57"/>
        <v>0.91017437600887374</v>
      </c>
      <c r="AA205" s="46">
        <v>2618</v>
      </c>
      <c r="AB205" s="36">
        <f t="shared" si="51"/>
        <v>238</v>
      </c>
      <c r="AC205" s="36">
        <f t="shared" si="52"/>
        <v>216.6</v>
      </c>
      <c r="AD205" s="36">
        <f t="shared" si="53"/>
        <v>-21.400000000000006</v>
      </c>
      <c r="AE205" s="36">
        <v>-6.7</v>
      </c>
      <c r="AF205" s="36">
        <f t="shared" si="54"/>
        <v>209.9</v>
      </c>
      <c r="AG205" s="36"/>
      <c r="AH205" s="36">
        <f t="shared" si="55"/>
        <v>209.9</v>
      </c>
      <c r="AI205" s="36"/>
      <c r="AJ205" s="36">
        <f t="shared" si="56"/>
        <v>209.9</v>
      </c>
      <c r="AK205" s="9"/>
      <c r="AL205" s="9"/>
      <c r="AM205" s="9"/>
      <c r="AN205" s="9"/>
      <c r="AO205" s="9"/>
      <c r="AP205" s="9"/>
      <c r="AQ205" s="9"/>
      <c r="AR205" s="10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10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10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10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10"/>
      <c r="GC205" s="9"/>
      <c r="GD205" s="9"/>
    </row>
    <row r="206" spans="1:186" s="2" customFormat="1" ht="16.95" customHeight="1">
      <c r="A206" s="14" t="s">
        <v>203</v>
      </c>
      <c r="B206" s="36">
        <v>12117</v>
      </c>
      <c r="C206" s="36">
        <v>11102.5</v>
      </c>
      <c r="D206" s="4">
        <f t="shared" si="47"/>
        <v>0.91627465544276632</v>
      </c>
      <c r="E206" s="11">
        <v>10</v>
      </c>
      <c r="F206" s="5" t="s">
        <v>370</v>
      </c>
      <c r="G206" s="5" t="s">
        <v>370</v>
      </c>
      <c r="H206" s="5" t="s">
        <v>370</v>
      </c>
      <c r="I206" s="5" t="s">
        <v>370</v>
      </c>
      <c r="J206" s="5" t="s">
        <v>370</v>
      </c>
      <c r="K206" s="5" t="s">
        <v>370</v>
      </c>
      <c r="L206" s="5" t="s">
        <v>370</v>
      </c>
      <c r="M206" s="5" t="s">
        <v>370</v>
      </c>
      <c r="N206" s="36">
        <v>1270.0999999999999</v>
      </c>
      <c r="O206" s="36">
        <v>1063.7</v>
      </c>
      <c r="P206" s="4">
        <f t="shared" si="48"/>
        <v>0.83749311077867894</v>
      </c>
      <c r="Q206" s="11">
        <v>20</v>
      </c>
      <c r="R206" s="36">
        <v>44.7</v>
      </c>
      <c r="S206" s="36">
        <v>86.1</v>
      </c>
      <c r="T206" s="4">
        <f t="shared" si="49"/>
        <v>1.2726174496644296</v>
      </c>
      <c r="U206" s="11">
        <v>30</v>
      </c>
      <c r="V206" s="36">
        <v>4.8</v>
      </c>
      <c r="W206" s="36">
        <v>4.9000000000000004</v>
      </c>
      <c r="X206" s="4">
        <f t="shared" si="50"/>
        <v>1.0208333333333335</v>
      </c>
      <c r="Y206" s="11">
        <v>20</v>
      </c>
      <c r="Z206" s="45">
        <f t="shared" si="57"/>
        <v>1.05634748658251</v>
      </c>
      <c r="AA206" s="46">
        <v>3989</v>
      </c>
      <c r="AB206" s="36">
        <f t="shared" si="51"/>
        <v>362.63636363636363</v>
      </c>
      <c r="AC206" s="36">
        <f t="shared" si="52"/>
        <v>383.1</v>
      </c>
      <c r="AD206" s="36">
        <f t="shared" si="53"/>
        <v>20.463636363636397</v>
      </c>
      <c r="AE206" s="36">
        <v>7.6</v>
      </c>
      <c r="AF206" s="36">
        <f t="shared" si="54"/>
        <v>390.7</v>
      </c>
      <c r="AG206" s="36"/>
      <c r="AH206" s="36">
        <f t="shared" si="55"/>
        <v>390.7</v>
      </c>
      <c r="AI206" s="36"/>
      <c r="AJ206" s="36">
        <f t="shared" si="56"/>
        <v>390.7</v>
      </c>
      <c r="AK206" s="9"/>
      <c r="AL206" s="9"/>
      <c r="AM206" s="9"/>
      <c r="AN206" s="9"/>
      <c r="AO206" s="9"/>
      <c r="AP206" s="9"/>
      <c r="AQ206" s="9"/>
      <c r="AR206" s="10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0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10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10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10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10"/>
      <c r="GC206" s="9"/>
      <c r="GD206" s="9"/>
    </row>
    <row r="207" spans="1:186" s="2" customFormat="1" ht="16.95" customHeight="1">
      <c r="A207" s="14" t="s">
        <v>204</v>
      </c>
      <c r="B207" s="36">
        <v>0</v>
      </c>
      <c r="C207" s="36">
        <v>0</v>
      </c>
      <c r="D207" s="4">
        <f t="shared" si="47"/>
        <v>0</v>
      </c>
      <c r="E207" s="11">
        <v>0</v>
      </c>
      <c r="F207" s="5" t="s">
        <v>370</v>
      </c>
      <c r="G207" s="5" t="s">
        <v>370</v>
      </c>
      <c r="H207" s="5" t="s">
        <v>370</v>
      </c>
      <c r="I207" s="5" t="s">
        <v>370</v>
      </c>
      <c r="J207" s="5" t="s">
        <v>370</v>
      </c>
      <c r="K207" s="5" t="s">
        <v>370</v>
      </c>
      <c r="L207" s="5" t="s">
        <v>370</v>
      </c>
      <c r="M207" s="5" t="s">
        <v>370</v>
      </c>
      <c r="N207" s="36">
        <v>1918.8</v>
      </c>
      <c r="O207" s="36">
        <v>141.9</v>
      </c>
      <c r="P207" s="4">
        <f t="shared" si="48"/>
        <v>7.3952470293933717E-2</v>
      </c>
      <c r="Q207" s="11">
        <v>20</v>
      </c>
      <c r="R207" s="36">
        <v>14.8</v>
      </c>
      <c r="S207" s="36">
        <v>14.1</v>
      </c>
      <c r="T207" s="4">
        <f t="shared" si="49"/>
        <v>0.95270270270270263</v>
      </c>
      <c r="U207" s="11">
        <v>30</v>
      </c>
      <c r="V207" s="36">
        <v>2.7</v>
      </c>
      <c r="W207" s="36">
        <v>2.2999999999999998</v>
      </c>
      <c r="X207" s="4">
        <f t="shared" si="50"/>
        <v>0.85185185185185175</v>
      </c>
      <c r="Y207" s="11">
        <v>20</v>
      </c>
      <c r="Z207" s="45">
        <f t="shared" si="57"/>
        <v>0.6728166789142398</v>
      </c>
      <c r="AA207" s="46">
        <v>972</v>
      </c>
      <c r="AB207" s="36">
        <f t="shared" si="51"/>
        <v>88.36363636363636</v>
      </c>
      <c r="AC207" s="36">
        <f t="shared" si="52"/>
        <v>59.5</v>
      </c>
      <c r="AD207" s="36">
        <f t="shared" si="53"/>
        <v>-28.86363636363636</v>
      </c>
      <c r="AE207" s="36">
        <v>-3.6</v>
      </c>
      <c r="AF207" s="36">
        <f t="shared" si="54"/>
        <v>55.9</v>
      </c>
      <c r="AG207" s="36"/>
      <c r="AH207" s="36">
        <f t="shared" si="55"/>
        <v>55.9</v>
      </c>
      <c r="AI207" s="36"/>
      <c r="AJ207" s="36">
        <f t="shared" si="56"/>
        <v>55.9</v>
      </c>
      <c r="AK207" s="9"/>
      <c r="AL207" s="9"/>
      <c r="AM207" s="9"/>
      <c r="AN207" s="9"/>
      <c r="AO207" s="9"/>
      <c r="AP207" s="9"/>
      <c r="AQ207" s="9"/>
      <c r="AR207" s="10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0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10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10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10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10"/>
      <c r="GC207" s="9"/>
      <c r="GD207" s="9"/>
    </row>
    <row r="208" spans="1:186" s="2" customFormat="1" ht="16.95" customHeight="1">
      <c r="A208" s="14" t="s">
        <v>205</v>
      </c>
      <c r="B208" s="36">
        <v>0</v>
      </c>
      <c r="C208" s="36">
        <v>0</v>
      </c>
      <c r="D208" s="4">
        <f t="shared" si="47"/>
        <v>0</v>
      </c>
      <c r="E208" s="11">
        <v>0</v>
      </c>
      <c r="F208" s="5" t="s">
        <v>370</v>
      </c>
      <c r="G208" s="5" t="s">
        <v>370</v>
      </c>
      <c r="H208" s="5" t="s">
        <v>370</v>
      </c>
      <c r="I208" s="5" t="s">
        <v>370</v>
      </c>
      <c r="J208" s="5" t="s">
        <v>370</v>
      </c>
      <c r="K208" s="5" t="s">
        <v>370</v>
      </c>
      <c r="L208" s="5" t="s">
        <v>370</v>
      </c>
      <c r="M208" s="5" t="s">
        <v>370</v>
      </c>
      <c r="N208" s="36">
        <v>67.3</v>
      </c>
      <c r="O208" s="36">
        <v>35.799999999999997</v>
      </c>
      <c r="P208" s="4">
        <f t="shared" si="48"/>
        <v>0.53194650817236255</v>
      </c>
      <c r="Q208" s="11">
        <v>20</v>
      </c>
      <c r="R208" s="36">
        <v>1.5</v>
      </c>
      <c r="S208" s="36">
        <v>1</v>
      </c>
      <c r="T208" s="4">
        <f t="shared" si="49"/>
        <v>0.66666666666666663</v>
      </c>
      <c r="U208" s="11">
        <v>30</v>
      </c>
      <c r="V208" s="36">
        <v>0.3</v>
      </c>
      <c r="W208" s="36">
        <v>0.4</v>
      </c>
      <c r="X208" s="4">
        <f t="shared" si="50"/>
        <v>1.2133333333333334</v>
      </c>
      <c r="Y208" s="11">
        <v>20</v>
      </c>
      <c r="Z208" s="45">
        <f t="shared" si="57"/>
        <v>0.7843656690016273</v>
      </c>
      <c r="AA208" s="46">
        <v>559</v>
      </c>
      <c r="AB208" s="36">
        <f t="shared" si="51"/>
        <v>50.81818181818182</v>
      </c>
      <c r="AC208" s="36">
        <f t="shared" si="52"/>
        <v>39.9</v>
      </c>
      <c r="AD208" s="36">
        <f t="shared" si="53"/>
        <v>-10.918181818181822</v>
      </c>
      <c r="AE208" s="36">
        <v>-2.7</v>
      </c>
      <c r="AF208" s="36">
        <f t="shared" si="54"/>
        <v>37.200000000000003</v>
      </c>
      <c r="AG208" s="36"/>
      <c r="AH208" s="36">
        <f t="shared" si="55"/>
        <v>37.200000000000003</v>
      </c>
      <c r="AI208" s="36"/>
      <c r="AJ208" s="36">
        <f t="shared" si="56"/>
        <v>37.200000000000003</v>
      </c>
      <c r="AK208" s="9"/>
      <c r="AL208" s="9"/>
      <c r="AM208" s="9"/>
      <c r="AN208" s="9"/>
      <c r="AO208" s="9"/>
      <c r="AP208" s="9"/>
      <c r="AQ208" s="9"/>
      <c r="AR208" s="10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0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10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10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10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10"/>
      <c r="GC208" s="9"/>
      <c r="GD208" s="9"/>
    </row>
    <row r="209" spans="1:186" s="2" customFormat="1" ht="16.95" customHeight="1">
      <c r="A209" s="14" t="s">
        <v>206</v>
      </c>
      <c r="B209" s="36">
        <v>0</v>
      </c>
      <c r="C209" s="36">
        <v>0</v>
      </c>
      <c r="D209" s="4">
        <f t="shared" si="47"/>
        <v>0</v>
      </c>
      <c r="E209" s="11">
        <v>0</v>
      </c>
      <c r="F209" s="5" t="s">
        <v>370</v>
      </c>
      <c r="G209" s="5" t="s">
        <v>370</v>
      </c>
      <c r="H209" s="5" t="s">
        <v>370</v>
      </c>
      <c r="I209" s="5" t="s">
        <v>370</v>
      </c>
      <c r="J209" s="5" t="s">
        <v>370</v>
      </c>
      <c r="K209" s="5" t="s">
        <v>370</v>
      </c>
      <c r="L209" s="5" t="s">
        <v>370</v>
      </c>
      <c r="M209" s="5" t="s">
        <v>370</v>
      </c>
      <c r="N209" s="36">
        <v>194.1</v>
      </c>
      <c r="O209" s="36">
        <v>157.5</v>
      </c>
      <c r="P209" s="4">
        <f t="shared" si="48"/>
        <v>0.81143740340030912</v>
      </c>
      <c r="Q209" s="11">
        <v>20</v>
      </c>
      <c r="R209" s="36">
        <v>101.1</v>
      </c>
      <c r="S209" s="36">
        <v>89.9</v>
      </c>
      <c r="T209" s="4">
        <f t="shared" si="49"/>
        <v>0.88921859545004955</v>
      </c>
      <c r="U209" s="11">
        <v>35</v>
      </c>
      <c r="V209" s="36">
        <v>5.2</v>
      </c>
      <c r="W209" s="36">
        <v>2.7</v>
      </c>
      <c r="X209" s="4">
        <f t="shared" si="50"/>
        <v>0.51923076923076927</v>
      </c>
      <c r="Y209" s="11">
        <v>15</v>
      </c>
      <c r="Z209" s="45">
        <f t="shared" si="57"/>
        <v>0.78771229210313509</v>
      </c>
      <c r="AA209" s="46">
        <v>2781</v>
      </c>
      <c r="AB209" s="36">
        <f t="shared" si="51"/>
        <v>252.81818181818181</v>
      </c>
      <c r="AC209" s="36">
        <f t="shared" si="52"/>
        <v>199.1</v>
      </c>
      <c r="AD209" s="36">
        <f t="shared" si="53"/>
        <v>-53.718181818181819</v>
      </c>
      <c r="AE209" s="36">
        <v>-29.3</v>
      </c>
      <c r="AF209" s="36">
        <f t="shared" si="54"/>
        <v>169.8</v>
      </c>
      <c r="AG209" s="36"/>
      <c r="AH209" s="36">
        <f t="shared" si="55"/>
        <v>169.8</v>
      </c>
      <c r="AI209" s="36"/>
      <c r="AJ209" s="36">
        <f t="shared" si="56"/>
        <v>169.8</v>
      </c>
      <c r="AK209" s="9"/>
      <c r="AL209" s="9"/>
      <c r="AM209" s="9"/>
      <c r="AN209" s="9"/>
      <c r="AO209" s="9"/>
      <c r="AP209" s="9"/>
      <c r="AQ209" s="9"/>
      <c r="AR209" s="10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10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10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10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10"/>
      <c r="GC209" s="9"/>
      <c r="GD209" s="9"/>
    </row>
    <row r="210" spans="1:186" s="2" customFormat="1" ht="16.95" customHeight="1">
      <c r="A210" s="14" t="s">
        <v>207</v>
      </c>
      <c r="B210" s="36">
        <v>0</v>
      </c>
      <c r="C210" s="36">
        <v>0</v>
      </c>
      <c r="D210" s="4">
        <f t="shared" si="47"/>
        <v>0</v>
      </c>
      <c r="E210" s="11">
        <v>0</v>
      </c>
      <c r="F210" s="5" t="s">
        <v>370</v>
      </c>
      <c r="G210" s="5" t="s">
        <v>370</v>
      </c>
      <c r="H210" s="5" t="s">
        <v>370</v>
      </c>
      <c r="I210" s="5" t="s">
        <v>370</v>
      </c>
      <c r="J210" s="5" t="s">
        <v>370</v>
      </c>
      <c r="K210" s="5" t="s">
        <v>370</v>
      </c>
      <c r="L210" s="5" t="s">
        <v>370</v>
      </c>
      <c r="M210" s="5" t="s">
        <v>370</v>
      </c>
      <c r="N210" s="36">
        <v>26.9</v>
      </c>
      <c r="O210" s="36">
        <v>32.799999999999997</v>
      </c>
      <c r="P210" s="4">
        <f t="shared" si="48"/>
        <v>1.2019330855018586</v>
      </c>
      <c r="Q210" s="11">
        <v>20</v>
      </c>
      <c r="R210" s="36">
        <v>5.6</v>
      </c>
      <c r="S210" s="36">
        <v>8.6</v>
      </c>
      <c r="T210" s="4">
        <f t="shared" si="49"/>
        <v>1.2335714285714285</v>
      </c>
      <c r="U210" s="11">
        <v>35</v>
      </c>
      <c r="V210" s="36">
        <v>0.3</v>
      </c>
      <c r="W210" s="36">
        <v>0</v>
      </c>
      <c r="X210" s="4">
        <f t="shared" si="50"/>
        <v>0</v>
      </c>
      <c r="Y210" s="11">
        <v>15</v>
      </c>
      <c r="Z210" s="45">
        <f t="shared" si="57"/>
        <v>0.96019516728624532</v>
      </c>
      <c r="AA210" s="46">
        <v>772</v>
      </c>
      <c r="AB210" s="36">
        <f t="shared" si="51"/>
        <v>70.181818181818187</v>
      </c>
      <c r="AC210" s="36">
        <f t="shared" si="52"/>
        <v>67.400000000000006</v>
      </c>
      <c r="AD210" s="36">
        <f t="shared" si="53"/>
        <v>-2.7818181818181813</v>
      </c>
      <c r="AE210" s="36">
        <v>-2</v>
      </c>
      <c r="AF210" s="36">
        <f t="shared" si="54"/>
        <v>65.400000000000006</v>
      </c>
      <c r="AG210" s="36"/>
      <c r="AH210" s="36">
        <f t="shared" si="55"/>
        <v>65.400000000000006</v>
      </c>
      <c r="AI210" s="36"/>
      <c r="AJ210" s="36">
        <f t="shared" si="56"/>
        <v>65.400000000000006</v>
      </c>
      <c r="AK210" s="9"/>
      <c r="AL210" s="9"/>
      <c r="AM210" s="9"/>
      <c r="AN210" s="9"/>
      <c r="AO210" s="9"/>
      <c r="AP210" s="9"/>
      <c r="AQ210" s="9"/>
      <c r="AR210" s="10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10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10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10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10"/>
      <c r="GC210" s="9"/>
      <c r="GD210" s="9"/>
    </row>
    <row r="211" spans="1:186" s="2" customFormat="1" ht="16.95" customHeight="1">
      <c r="A211" s="14" t="s">
        <v>208</v>
      </c>
      <c r="B211" s="36">
        <v>0</v>
      </c>
      <c r="C211" s="36">
        <v>0</v>
      </c>
      <c r="D211" s="4">
        <f t="shared" si="47"/>
        <v>0</v>
      </c>
      <c r="E211" s="11">
        <v>0</v>
      </c>
      <c r="F211" s="5" t="s">
        <v>370</v>
      </c>
      <c r="G211" s="5" t="s">
        <v>370</v>
      </c>
      <c r="H211" s="5" t="s">
        <v>370</v>
      </c>
      <c r="I211" s="5" t="s">
        <v>370</v>
      </c>
      <c r="J211" s="5" t="s">
        <v>370</v>
      </c>
      <c r="K211" s="5" t="s">
        <v>370</v>
      </c>
      <c r="L211" s="5" t="s">
        <v>370</v>
      </c>
      <c r="M211" s="5" t="s">
        <v>370</v>
      </c>
      <c r="N211" s="36">
        <v>226.5</v>
      </c>
      <c r="O211" s="36">
        <v>53.1</v>
      </c>
      <c r="P211" s="4">
        <f t="shared" si="48"/>
        <v>0.23443708609271524</v>
      </c>
      <c r="Q211" s="11">
        <v>20</v>
      </c>
      <c r="R211" s="36">
        <v>0</v>
      </c>
      <c r="S211" s="36">
        <v>0</v>
      </c>
      <c r="T211" s="4">
        <f t="shared" si="49"/>
        <v>1</v>
      </c>
      <c r="U211" s="11">
        <v>35</v>
      </c>
      <c r="V211" s="36">
        <v>0</v>
      </c>
      <c r="W211" s="36">
        <v>0.2</v>
      </c>
      <c r="X211" s="4">
        <f t="shared" si="50"/>
        <v>1</v>
      </c>
      <c r="Y211" s="11">
        <v>15</v>
      </c>
      <c r="Z211" s="45">
        <f t="shared" si="57"/>
        <v>0.78126773888363299</v>
      </c>
      <c r="AA211" s="46">
        <v>823</v>
      </c>
      <c r="AB211" s="36">
        <f t="shared" si="51"/>
        <v>74.818181818181813</v>
      </c>
      <c r="AC211" s="36">
        <f t="shared" si="52"/>
        <v>58.5</v>
      </c>
      <c r="AD211" s="36">
        <f t="shared" si="53"/>
        <v>-16.318181818181813</v>
      </c>
      <c r="AE211" s="36">
        <v>9.4</v>
      </c>
      <c r="AF211" s="36">
        <f t="shared" si="54"/>
        <v>67.900000000000006</v>
      </c>
      <c r="AG211" s="36">
        <f>MIN(AF211,23.6)</f>
        <v>23.6</v>
      </c>
      <c r="AH211" s="36">
        <f t="shared" si="55"/>
        <v>44.3</v>
      </c>
      <c r="AI211" s="36"/>
      <c r="AJ211" s="36">
        <f t="shared" si="56"/>
        <v>44.3</v>
      </c>
      <c r="AK211" s="9"/>
      <c r="AL211" s="9"/>
      <c r="AM211" s="9"/>
      <c r="AN211" s="9"/>
      <c r="AO211" s="9"/>
      <c r="AP211" s="9"/>
      <c r="AQ211" s="9"/>
      <c r="AR211" s="10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0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10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10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10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10"/>
      <c r="GC211" s="9"/>
      <c r="GD211" s="9"/>
    </row>
    <row r="212" spans="1:186" s="2" customFormat="1" ht="16.95" customHeight="1">
      <c r="A212" s="18" t="s">
        <v>209</v>
      </c>
      <c r="B212" s="6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9"/>
      <c r="AL212" s="9"/>
      <c r="AM212" s="9"/>
      <c r="AN212" s="9"/>
      <c r="AO212" s="9"/>
      <c r="AP212" s="9"/>
      <c r="AQ212" s="9"/>
      <c r="AR212" s="10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0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10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10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10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10"/>
      <c r="GC212" s="9"/>
      <c r="GD212" s="9"/>
    </row>
    <row r="213" spans="1:186" s="2" customFormat="1" ht="16.95" customHeight="1">
      <c r="A213" s="47" t="s">
        <v>210</v>
      </c>
      <c r="B213" s="36">
        <v>1150</v>
      </c>
      <c r="C213" s="36">
        <v>0</v>
      </c>
      <c r="D213" s="4">
        <f t="shared" si="47"/>
        <v>0</v>
      </c>
      <c r="E213" s="11">
        <v>10</v>
      </c>
      <c r="F213" s="5" t="s">
        <v>370</v>
      </c>
      <c r="G213" s="5" t="s">
        <v>370</v>
      </c>
      <c r="H213" s="5" t="s">
        <v>370</v>
      </c>
      <c r="I213" s="5" t="s">
        <v>370</v>
      </c>
      <c r="J213" s="5" t="s">
        <v>370</v>
      </c>
      <c r="K213" s="5" t="s">
        <v>370</v>
      </c>
      <c r="L213" s="5" t="s">
        <v>370</v>
      </c>
      <c r="M213" s="5" t="s">
        <v>370</v>
      </c>
      <c r="N213" s="36">
        <v>232.5</v>
      </c>
      <c r="O213" s="36">
        <v>61.1</v>
      </c>
      <c r="P213" s="4">
        <f t="shared" si="48"/>
        <v>0.2627956989247312</v>
      </c>
      <c r="Q213" s="11">
        <v>20</v>
      </c>
      <c r="R213" s="36">
        <v>150</v>
      </c>
      <c r="S213" s="36">
        <v>105.7</v>
      </c>
      <c r="T213" s="4">
        <f t="shared" si="49"/>
        <v>0.70466666666666666</v>
      </c>
      <c r="U213" s="11">
        <v>15</v>
      </c>
      <c r="V213" s="36">
        <v>3</v>
      </c>
      <c r="W213" s="36">
        <v>0</v>
      </c>
      <c r="X213" s="4">
        <f t="shared" si="50"/>
        <v>0</v>
      </c>
      <c r="Y213" s="11">
        <v>35</v>
      </c>
      <c r="Z213" s="45">
        <f t="shared" si="57"/>
        <v>0.19782392473118279</v>
      </c>
      <c r="AA213" s="46">
        <v>1156</v>
      </c>
      <c r="AB213" s="36">
        <f t="shared" si="51"/>
        <v>105.09090909090909</v>
      </c>
      <c r="AC213" s="36">
        <f t="shared" si="52"/>
        <v>20.8</v>
      </c>
      <c r="AD213" s="36">
        <f t="shared" si="53"/>
        <v>-84.290909090909096</v>
      </c>
      <c r="AE213" s="36">
        <v>-0.7</v>
      </c>
      <c r="AF213" s="36">
        <f t="shared" si="54"/>
        <v>20.100000000000001</v>
      </c>
      <c r="AG213" s="36">
        <f>MIN(AF213,52.5)</f>
        <v>20.100000000000001</v>
      </c>
      <c r="AH213" s="36">
        <f t="shared" si="55"/>
        <v>0</v>
      </c>
      <c r="AI213" s="36"/>
      <c r="AJ213" s="36">
        <f t="shared" si="56"/>
        <v>0</v>
      </c>
      <c r="AK213" s="9"/>
      <c r="AL213" s="9"/>
      <c r="AM213" s="9"/>
      <c r="AN213" s="9"/>
      <c r="AO213" s="9"/>
      <c r="AP213" s="9"/>
      <c r="AQ213" s="9"/>
      <c r="AR213" s="10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10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10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10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10"/>
      <c r="GC213" s="9"/>
      <c r="GD213" s="9"/>
    </row>
    <row r="214" spans="1:186" s="2" customFormat="1" ht="16.95" customHeight="1">
      <c r="A214" s="47" t="s">
        <v>211</v>
      </c>
      <c r="B214" s="36">
        <v>0</v>
      </c>
      <c r="C214" s="36">
        <v>0</v>
      </c>
      <c r="D214" s="4">
        <f t="shared" si="47"/>
        <v>0</v>
      </c>
      <c r="E214" s="11">
        <v>0</v>
      </c>
      <c r="F214" s="5" t="s">
        <v>370</v>
      </c>
      <c r="G214" s="5" t="s">
        <v>370</v>
      </c>
      <c r="H214" s="5" t="s">
        <v>370</v>
      </c>
      <c r="I214" s="5" t="s">
        <v>370</v>
      </c>
      <c r="J214" s="5" t="s">
        <v>370</v>
      </c>
      <c r="K214" s="5" t="s">
        <v>370</v>
      </c>
      <c r="L214" s="5" t="s">
        <v>370</v>
      </c>
      <c r="M214" s="5" t="s">
        <v>370</v>
      </c>
      <c r="N214" s="36">
        <v>154.4</v>
      </c>
      <c r="O214" s="36">
        <v>217.5</v>
      </c>
      <c r="P214" s="4">
        <f t="shared" si="48"/>
        <v>1.2208678756476683</v>
      </c>
      <c r="Q214" s="11">
        <v>20</v>
      </c>
      <c r="R214" s="36">
        <v>5</v>
      </c>
      <c r="S214" s="36">
        <v>9.5</v>
      </c>
      <c r="T214" s="4">
        <f t="shared" si="49"/>
        <v>1.27</v>
      </c>
      <c r="U214" s="11">
        <v>20</v>
      </c>
      <c r="V214" s="36">
        <v>0.3</v>
      </c>
      <c r="W214" s="36">
        <v>0.3</v>
      </c>
      <c r="X214" s="4">
        <f t="shared" si="50"/>
        <v>1</v>
      </c>
      <c r="Y214" s="11">
        <v>30</v>
      </c>
      <c r="Z214" s="45">
        <f t="shared" si="57"/>
        <v>1.1402479644707624</v>
      </c>
      <c r="AA214" s="46">
        <v>2663</v>
      </c>
      <c r="AB214" s="36">
        <f t="shared" si="51"/>
        <v>242.09090909090909</v>
      </c>
      <c r="AC214" s="36">
        <f t="shared" si="52"/>
        <v>276</v>
      </c>
      <c r="AD214" s="36">
        <f t="shared" si="53"/>
        <v>33.909090909090907</v>
      </c>
      <c r="AE214" s="36">
        <v>-1.9</v>
      </c>
      <c r="AF214" s="36">
        <f t="shared" si="54"/>
        <v>274.10000000000002</v>
      </c>
      <c r="AG214" s="36"/>
      <c r="AH214" s="36">
        <f t="shared" si="55"/>
        <v>274.10000000000002</v>
      </c>
      <c r="AI214" s="36"/>
      <c r="AJ214" s="36">
        <f t="shared" si="56"/>
        <v>274.10000000000002</v>
      </c>
      <c r="AK214" s="9"/>
      <c r="AL214" s="9"/>
      <c r="AM214" s="9"/>
      <c r="AN214" s="9"/>
      <c r="AO214" s="9"/>
      <c r="AP214" s="9"/>
      <c r="AQ214" s="9"/>
      <c r="AR214" s="10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10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10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10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10"/>
      <c r="GC214" s="9"/>
      <c r="GD214" s="9"/>
    </row>
    <row r="215" spans="1:186" s="2" customFormat="1" ht="16.95" customHeight="1">
      <c r="A215" s="47" t="s">
        <v>212</v>
      </c>
      <c r="B215" s="36">
        <v>43552</v>
      </c>
      <c r="C215" s="36">
        <v>39711.300000000003</v>
      </c>
      <c r="D215" s="4">
        <f t="shared" si="47"/>
        <v>0.911813464364438</v>
      </c>
      <c r="E215" s="11">
        <v>10</v>
      </c>
      <c r="F215" s="5" t="s">
        <v>370</v>
      </c>
      <c r="G215" s="5" t="s">
        <v>370</v>
      </c>
      <c r="H215" s="5" t="s">
        <v>370</v>
      </c>
      <c r="I215" s="5" t="s">
        <v>370</v>
      </c>
      <c r="J215" s="5" t="s">
        <v>370</v>
      </c>
      <c r="K215" s="5" t="s">
        <v>370</v>
      </c>
      <c r="L215" s="5" t="s">
        <v>370</v>
      </c>
      <c r="M215" s="5" t="s">
        <v>370</v>
      </c>
      <c r="N215" s="36">
        <v>2089.5</v>
      </c>
      <c r="O215" s="36">
        <v>2103.9</v>
      </c>
      <c r="P215" s="4">
        <f t="shared" si="48"/>
        <v>1.0068916008614501</v>
      </c>
      <c r="Q215" s="11">
        <v>20</v>
      </c>
      <c r="R215" s="36">
        <v>0.1</v>
      </c>
      <c r="S215" s="36">
        <v>0.1</v>
      </c>
      <c r="T215" s="4">
        <f t="shared" si="49"/>
        <v>1</v>
      </c>
      <c r="U215" s="11">
        <v>5</v>
      </c>
      <c r="V215" s="36">
        <v>0.3</v>
      </c>
      <c r="W215" s="36">
        <v>0.3</v>
      </c>
      <c r="X215" s="4">
        <f t="shared" si="50"/>
        <v>1</v>
      </c>
      <c r="Y215" s="11">
        <v>45</v>
      </c>
      <c r="Z215" s="45">
        <f t="shared" si="57"/>
        <v>0.99069958326091734</v>
      </c>
      <c r="AA215" s="46">
        <v>516</v>
      </c>
      <c r="AB215" s="36">
        <f t="shared" si="51"/>
        <v>46.909090909090907</v>
      </c>
      <c r="AC215" s="36">
        <f t="shared" si="52"/>
        <v>46.5</v>
      </c>
      <c r="AD215" s="36">
        <f t="shared" si="53"/>
        <v>-0.40909090909090651</v>
      </c>
      <c r="AE215" s="36">
        <v>-3.3</v>
      </c>
      <c r="AF215" s="36">
        <f t="shared" si="54"/>
        <v>43.2</v>
      </c>
      <c r="AG215" s="36">
        <f>MIN(AF215,23.5)</f>
        <v>23.5</v>
      </c>
      <c r="AH215" s="36">
        <f t="shared" si="55"/>
        <v>19.7</v>
      </c>
      <c r="AI215" s="36"/>
      <c r="AJ215" s="36">
        <f t="shared" si="56"/>
        <v>19.7</v>
      </c>
      <c r="AK215" s="9"/>
      <c r="AL215" s="9"/>
      <c r="AM215" s="9"/>
      <c r="AN215" s="9"/>
      <c r="AO215" s="9"/>
      <c r="AP215" s="9"/>
      <c r="AQ215" s="9"/>
      <c r="AR215" s="10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0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10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10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10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10"/>
      <c r="GC215" s="9"/>
      <c r="GD215" s="9"/>
    </row>
    <row r="216" spans="1:186" s="2" customFormat="1" ht="16.95" customHeight="1">
      <c r="A216" s="47" t="s">
        <v>213</v>
      </c>
      <c r="B216" s="36">
        <v>1300</v>
      </c>
      <c r="C216" s="36">
        <v>3103</v>
      </c>
      <c r="D216" s="4">
        <f t="shared" si="47"/>
        <v>1.3</v>
      </c>
      <c r="E216" s="11">
        <v>10</v>
      </c>
      <c r="F216" s="5" t="s">
        <v>370</v>
      </c>
      <c r="G216" s="5" t="s">
        <v>370</v>
      </c>
      <c r="H216" s="5" t="s">
        <v>370</v>
      </c>
      <c r="I216" s="5" t="s">
        <v>370</v>
      </c>
      <c r="J216" s="5" t="s">
        <v>370</v>
      </c>
      <c r="K216" s="5" t="s">
        <v>370</v>
      </c>
      <c r="L216" s="5" t="s">
        <v>370</v>
      </c>
      <c r="M216" s="5" t="s">
        <v>370</v>
      </c>
      <c r="N216" s="36">
        <v>233.9</v>
      </c>
      <c r="O216" s="36">
        <v>95.5</v>
      </c>
      <c r="P216" s="4">
        <f t="shared" si="48"/>
        <v>0.40829414279606668</v>
      </c>
      <c r="Q216" s="11">
        <v>20</v>
      </c>
      <c r="R216" s="36">
        <v>8</v>
      </c>
      <c r="S216" s="36">
        <v>8.6999999999999993</v>
      </c>
      <c r="T216" s="4">
        <f t="shared" si="49"/>
        <v>1.0874999999999999</v>
      </c>
      <c r="U216" s="11">
        <v>30</v>
      </c>
      <c r="V216" s="36">
        <v>0.5</v>
      </c>
      <c r="W216" s="36">
        <v>0.6</v>
      </c>
      <c r="X216" s="4">
        <f t="shared" si="50"/>
        <v>1.2</v>
      </c>
      <c r="Y216" s="11">
        <v>20</v>
      </c>
      <c r="Z216" s="45">
        <f t="shared" si="57"/>
        <v>0.9723860356990166</v>
      </c>
      <c r="AA216" s="46">
        <v>2290</v>
      </c>
      <c r="AB216" s="36">
        <f t="shared" si="51"/>
        <v>208.18181818181819</v>
      </c>
      <c r="AC216" s="36">
        <f t="shared" si="52"/>
        <v>202.4</v>
      </c>
      <c r="AD216" s="36">
        <f t="shared" si="53"/>
        <v>-5.7818181818181813</v>
      </c>
      <c r="AE216" s="36">
        <v>75.900000000000006</v>
      </c>
      <c r="AF216" s="36">
        <f t="shared" si="54"/>
        <v>278.3</v>
      </c>
      <c r="AG216" s="36">
        <f>MIN(AF216,104.1)</f>
        <v>104.1</v>
      </c>
      <c r="AH216" s="36">
        <f t="shared" si="55"/>
        <v>174.2</v>
      </c>
      <c r="AI216" s="36"/>
      <c r="AJ216" s="36">
        <f t="shared" si="56"/>
        <v>174.2</v>
      </c>
      <c r="AK216" s="9"/>
      <c r="AL216" s="9"/>
      <c r="AM216" s="9"/>
      <c r="AN216" s="9"/>
      <c r="AO216" s="9"/>
      <c r="AP216" s="9"/>
      <c r="AQ216" s="9"/>
      <c r="AR216" s="10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0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10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10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10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10"/>
      <c r="GC216" s="9"/>
      <c r="GD216" s="9"/>
    </row>
    <row r="217" spans="1:186" s="2" customFormat="1" ht="16.95" customHeight="1">
      <c r="A217" s="47" t="s">
        <v>214</v>
      </c>
      <c r="B217" s="36">
        <v>64434</v>
      </c>
      <c r="C217" s="36">
        <v>62612.1</v>
      </c>
      <c r="D217" s="4">
        <f t="shared" si="47"/>
        <v>0.97172455535897195</v>
      </c>
      <c r="E217" s="11">
        <v>10</v>
      </c>
      <c r="F217" s="5" t="s">
        <v>370</v>
      </c>
      <c r="G217" s="5" t="s">
        <v>370</v>
      </c>
      <c r="H217" s="5" t="s">
        <v>370</v>
      </c>
      <c r="I217" s="5" t="s">
        <v>370</v>
      </c>
      <c r="J217" s="5" t="s">
        <v>370</v>
      </c>
      <c r="K217" s="5" t="s">
        <v>370</v>
      </c>
      <c r="L217" s="5" t="s">
        <v>370</v>
      </c>
      <c r="M217" s="5" t="s">
        <v>370</v>
      </c>
      <c r="N217" s="36">
        <v>9127.1</v>
      </c>
      <c r="O217" s="36">
        <v>3143.1</v>
      </c>
      <c r="P217" s="4">
        <f t="shared" si="48"/>
        <v>0.34437006278007248</v>
      </c>
      <c r="Q217" s="11">
        <v>20</v>
      </c>
      <c r="R217" s="36">
        <v>115</v>
      </c>
      <c r="S217" s="36">
        <v>125.6</v>
      </c>
      <c r="T217" s="4">
        <f t="shared" si="49"/>
        <v>1.0921739130434782</v>
      </c>
      <c r="U217" s="11">
        <v>40</v>
      </c>
      <c r="V217" s="36">
        <v>11</v>
      </c>
      <c r="W217" s="36">
        <v>11.8</v>
      </c>
      <c r="X217" s="4">
        <f t="shared" si="50"/>
        <v>1.0727272727272728</v>
      </c>
      <c r="Y217" s="11">
        <v>10</v>
      </c>
      <c r="Z217" s="45">
        <f t="shared" si="57"/>
        <v>0.88773595072753797</v>
      </c>
      <c r="AA217" s="46">
        <v>1919</v>
      </c>
      <c r="AB217" s="36">
        <f t="shared" si="51"/>
        <v>174.45454545454547</v>
      </c>
      <c r="AC217" s="36">
        <f t="shared" si="52"/>
        <v>154.9</v>
      </c>
      <c r="AD217" s="36">
        <f t="shared" si="53"/>
        <v>-19.554545454545462</v>
      </c>
      <c r="AE217" s="36">
        <v>7.7</v>
      </c>
      <c r="AF217" s="36">
        <f t="shared" si="54"/>
        <v>162.6</v>
      </c>
      <c r="AG217" s="36"/>
      <c r="AH217" s="36">
        <f t="shared" si="55"/>
        <v>162.6</v>
      </c>
      <c r="AI217" s="36"/>
      <c r="AJ217" s="36">
        <f t="shared" si="56"/>
        <v>162.6</v>
      </c>
      <c r="AK217" s="9"/>
      <c r="AL217" s="9"/>
      <c r="AM217" s="9"/>
      <c r="AN217" s="9"/>
      <c r="AO217" s="9"/>
      <c r="AP217" s="9"/>
      <c r="AQ217" s="9"/>
      <c r="AR217" s="10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10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10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10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10"/>
      <c r="GC217" s="9"/>
      <c r="GD217" s="9"/>
    </row>
    <row r="218" spans="1:186" s="2" customFormat="1" ht="16.95" customHeight="1">
      <c r="A218" s="47" t="s">
        <v>215</v>
      </c>
      <c r="B218" s="36">
        <v>9500</v>
      </c>
      <c r="C218" s="36">
        <v>13846</v>
      </c>
      <c r="D218" s="4">
        <f t="shared" si="47"/>
        <v>1.2257473684210525</v>
      </c>
      <c r="E218" s="11">
        <v>10</v>
      </c>
      <c r="F218" s="5" t="s">
        <v>370</v>
      </c>
      <c r="G218" s="5" t="s">
        <v>370</v>
      </c>
      <c r="H218" s="5" t="s">
        <v>370</v>
      </c>
      <c r="I218" s="5" t="s">
        <v>370</v>
      </c>
      <c r="J218" s="5" t="s">
        <v>370</v>
      </c>
      <c r="K218" s="5" t="s">
        <v>370</v>
      </c>
      <c r="L218" s="5" t="s">
        <v>370</v>
      </c>
      <c r="M218" s="5" t="s">
        <v>370</v>
      </c>
      <c r="N218" s="36">
        <v>715.4</v>
      </c>
      <c r="O218" s="36">
        <v>1111.0999999999999</v>
      </c>
      <c r="P218" s="4">
        <f t="shared" si="48"/>
        <v>1.2353117137265865</v>
      </c>
      <c r="Q218" s="11">
        <v>20</v>
      </c>
      <c r="R218" s="36">
        <v>0.1</v>
      </c>
      <c r="S218" s="36">
        <v>0.1</v>
      </c>
      <c r="T218" s="4">
        <f t="shared" si="49"/>
        <v>1</v>
      </c>
      <c r="U218" s="11">
        <v>15</v>
      </c>
      <c r="V218" s="36">
        <v>0.5</v>
      </c>
      <c r="W218" s="36">
        <v>0.4</v>
      </c>
      <c r="X218" s="4">
        <f t="shared" si="50"/>
        <v>0.8</v>
      </c>
      <c r="Y218" s="11">
        <v>35</v>
      </c>
      <c r="Z218" s="45">
        <f t="shared" si="57"/>
        <v>0.99954634948427812</v>
      </c>
      <c r="AA218" s="46">
        <v>3421</v>
      </c>
      <c r="AB218" s="36">
        <f t="shared" si="51"/>
        <v>311</v>
      </c>
      <c r="AC218" s="36">
        <f t="shared" si="52"/>
        <v>310.89999999999998</v>
      </c>
      <c r="AD218" s="36">
        <f t="shared" si="53"/>
        <v>-0.10000000000002274</v>
      </c>
      <c r="AE218" s="36">
        <v>3.2</v>
      </c>
      <c r="AF218" s="36">
        <f t="shared" si="54"/>
        <v>314.10000000000002</v>
      </c>
      <c r="AG218" s="36"/>
      <c r="AH218" s="36">
        <f t="shared" si="55"/>
        <v>314.10000000000002</v>
      </c>
      <c r="AI218" s="36"/>
      <c r="AJ218" s="36">
        <f t="shared" si="56"/>
        <v>314.10000000000002</v>
      </c>
      <c r="AK218" s="9"/>
      <c r="AL218" s="9"/>
      <c r="AM218" s="9"/>
      <c r="AN218" s="9"/>
      <c r="AO218" s="9"/>
      <c r="AP218" s="9"/>
      <c r="AQ218" s="9"/>
      <c r="AR218" s="10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0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10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10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10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10"/>
      <c r="GC218" s="9"/>
      <c r="GD218" s="9"/>
    </row>
    <row r="219" spans="1:186" s="2" customFormat="1" ht="16.95" customHeight="1">
      <c r="A219" s="47" t="s">
        <v>216</v>
      </c>
      <c r="B219" s="36">
        <v>318456</v>
      </c>
      <c r="C219" s="36">
        <v>161649.60000000001</v>
      </c>
      <c r="D219" s="4">
        <f t="shared" si="47"/>
        <v>0.5076041902178009</v>
      </c>
      <c r="E219" s="11">
        <v>10</v>
      </c>
      <c r="F219" s="5" t="s">
        <v>370</v>
      </c>
      <c r="G219" s="5" t="s">
        <v>370</v>
      </c>
      <c r="H219" s="5" t="s">
        <v>370</v>
      </c>
      <c r="I219" s="5" t="s">
        <v>370</v>
      </c>
      <c r="J219" s="5" t="s">
        <v>370</v>
      </c>
      <c r="K219" s="5" t="s">
        <v>370</v>
      </c>
      <c r="L219" s="5" t="s">
        <v>370</v>
      </c>
      <c r="M219" s="5" t="s">
        <v>370</v>
      </c>
      <c r="N219" s="36">
        <v>4185.8999999999996</v>
      </c>
      <c r="O219" s="36">
        <v>2558.6</v>
      </c>
      <c r="P219" s="4">
        <f t="shared" si="48"/>
        <v>0.61124250459877205</v>
      </c>
      <c r="Q219" s="11">
        <v>20</v>
      </c>
      <c r="R219" s="36">
        <v>3</v>
      </c>
      <c r="S219" s="36">
        <v>2.9</v>
      </c>
      <c r="T219" s="4">
        <f t="shared" si="49"/>
        <v>0.96666666666666667</v>
      </c>
      <c r="U219" s="11">
        <v>30</v>
      </c>
      <c r="V219" s="36">
        <v>4</v>
      </c>
      <c r="W219" s="36">
        <v>4</v>
      </c>
      <c r="X219" s="4">
        <f t="shared" si="50"/>
        <v>1</v>
      </c>
      <c r="Y219" s="11">
        <v>20</v>
      </c>
      <c r="Z219" s="45">
        <f t="shared" si="57"/>
        <v>0.82876114992691807</v>
      </c>
      <c r="AA219" s="46">
        <v>2600</v>
      </c>
      <c r="AB219" s="36">
        <f t="shared" si="51"/>
        <v>236.36363636363637</v>
      </c>
      <c r="AC219" s="36">
        <f t="shared" si="52"/>
        <v>195.9</v>
      </c>
      <c r="AD219" s="36">
        <f t="shared" si="53"/>
        <v>-40.463636363636368</v>
      </c>
      <c r="AE219" s="36">
        <v>5.7</v>
      </c>
      <c r="AF219" s="36">
        <f t="shared" si="54"/>
        <v>201.6</v>
      </c>
      <c r="AG219" s="36"/>
      <c r="AH219" s="36">
        <f t="shared" si="55"/>
        <v>201.6</v>
      </c>
      <c r="AI219" s="36"/>
      <c r="AJ219" s="36">
        <f t="shared" si="56"/>
        <v>201.6</v>
      </c>
      <c r="AK219" s="9"/>
      <c r="AL219" s="9"/>
      <c r="AM219" s="9"/>
      <c r="AN219" s="9"/>
      <c r="AO219" s="9"/>
      <c r="AP219" s="9"/>
      <c r="AQ219" s="9"/>
      <c r="AR219" s="10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0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10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10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10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10"/>
      <c r="GC219" s="9"/>
      <c r="GD219" s="9"/>
    </row>
    <row r="220" spans="1:186" s="2" customFormat="1" ht="16.95" customHeight="1">
      <c r="A220" s="47" t="s">
        <v>217</v>
      </c>
      <c r="B220" s="36">
        <v>10200</v>
      </c>
      <c r="C220" s="36">
        <v>10932</v>
      </c>
      <c r="D220" s="4">
        <f t="shared" si="47"/>
        <v>1.071764705882353</v>
      </c>
      <c r="E220" s="11">
        <v>10</v>
      </c>
      <c r="F220" s="5" t="s">
        <v>370</v>
      </c>
      <c r="G220" s="5" t="s">
        <v>370</v>
      </c>
      <c r="H220" s="5" t="s">
        <v>370</v>
      </c>
      <c r="I220" s="5" t="s">
        <v>370</v>
      </c>
      <c r="J220" s="5" t="s">
        <v>370</v>
      </c>
      <c r="K220" s="5" t="s">
        <v>370</v>
      </c>
      <c r="L220" s="5" t="s">
        <v>370</v>
      </c>
      <c r="M220" s="5" t="s">
        <v>370</v>
      </c>
      <c r="N220" s="36">
        <v>428</v>
      </c>
      <c r="O220" s="36">
        <v>376.3</v>
      </c>
      <c r="P220" s="4">
        <f t="shared" si="48"/>
        <v>0.87920560747663556</v>
      </c>
      <c r="Q220" s="11">
        <v>20</v>
      </c>
      <c r="R220" s="36">
        <v>7</v>
      </c>
      <c r="S220" s="36">
        <v>11.2</v>
      </c>
      <c r="T220" s="4">
        <f t="shared" si="49"/>
        <v>1.24</v>
      </c>
      <c r="U220" s="11">
        <v>30</v>
      </c>
      <c r="V220" s="36">
        <v>0.8</v>
      </c>
      <c r="W220" s="36">
        <v>1</v>
      </c>
      <c r="X220" s="4">
        <f t="shared" si="50"/>
        <v>1.2050000000000001</v>
      </c>
      <c r="Y220" s="11">
        <v>20</v>
      </c>
      <c r="Z220" s="45">
        <f t="shared" si="57"/>
        <v>1.120021990104453</v>
      </c>
      <c r="AA220" s="46">
        <v>4436</v>
      </c>
      <c r="AB220" s="36">
        <f t="shared" si="51"/>
        <v>403.27272727272725</v>
      </c>
      <c r="AC220" s="36">
        <f t="shared" si="52"/>
        <v>451.7</v>
      </c>
      <c r="AD220" s="36">
        <f t="shared" si="53"/>
        <v>48.427272727272737</v>
      </c>
      <c r="AE220" s="36">
        <v>-6.4</v>
      </c>
      <c r="AF220" s="36">
        <f t="shared" si="54"/>
        <v>445.3</v>
      </c>
      <c r="AG220" s="36"/>
      <c r="AH220" s="36">
        <f t="shared" si="55"/>
        <v>445.3</v>
      </c>
      <c r="AI220" s="36"/>
      <c r="AJ220" s="36">
        <f t="shared" si="56"/>
        <v>445.3</v>
      </c>
      <c r="AK220" s="9"/>
      <c r="AL220" s="9"/>
      <c r="AM220" s="9"/>
      <c r="AN220" s="9"/>
      <c r="AO220" s="9"/>
      <c r="AP220" s="9"/>
      <c r="AQ220" s="9"/>
      <c r="AR220" s="10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0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10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10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10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10"/>
      <c r="GC220" s="9"/>
      <c r="GD220" s="9"/>
    </row>
    <row r="221" spans="1:186" s="2" customFormat="1" ht="16.95" customHeight="1">
      <c r="A221" s="47" t="s">
        <v>218</v>
      </c>
      <c r="B221" s="36">
        <v>86674</v>
      </c>
      <c r="C221" s="36">
        <v>104372.5</v>
      </c>
      <c r="D221" s="4">
        <f t="shared" si="47"/>
        <v>1.2004196183399867</v>
      </c>
      <c r="E221" s="11">
        <v>10</v>
      </c>
      <c r="F221" s="5" t="s">
        <v>370</v>
      </c>
      <c r="G221" s="5" t="s">
        <v>370</v>
      </c>
      <c r="H221" s="5" t="s">
        <v>370</v>
      </c>
      <c r="I221" s="5" t="s">
        <v>370</v>
      </c>
      <c r="J221" s="5" t="s">
        <v>370</v>
      </c>
      <c r="K221" s="5" t="s">
        <v>370</v>
      </c>
      <c r="L221" s="5" t="s">
        <v>370</v>
      </c>
      <c r="M221" s="5" t="s">
        <v>370</v>
      </c>
      <c r="N221" s="36">
        <v>4262.5</v>
      </c>
      <c r="O221" s="36">
        <v>1643.7</v>
      </c>
      <c r="P221" s="4">
        <f t="shared" si="48"/>
        <v>0.38561876832844577</v>
      </c>
      <c r="Q221" s="11">
        <v>20</v>
      </c>
      <c r="R221" s="36">
        <v>175</v>
      </c>
      <c r="S221" s="36">
        <v>171.3</v>
      </c>
      <c r="T221" s="4">
        <f t="shared" si="49"/>
        <v>0.97885714285714287</v>
      </c>
      <c r="U221" s="11">
        <v>10</v>
      </c>
      <c r="V221" s="36">
        <v>300</v>
      </c>
      <c r="W221" s="36">
        <v>479.5</v>
      </c>
      <c r="X221" s="4">
        <f t="shared" si="50"/>
        <v>1.2398333333333333</v>
      </c>
      <c r="Y221" s="11">
        <v>40</v>
      </c>
      <c r="Z221" s="45">
        <f t="shared" si="57"/>
        <v>0.98873095389841947</v>
      </c>
      <c r="AA221" s="46">
        <v>2001</v>
      </c>
      <c r="AB221" s="36">
        <f t="shared" si="51"/>
        <v>181.90909090909091</v>
      </c>
      <c r="AC221" s="36">
        <f t="shared" si="52"/>
        <v>179.9</v>
      </c>
      <c r="AD221" s="36">
        <f t="shared" si="53"/>
        <v>-2.0090909090909008</v>
      </c>
      <c r="AE221" s="36">
        <v>-20.6</v>
      </c>
      <c r="AF221" s="36">
        <f t="shared" si="54"/>
        <v>159.30000000000001</v>
      </c>
      <c r="AG221" s="36"/>
      <c r="AH221" s="36">
        <f t="shared" si="55"/>
        <v>159.30000000000001</v>
      </c>
      <c r="AI221" s="36"/>
      <c r="AJ221" s="36">
        <f t="shared" si="56"/>
        <v>159.30000000000001</v>
      </c>
      <c r="AK221" s="9"/>
      <c r="AL221" s="9"/>
      <c r="AM221" s="9"/>
      <c r="AN221" s="9"/>
      <c r="AO221" s="9"/>
      <c r="AP221" s="9"/>
      <c r="AQ221" s="9"/>
      <c r="AR221" s="10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10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10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10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10"/>
      <c r="GC221" s="9"/>
      <c r="GD221" s="9"/>
    </row>
    <row r="222" spans="1:186" s="2" customFormat="1" ht="16.95" customHeight="1">
      <c r="A222" s="47" t="s">
        <v>219</v>
      </c>
      <c r="B222" s="36">
        <v>0</v>
      </c>
      <c r="C222" s="36">
        <v>0</v>
      </c>
      <c r="D222" s="4">
        <f t="shared" si="47"/>
        <v>0</v>
      </c>
      <c r="E222" s="11">
        <v>0</v>
      </c>
      <c r="F222" s="5" t="s">
        <v>370</v>
      </c>
      <c r="G222" s="5" t="s">
        <v>370</v>
      </c>
      <c r="H222" s="5" t="s">
        <v>370</v>
      </c>
      <c r="I222" s="5" t="s">
        <v>370</v>
      </c>
      <c r="J222" s="5" t="s">
        <v>370</v>
      </c>
      <c r="K222" s="5" t="s">
        <v>370</v>
      </c>
      <c r="L222" s="5" t="s">
        <v>370</v>
      </c>
      <c r="M222" s="5" t="s">
        <v>370</v>
      </c>
      <c r="N222" s="36">
        <v>184.4</v>
      </c>
      <c r="O222" s="36">
        <v>19.8</v>
      </c>
      <c r="P222" s="4">
        <f t="shared" si="48"/>
        <v>0.10737527114967461</v>
      </c>
      <c r="Q222" s="11">
        <v>20</v>
      </c>
      <c r="R222" s="36">
        <v>5</v>
      </c>
      <c r="S222" s="36">
        <v>5.5</v>
      </c>
      <c r="T222" s="4">
        <f t="shared" si="49"/>
        <v>1.1000000000000001</v>
      </c>
      <c r="U222" s="11">
        <v>25</v>
      </c>
      <c r="V222" s="36">
        <v>0.4</v>
      </c>
      <c r="W222" s="36">
        <v>0.5</v>
      </c>
      <c r="X222" s="4">
        <f t="shared" si="50"/>
        <v>1.2050000000000001</v>
      </c>
      <c r="Y222" s="11">
        <v>25</v>
      </c>
      <c r="Z222" s="45">
        <f t="shared" si="57"/>
        <v>0.8538929346141928</v>
      </c>
      <c r="AA222" s="46">
        <v>384</v>
      </c>
      <c r="AB222" s="36">
        <f t="shared" si="51"/>
        <v>34.909090909090907</v>
      </c>
      <c r="AC222" s="36">
        <f t="shared" si="52"/>
        <v>29.8</v>
      </c>
      <c r="AD222" s="36">
        <f t="shared" si="53"/>
        <v>-5.1090909090909058</v>
      </c>
      <c r="AE222" s="36">
        <v>4</v>
      </c>
      <c r="AF222" s="36">
        <f t="shared" si="54"/>
        <v>33.799999999999997</v>
      </c>
      <c r="AG222" s="36"/>
      <c r="AH222" s="36">
        <f t="shared" si="55"/>
        <v>33.799999999999997</v>
      </c>
      <c r="AI222" s="36"/>
      <c r="AJ222" s="36">
        <f t="shared" si="56"/>
        <v>33.799999999999997</v>
      </c>
      <c r="AK222" s="9"/>
      <c r="AL222" s="9"/>
      <c r="AM222" s="9"/>
      <c r="AN222" s="9"/>
      <c r="AO222" s="9"/>
      <c r="AP222" s="9"/>
      <c r="AQ222" s="9"/>
      <c r="AR222" s="10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0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10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10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10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10"/>
      <c r="GC222" s="9"/>
      <c r="GD222" s="9"/>
    </row>
    <row r="223" spans="1:186" s="2" customFormat="1" ht="16.95" customHeight="1">
      <c r="A223" s="47" t="s">
        <v>220</v>
      </c>
      <c r="B223" s="36">
        <v>1791</v>
      </c>
      <c r="C223" s="36">
        <v>1195.7</v>
      </c>
      <c r="D223" s="4">
        <f t="shared" si="47"/>
        <v>0.66761585706309323</v>
      </c>
      <c r="E223" s="11">
        <v>10</v>
      </c>
      <c r="F223" s="5" t="s">
        <v>370</v>
      </c>
      <c r="G223" s="5" t="s">
        <v>370</v>
      </c>
      <c r="H223" s="5" t="s">
        <v>370</v>
      </c>
      <c r="I223" s="5" t="s">
        <v>370</v>
      </c>
      <c r="J223" s="5" t="s">
        <v>370</v>
      </c>
      <c r="K223" s="5" t="s">
        <v>370</v>
      </c>
      <c r="L223" s="5" t="s">
        <v>370</v>
      </c>
      <c r="M223" s="5" t="s">
        <v>370</v>
      </c>
      <c r="N223" s="36">
        <v>238.3</v>
      </c>
      <c r="O223" s="36">
        <v>96.9</v>
      </c>
      <c r="P223" s="4">
        <f t="shared" si="48"/>
        <v>0.40663029794376837</v>
      </c>
      <c r="Q223" s="11">
        <v>20</v>
      </c>
      <c r="R223" s="36">
        <v>40</v>
      </c>
      <c r="S223" s="36">
        <v>40.5</v>
      </c>
      <c r="T223" s="4">
        <f t="shared" si="49"/>
        <v>1.0125</v>
      </c>
      <c r="U223" s="11">
        <v>15</v>
      </c>
      <c r="V223" s="36">
        <v>130</v>
      </c>
      <c r="W223" s="36">
        <v>161.5</v>
      </c>
      <c r="X223" s="4">
        <f t="shared" si="50"/>
        <v>1.2042307692307692</v>
      </c>
      <c r="Y223" s="11">
        <v>35</v>
      </c>
      <c r="Z223" s="45">
        <f t="shared" si="57"/>
        <v>0.9018042681572902</v>
      </c>
      <c r="AA223" s="46">
        <v>3266</v>
      </c>
      <c r="AB223" s="36">
        <f t="shared" si="51"/>
        <v>296.90909090909093</v>
      </c>
      <c r="AC223" s="36">
        <f t="shared" si="52"/>
        <v>267.8</v>
      </c>
      <c r="AD223" s="36">
        <f t="shared" si="53"/>
        <v>-29.109090909090924</v>
      </c>
      <c r="AE223" s="36">
        <v>11.4</v>
      </c>
      <c r="AF223" s="36">
        <f t="shared" si="54"/>
        <v>279.2</v>
      </c>
      <c r="AG223" s="36"/>
      <c r="AH223" s="36">
        <f t="shared" si="55"/>
        <v>279.2</v>
      </c>
      <c r="AI223" s="36"/>
      <c r="AJ223" s="36">
        <f t="shared" si="56"/>
        <v>279.2</v>
      </c>
      <c r="AK223" s="9"/>
      <c r="AL223" s="9"/>
      <c r="AM223" s="9"/>
      <c r="AN223" s="9"/>
      <c r="AO223" s="9"/>
      <c r="AP223" s="9"/>
      <c r="AQ223" s="9"/>
      <c r="AR223" s="10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0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10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10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10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10"/>
      <c r="GC223" s="9"/>
      <c r="GD223" s="9"/>
    </row>
    <row r="224" spans="1:186" s="2" customFormat="1" ht="16.95" customHeight="1">
      <c r="A224" s="47" t="s">
        <v>221</v>
      </c>
      <c r="B224" s="36">
        <v>0</v>
      </c>
      <c r="C224" s="36">
        <v>651.70000000000005</v>
      </c>
      <c r="D224" s="4">
        <f t="shared" si="47"/>
        <v>1</v>
      </c>
      <c r="E224" s="11">
        <v>10</v>
      </c>
      <c r="F224" s="5" t="s">
        <v>370</v>
      </c>
      <c r="G224" s="5" t="s">
        <v>370</v>
      </c>
      <c r="H224" s="5" t="s">
        <v>370</v>
      </c>
      <c r="I224" s="5" t="s">
        <v>370</v>
      </c>
      <c r="J224" s="5" t="s">
        <v>370</v>
      </c>
      <c r="K224" s="5" t="s">
        <v>370</v>
      </c>
      <c r="L224" s="5" t="s">
        <v>370</v>
      </c>
      <c r="M224" s="5" t="s">
        <v>370</v>
      </c>
      <c r="N224" s="36">
        <v>1810</v>
      </c>
      <c r="O224" s="36">
        <v>1400.5</v>
      </c>
      <c r="P224" s="4">
        <f t="shared" si="48"/>
        <v>0.77375690607734804</v>
      </c>
      <c r="Q224" s="11">
        <v>20</v>
      </c>
      <c r="R224" s="36">
        <v>55</v>
      </c>
      <c r="S224" s="36">
        <v>58.8</v>
      </c>
      <c r="T224" s="4">
        <f t="shared" si="49"/>
        <v>1.0690909090909091</v>
      </c>
      <c r="U224" s="11">
        <v>30</v>
      </c>
      <c r="V224" s="36">
        <v>5</v>
      </c>
      <c r="W224" s="36">
        <v>5.3</v>
      </c>
      <c r="X224" s="4">
        <f t="shared" si="50"/>
        <v>1.06</v>
      </c>
      <c r="Y224" s="11">
        <v>20</v>
      </c>
      <c r="Z224" s="45">
        <f t="shared" si="57"/>
        <v>0.98434831742842799</v>
      </c>
      <c r="AA224" s="46">
        <v>504</v>
      </c>
      <c r="AB224" s="36">
        <f t="shared" si="51"/>
        <v>45.81818181818182</v>
      </c>
      <c r="AC224" s="36">
        <f t="shared" si="52"/>
        <v>45.1</v>
      </c>
      <c r="AD224" s="36">
        <f t="shared" si="53"/>
        <v>-0.7181818181818187</v>
      </c>
      <c r="AE224" s="36">
        <v>-1.9</v>
      </c>
      <c r="AF224" s="36">
        <f t="shared" si="54"/>
        <v>43.2</v>
      </c>
      <c r="AG224" s="36"/>
      <c r="AH224" s="36">
        <f t="shared" si="55"/>
        <v>43.2</v>
      </c>
      <c r="AI224" s="36"/>
      <c r="AJ224" s="36">
        <f t="shared" si="56"/>
        <v>43.2</v>
      </c>
      <c r="AK224" s="9"/>
      <c r="AL224" s="9"/>
      <c r="AM224" s="9"/>
      <c r="AN224" s="9"/>
      <c r="AO224" s="9"/>
      <c r="AP224" s="9"/>
      <c r="AQ224" s="9"/>
      <c r="AR224" s="10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0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10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10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10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10"/>
      <c r="GC224" s="9"/>
      <c r="GD224" s="9"/>
    </row>
    <row r="225" spans="1:186" s="2" customFormat="1" ht="16.95" customHeight="1">
      <c r="A225" s="47" t="s">
        <v>222</v>
      </c>
      <c r="B225" s="36">
        <v>0</v>
      </c>
      <c r="C225" s="36">
        <v>0</v>
      </c>
      <c r="D225" s="4">
        <f t="shared" si="47"/>
        <v>0</v>
      </c>
      <c r="E225" s="11">
        <v>0</v>
      </c>
      <c r="F225" s="5" t="s">
        <v>370</v>
      </c>
      <c r="G225" s="5" t="s">
        <v>370</v>
      </c>
      <c r="H225" s="5" t="s">
        <v>370</v>
      </c>
      <c r="I225" s="5" t="s">
        <v>370</v>
      </c>
      <c r="J225" s="5" t="s">
        <v>370</v>
      </c>
      <c r="K225" s="5" t="s">
        <v>370</v>
      </c>
      <c r="L225" s="5" t="s">
        <v>370</v>
      </c>
      <c r="M225" s="5" t="s">
        <v>370</v>
      </c>
      <c r="N225" s="36">
        <v>40.200000000000003</v>
      </c>
      <c r="O225" s="36">
        <v>16.399999999999999</v>
      </c>
      <c r="P225" s="4">
        <f t="shared" si="48"/>
        <v>0.40796019900497504</v>
      </c>
      <c r="Q225" s="11">
        <v>20</v>
      </c>
      <c r="R225" s="36">
        <v>58</v>
      </c>
      <c r="S225" s="36">
        <v>75.900000000000006</v>
      </c>
      <c r="T225" s="4">
        <f t="shared" si="49"/>
        <v>1.2108620689655172</v>
      </c>
      <c r="U225" s="11">
        <v>40</v>
      </c>
      <c r="V225" s="36">
        <v>0.3</v>
      </c>
      <c r="W225" s="36">
        <v>0.4</v>
      </c>
      <c r="X225" s="4">
        <f t="shared" si="50"/>
        <v>1.2133333333333334</v>
      </c>
      <c r="Y225" s="11">
        <v>10</v>
      </c>
      <c r="Z225" s="45">
        <f t="shared" si="57"/>
        <v>0.9818145724579076</v>
      </c>
      <c r="AA225" s="46">
        <v>1486</v>
      </c>
      <c r="AB225" s="36">
        <f t="shared" si="51"/>
        <v>135.09090909090909</v>
      </c>
      <c r="AC225" s="36">
        <f t="shared" si="52"/>
        <v>132.6</v>
      </c>
      <c r="AD225" s="36">
        <f t="shared" si="53"/>
        <v>-2.4909090909090992</v>
      </c>
      <c r="AE225" s="36">
        <v>-1.5</v>
      </c>
      <c r="AF225" s="36">
        <f t="shared" si="54"/>
        <v>131.1</v>
      </c>
      <c r="AG225" s="36"/>
      <c r="AH225" s="36">
        <f t="shared" si="55"/>
        <v>131.1</v>
      </c>
      <c r="AI225" s="36"/>
      <c r="AJ225" s="36">
        <f t="shared" si="56"/>
        <v>131.1</v>
      </c>
      <c r="AK225" s="9"/>
      <c r="AL225" s="9"/>
      <c r="AM225" s="9"/>
      <c r="AN225" s="9"/>
      <c r="AO225" s="9"/>
      <c r="AP225" s="9"/>
      <c r="AQ225" s="9"/>
      <c r="AR225" s="10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10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10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10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10"/>
      <c r="GC225" s="9"/>
      <c r="GD225" s="9"/>
    </row>
    <row r="226" spans="1:186" s="2" customFormat="1" ht="16.95" customHeight="1">
      <c r="A226" s="18" t="s">
        <v>223</v>
      </c>
      <c r="B226" s="6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9"/>
      <c r="AL226" s="9"/>
      <c r="AM226" s="9"/>
      <c r="AN226" s="9"/>
      <c r="AO226" s="9"/>
      <c r="AP226" s="9"/>
      <c r="AQ226" s="9"/>
      <c r="AR226" s="10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0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10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10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10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10"/>
      <c r="GC226" s="9"/>
      <c r="GD226" s="9"/>
    </row>
    <row r="227" spans="1:186" s="2" customFormat="1" ht="16.95" customHeight="1">
      <c r="A227" s="14" t="s">
        <v>224</v>
      </c>
      <c r="B227" s="36">
        <v>0</v>
      </c>
      <c r="C227" s="36">
        <v>0</v>
      </c>
      <c r="D227" s="4">
        <f t="shared" si="47"/>
        <v>0</v>
      </c>
      <c r="E227" s="11">
        <v>0</v>
      </c>
      <c r="F227" s="5" t="s">
        <v>370</v>
      </c>
      <c r="G227" s="5" t="s">
        <v>370</v>
      </c>
      <c r="H227" s="5" t="s">
        <v>370</v>
      </c>
      <c r="I227" s="5" t="s">
        <v>370</v>
      </c>
      <c r="J227" s="5" t="s">
        <v>370</v>
      </c>
      <c r="K227" s="5" t="s">
        <v>370</v>
      </c>
      <c r="L227" s="5" t="s">
        <v>370</v>
      </c>
      <c r="M227" s="5" t="s">
        <v>370</v>
      </c>
      <c r="N227" s="36">
        <v>88.9</v>
      </c>
      <c r="O227" s="36">
        <v>87</v>
      </c>
      <c r="P227" s="4">
        <f t="shared" si="48"/>
        <v>0.97862767154105734</v>
      </c>
      <c r="Q227" s="11">
        <v>20</v>
      </c>
      <c r="R227" s="36">
        <v>2</v>
      </c>
      <c r="S227" s="36">
        <v>0</v>
      </c>
      <c r="T227" s="4">
        <f t="shared" si="49"/>
        <v>0</v>
      </c>
      <c r="U227" s="11">
        <v>20</v>
      </c>
      <c r="V227" s="36">
        <v>2.5</v>
      </c>
      <c r="W227" s="36">
        <v>0</v>
      </c>
      <c r="X227" s="4">
        <f t="shared" si="50"/>
        <v>0</v>
      </c>
      <c r="Y227" s="11">
        <v>30</v>
      </c>
      <c r="Z227" s="45">
        <f t="shared" si="57"/>
        <v>0.2796079061545878</v>
      </c>
      <c r="AA227" s="46">
        <v>1415</v>
      </c>
      <c r="AB227" s="36">
        <f t="shared" si="51"/>
        <v>128.63636363636363</v>
      </c>
      <c r="AC227" s="36">
        <f t="shared" si="52"/>
        <v>36</v>
      </c>
      <c r="AD227" s="36">
        <f t="shared" si="53"/>
        <v>-92.636363636363626</v>
      </c>
      <c r="AE227" s="36">
        <v>2.8</v>
      </c>
      <c r="AF227" s="36">
        <f t="shared" si="54"/>
        <v>38.799999999999997</v>
      </c>
      <c r="AG227" s="36"/>
      <c r="AH227" s="36">
        <f t="shared" si="55"/>
        <v>38.799999999999997</v>
      </c>
      <c r="AI227" s="36"/>
      <c r="AJ227" s="36">
        <f t="shared" si="56"/>
        <v>38.799999999999997</v>
      </c>
      <c r="AK227" s="9"/>
      <c r="AL227" s="9"/>
      <c r="AM227" s="9"/>
      <c r="AN227" s="9"/>
      <c r="AO227" s="9"/>
      <c r="AP227" s="9"/>
      <c r="AQ227" s="9"/>
      <c r="AR227" s="10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0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10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10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10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10"/>
      <c r="GC227" s="9"/>
      <c r="GD227" s="9"/>
    </row>
    <row r="228" spans="1:186" s="2" customFormat="1" ht="16.95" customHeight="1">
      <c r="A228" s="14" t="s">
        <v>148</v>
      </c>
      <c r="B228" s="36">
        <v>0</v>
      </c>
      <c r="C228" s="36">
        <v>0</v>
      </c>
      <c r="D228" s="4">
        <f t="shared" si="47"/>
        <v>0</v>
      </c>
      <c r="E228" s="11">
        <v>0</v>
      </c>
      <c r="F228" s="5" t="s">
        <v>370</v>
      </c>
      <c r="G228" s="5" t="s">
        <v>370</v>
      </c>
      <c r="H228" s="5" t="s">
        <v>370</v>
      </c>
      <c r="I228" s="5" t="s">
        <v>370</v>
      </c>
      <c r="J228" s="5" t="s">
        <v>370</v>
      </c>
      <c r="K228" s="5" t="s">
        <v>370</v>
      </c>
      <c r="L228" s="5" t="s">
        <v>370</v>
      </c>
      <c r="M228" s="5" t="s">
        <v>370</v>
      </c>
      <c r="N228" s="36">
        <v>147.5</v>
      </c>
      <c r="O228" s="36">
        <v>223.6</v>
      </c>
      <c r="P228" s="4">
        <f t="shared" si="48"/>
        <v>1.231593220338983</v>
      </c>
      <c r="Q228" s="11">
        <v>20</v>
      </c>
      <c r="R228" s="36">
        <v>28</v>
      </c>
      <c r="S228" s="36">
        <v>28</v>
      </c>
      <c r="T228" s="4">
        <f t="shared" si="49"/>
        <v>1</v>
      </c>
      <c r="U228" s="11">
        <v>30</v>
      </c>
      <c r="V228" s="36">
        <v>3</v>
      </c>
      <c r="W228" s="36">
        <v>3</v>
      </c>
      <c r="X228" s="4">
        <f t="shared" si="50"/>
        <v>1</v>
      </c>
      <c r="Y228" s="11">
        <v>20</v>
      </c>
      <c r="Z228" s="45">
        <f t="shared" si="57"/>
        <v>1.0661694915254236</v>
      </c>
      <c r="AA228" s="46">
        <v>331</v>
      </c>
      <c r="AB228" s="36">
        <f t="shared" si="51"/>
        <v>30.09090909090909</v>
      </c>
      <c r="AC228" s="36">
        <f t="shared" si="52"/>
        <v>32.1</v>
      </c>
      <c r="AD228" s="36">
        <f t="shared" si="53"/>
        <v>2.0090909090909115</v>
      </c>
      <c r="AE228" s="36">
        <v>-0.9</v>
      </c>
      <c r="AF228" s="36">
        <f t="shared" si="54"/>
        <v>31.2</v>
      </c>
      <c r="AG228" s="36"/>
      <c r="AH228" s="36">
        <f t="shared" si="55"/>
        <v>31.2</v>
      </c>
      <c r="AI228" s="36"/>
      <c r="AJ228" s="36">
        <f t="shared" si="56"/>
        <v>31.2</v>
      </c>
      <c r="AK228" s="9"/>
      <c r="AL228" s="9"/>
      <c r="AM228" s="9"/>
      <c r="AN228" s="9"/>
      <c r="AO228" s="9"/>
      <c r="AP228" s="9"/>
      <c r="AQ228" s="9"/>
      <c r="AR228" s="10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0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10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10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10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10"/>
      <c r="GC228" s="9"/>
      <c r="GD228" s="9"/>
    </row>
    <row r="229" spans="1:186" s="2" customFormat="1" ht="16.95" customHeight="1">
      <c r="A229" s="14" t="s">
        <v>225</v>
      </c>
      <c r="B229" s="36">
        <v>0</v>
      </c>
      <c r="C229" s="36">
        <v>0</v>
      </c>
      <c r="D229" s="4">
        <f t="shared" si="47"/>
        <v>0</v>
      </c>
      <c r="E229" s="11">
        <v>0</v>
      </c>
      <c r="F229" s="5" t="s">
        <v>370</v>
      </c>
      <c r="G229" s="5" t="s">
        <v>370</v>
      </c>
      <c r="H229" s="5" t="s">
        <v>370</v>
      </c>
      <c r="I229" s="5" t="s">
        <v>370</v>
      </c>
      <c r="J229" s="5" t="s">
        <v>370</v>
      </c>
      <c r="K229" s="5" t="s">
        <v>370</v>
      </c>
      <c r="L229" s="5" t="s">
        <v>370</v>
      </c>
      <c r="M229" s="5" t="s">
        <v>370</v>
      </c>
      <c r="N229" s="36">
        <v>45.2</v>
      </c>
      <c r="O229" s="36">
        <v>130.80000000000001</v>
      </c>
      <c r="P229" s="4">
        <f t="shared" si="48"/>
        <v>1.3</v>
      </c>
      <c r="Q229" s="11">
        <v>20</v>
      </c>
      <c r="R229" s="36">
        <v>50</v>
      </c>
      <c r="S229" s="36">
        <v>35.9</v>
      </c>
      <c r="T229" s="4">
        <f t="shared" si="49"/>
        <v>0.71799999999999997</v>
      </c>
      <c r="U229" s="11">
        <v>15</v>
      </c>
      <c r="V229" s="36">
        <v>2</v>
      </c>
      <c r="W229" s="36">
        <v>2.1</v>
      </c>
      <c r="X229" s="4">
        <f t="shared" si="50"/>
        <v>1.05</v>
      </c>
      <c r="Y229" s="11">
        <v>35</v>
      </c>
      <c r="Z229" s="45">
        <f t="shared" si="57"/>
        <v>1.0502857142857143</v>
      </c>
      <c r="AA229" s="46">
        <v>1660</v>
      </c>
      <c r="AB229" s="36">
        <f t="shared" si="51"/>
        <v>150.90909090909091</v>
      </c>
      <c r="AC229" s="36">
        <f t="shared" si="52"/>
        <v>158.5</v>
      </c>
      <c r="AD229" s="36">
        <f t="shared" si="53"/>
        <v>7.5909090909090935</v>
      </c>
      <c r="AE229" s="36">
        <v>-1.1000000000000001</v>
      </c>
      <c r="AF229" s="36">
        <f t="shared" si="54"/>
        <v>157.4</v>
      </c>
      <c r="AG229" s="36">
        <f>MIN(AF229,75.1)</f>
        <v>75.099999999999994</v>
      </c>
      <c r="AH229" s="36">
        <f t="shared" si="55"/>
        <v>82.3</v>
      </c>
      <c r="AI229" s="36"/>
      <c r="AJ229" s="36">
        <f t="shared" si="56"/>
        <v>82.3</v>
      </c>
      <c r="AK229" s="9"/>
      <c r="AL229" s="9"/>
      <c r="AM229" s="9"/>
      <c r="AN229" s="9"/>
      <c r="AO229" s="9"/>
      <c r="AP229" s="9"/>
      <c r="AQ229" s="9"/>
      <c r="AR229" s="10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10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10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10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10"/>
      <c r="GC229" s="9"/>
      <c r="GD229" s="9"/>
    </row>
    <row r="230" spans="1:186" s="2" customFormat="1" ht="16.95" customHeight="1">
      <c r="A230" s="14" t="s">
        <v>226</v>
      </c>
      <c r="B230" s="36">
        <v>0</v>
      </c>
      <c r="C230" s="36">
        <v>0</v>
      </c>
      <c r="D230" s="4">
        <f t="shared" si="47"/>
        <v>0</v>
      </c>
      <c r="E230" s="11">
        <v>0</v>
      </c>
      <c r="F230" s="5" t="s">
        <v>370</v>
      </c>
      <c r="G230" s="5" t="s">
        <v>370</v>
      </c>
      <c r="H230" s="5" t="s">
        <v>370</v>
      </c>
      <c r="I230" s="5" t="s">
        <v>370</v>
      </c>
      <c r="J230" s="5" t="s">
        <v>370</v>
      </c>
      <c r="K230" s="5" t="s">
        <v>370</v>
      </c>
      <c r="L230" s="5" t="s">
        <v>370</v>
      </c>
      <c r="M230" s="5" t="s">
        <v>370</v>
      </c>
      <c r="N230" s="36">
        <v>165.8</v>
      </c>
      <c r="O230" s="36">
        <v>64.400000000000006</v>
      </c>
      <c r="P230" s="4">
        <f t="shared" si="48"/>
        <v>0.38841978287092882</v>
      </c>
      <c r="Q230" s="11">
        <v>20</v>
      </c>
      <c r="R230" s="36">
        <v>6</v>
      </c>
      <c r="S230" s="36">
        <v>6</v>
      </c>
      <c r="T230" s="4">
        <f t="shared" si="49"/>
        <v>1</v>
      </c>
      <c r="U230" s="11">
        <v>25</v>
      </c>
      <c r="V230" s="36">
        <v>0.5</v>
      </c>
      <c r="W230" s="36">
        <v>0.6</v>
      </c>
      <c r="X230" s="4">
        <f t="shared" si="50"/>
        <v>1.2</v>
      </c>
      <c r="Y230" s="11">
        <v>25</v>
      </c>
      <c r="Z230" s="45">
        <f t="shared" si="57"/>
        <v>0.89669136653455117</v>
      </c>
      <c r="AA230" s="46">
        <v>1896</v>
      </c>
      <c r="AB230" s="36">
        <f t="shared" si="51"/>
        <v>172.36363636363637</v>
      </c>
      <c r="AC230" s="36">
        <f t="shared" si="52"/>
        <v>154.6</v>
      </c>
      <c r="AD230" s="36">
        <f t="shared" si="53"/>
        <v>-17.76363636363638</v>
      </c>
      <c r="AE230" s="36">
        <v>-0.9</v>
      </c>
      <c r="AF230" s="36">
        <f t="shared" si="54"/>
        <v>153.69999999999999</v>
      </c>
      <c r="AG230" s="36">
        <f>MIN(AF230,86.2)</f>
        <v>86.2</v>
      </c>
      <c r="AH230" s="36">
        <f t="shared" si="55"/>
        <v>67.5</v>
      </c>
      <c r="AI230" s="36"/>
      <c r="AJ230" s="36">
        <f t="shared" si="56"/>
        <v>67.5</v>
      </c>
      <c r="AK230" s="9"/>
      <c r="AL230" s="9"/>
      <c r="AM230" s="9"/>
      <c r="AN230" s="9"/>
      <c r="AO230" s="9"/>
      <c r="AP230" s="9"/>
      <c r="AQ230" s="9"/>
      <c r="AR230" s="10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0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10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10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10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10"/>
      <c r="GC230" s="9"/>
      <c r="GD230" s="9"/>
    </row>
    <row r="231" spans="1:186" s="2" customFormat="1" ht="16.95" customHeight="1">
      <c r="A231" s="47" t="s">
        <v>227</v>
      </c>
      <c r="B231" s="36">
        <v>14060</v>
      </c>
      <c r="C231" s="36">
        <v>6630</v>
      </c>
      <c r="D231" s="4">
        <f t="shared" si="47"/>
        <v>0.47155049786628733</v>
      </c>
      <c r="E231" s="11">
        <v>10</v>
      </c>
      <c r="F231" s="5" t="s">
        <v>370</v>
      </c>
      <c r="G231" s="5" t="s">
        <v>370</v>
      </c>
      <c r="H231" s="5" t="s">
        <v>370</v>
      </c>
      <c r="I231" s="5" t="s">
        <v>370</v>
      </c>
      <c r="J231" s="5" t="s">
        <v>370</v>
      </c>
      <c r="K231" s="5" t="s">
        <v>370</v>
      </c>
      <c r="L231" s="5" t="s">
        <v>370</v>
      </c>
      <c r="M231" s="5" t="s">
        <v>370</v>
      </c>
      <c r="N231" s="36">
        <v>484.1</v>
      </c>
      <c r="O231" s="36">
        <v>164.1</v>
      </c>
      <c r="P231" s="4">
        <f t="shared" si="48"/>
        <v>0.33897954967981819</v>
      </c>
      <c r="Q231" s="11">
        <v>20</v>
      </c>
      <c r="R231" s="36">
        <v>0.5</v>
      </c>
      <c r="S231" s="36">
        <v>14.9</v>
      </c>
      <c r="T231" s="4">
        <f t="shared" si="49"/>
        <v>1.3</v>
      </c>
      <c r="U231" s="11">
        <v>15</v>
      </c>
      <c r="V231" s="36">
        <v>1</v>
      </c>
      <c r="W231" s="36">
        <v>1</v>
      </c>
      <c r="X231" s="4">
        <f t="shared" si="50"/>
        <v>1</v>
      </c>
      <c r="Y231" s="11">
        <v>35</v>
      </c>
      <c r="Z231" s="45">
        <f t="shared" si="57"/>
        <v>0.8249386996532404</v>
      </c>
      <c r="AA231" s="46">
        <v>25</v>
      </c>
      <c r="AB231" s="36">
        <f t="shared" si="51"/>
        <v>2.2727272727272729</v>
      </c>
      <c r="AC231" s="36">
        <f t="shared" si="52"/>
        <v>1.9</v>
      </c>
      <c r="AD231" s="36">
        <f t="shared" si="53"/>
        <v>-0.37272727272727302</v>
      </c>
      <c r="AE231" s="36">
        <v>0.1</v>
      </c>
      <c r="AF231" s="36">
        <f t="shared" si="54"/>
        <v>2</v>
      </c>
      <c r="AG231" s="36"/>
      <c r="AH231" s="36">
        <f t="shared" si="55"/>
        <v>2</v>
      </c>
      <c r="AI231" s="36"/>
      <c r="AJ231" s="36">
        <f t="shared" si="56"/>
        <v>2</v>
      </c>
      <c r="AK231" s="9"/>
      <c r="AL231" s="9"/>
      <c r="AM231" s="9"/>
      <c r="AN231" s="9"/>
      <c r="AO231" s="9"/>
      <c r="AP231" s="9"/>
      <c r="AQ231" s="9"/>
      <c r="AR231" s="10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0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10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10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10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10"/>
      <c r="GC231" s="9"/>
      <c r="GD231" s="9"/>
    </row>
    <row r="232" spans="1:186" s="2" customFormat="1" ht="16.95" customHeight="1">
      <c r="A232" s="14" t="s">
        <v>228</v>
      </c>
      <c r="B232" s="36">
        <v>845232</v>
      </c>
      <c r="C232" s="36">
        <v>977471.7</v>
      </c>
      <c r="D232" s="4">
        <f t="shared" si="47"/>
        <v>1.1564537310466239</v>
      </c>
      <c r="E232" s="11">
        <v>10</v>
      </c>
      <c r="F232" s="5" t="s">
        <v>370</v>
      </c>
      <c r="G232" s="5" t="s">
        <v>370</v>
      </c>
      <c r="H232" s="5" t="s">
        <v>370</v>
      </c>
      <c r="I232" s="5" t="s">
        <v>370</v>
      </c>
      <c r="J232" s="5" t="s">
        <v>370</v>
      </c>
      <c r="K232" s="5" t="s">
        <v>370</v>
      </c>
      <c r="L232" s="5" t="s">
        <v>370</v>
      </c>
      <c r="M232" s="5" t="s">
        <v>370</v>
      </c>
      <c r="N232" s="36">
        <v>10995.2</v>
      </c>
      <c r="O232" s="36">
        <v>3622.3</v>
      </c>
      <c r="P232" s="4">
        <f t="shared" si="48"/>
        <v>0.32944375727590219</v>
      </c>
      <c r="Q232" s="11">
        <v>20</v>
      </c>
      <c r="R232" s="36">
        <v>0</v>
      </c>
      <c r="S232" s="36">
        <v>0</v>
      </c>
      <c r="T232" s="4">
        <f t="shared" si="49"/>
        <v>1</v>
      </c>
      <c r="U232" s="11">
        <v>15</v>
      </c>
      <c r="V232" s="36">
        <v>0</v>
      </c>
      <c r="W232" s="36">
        <v>0</v>
      </c>
      <c r="X232" s="4">
        <f t="shared" si="50"/>
        <v>1</v>
      </c>
      <c r="Y232" s="11">
        <v>35</v>
      </c>
      <c r="Z232" s="45">
        <f t="shared" si="57"/>
        <v>0.85191765569980349</v>
      </c>
      <c r="AA232" s="46">
        <v>0</v>
      </c>
      <c r="AB232" s="36">
        <f t="shared" si="51"/>
        <v>0</v>
      </c>
      <c r="AC232" s="36">
        <f t="shared" si="52"/>
        <v>0</v>
      </c>
      <c r="AD232" s="36">
        <f t="shared" si="53"/>
        <v>0</v>
      </c>
      <c r="AE232" s="36">
        <v>0</v>
      </c>
      <c r="AF232" s="36">
        <f t="shared" si="54"/>
        <v>0</v>
      </c>
      <c r="AG232" s="36"/>
      <c r="AH232" s="36">
        <f t="shared" si="55"/>
        <v>0</v>
      </c>
      <c r="AI232" s="36"/>
      <c r="AJ232" s="36">
        <f t="shared" si="56"/>
        <v>0</v>
      </c>
      <c r="AK232" s="9"/>
      <c r="AL232" s="9"/>
      <c r="AM232" s="9"/>
      <c r="AN232" s="9"/>
      <c r="AO232" s="9"/>
      <c r="AP232" s="9"/>
      <c r="AQ232" s="9"/>
      <c r="AR232" s="10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10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10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10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10"/>
      <c r="GC232" s="9"/>
      <c r="GD232" s="9"/>
    </row>
    <row r="233" spans="1:186" s="2" customFormat="1" ht="16.95" customHeight="1">
      <c r="A233" s="14" t="s">
        <v>229</v>
      </c>
      <c r="B233" s="36">
        <v>0</v>
      </c>
      <c r="C233" s="36">
        <v>0</v>
      </c>
      <c r="D233" s="4">
        <f t="shared" si="47"/>
        <v>0</v>
      </c>
      <c r="E233" s="11">
        <v>0</v>
      </c>
      <c r="F233" s="5" t="s">
        <v>370</v>
      </c>
      <c r="G233" s="5" t="s">
        <v>370</v>
      </c>
      <c r="H233" s="5" t="s">
        <v>370</v>
      </c>
      <c r="I233" s="5" t="s">
        <v>370</v>
      </c>
      <c r="J233" s="5" t="s">
        <v>370</v>
      </c>
      <c r="K233" s="5" t="s">
        <v>370</v>
      </c>
      <c r="L233" s="5" t="s">
        <v>370</v>
      </c>
      <c r="M233" s="5" t="s">
        <v>370</v>
      </c>
      <c r="N233" s="36">
        <v>140.5</v>
      </c>
      <c r="O233" s="36">
        <v>31.4</v>
      </c>
      <c r="P233" s="4">
        <f t="shared" si="48"/>
        <v>0.22348754448398575</v>
      </c>
      <c r="Q233" s="11">
        <v>20</v>
      </c>
      <c r="R233" s="36">
        <v>110</v>
      </c>
      <c r="S233" s="36">
        <v>128.6</v>
      </c>
      <c r="T233" s="4">
        <f t="shared" si="49"/>
        <v>1.169090909090909</v>
      </c>
      <c r="U233" s="11">
        <v>30</v>
      </c>
      <c r="V233" s="36">
        <v>12</v>
      </c>
      <c r="W233" s="36">
        <v>7.2</v>
      </c>
      <c r="X233" s="4">
        <f t="shared" si="50"/>
        <v>0.6</v>
      </c>
      <c r="Y233" s="11">
        <v>20</v>
      </c>
      <c r="Z233" s="45">
        <f t="shared" si="57"/>
        <v>0.73632111660581412</v>
      </c>
      <c r="AA233" s="46">
        <v>1792</v>
      </c>
      <c r="AB233" s="36">
        <f t="shared" si="51"/>
        <v>162.90909090909091</v>
      </c>
      <c r="AC233" s="36">
        <f t="shared" si="52"/>
        <v>120</v>
      </c>
      <c r="AD233" s="36">
        <f t="shared" si="53"/>
        <v>-42.909090909090907</v>
      </c>
      <c r="AE233" s="36">
        <v>-1.2</v>
      </c>
      <c r="AF233" s="36">
        <f t="shared" si="54"/>
        <v>118.8</v>
      </c>
      <c r="AG233" s="36"/>
      <c r="AH233" s="36">
        <f t="shared" si="55"/>
        <v>118.8</v>
      </c>
      <c r="AI233" s="36"/>
      <c r="AJ233" s="36">
        <f t="shared" si="56"/>
        <v>118.8</v>
      </c>
      <c r="AK233" s="9"/>
      <c r="AL233" s="9"/>
      <c r="AM233" s="9"/>
      <c r="AN233" s="9"/>
      <c r="AO233" s="9"/>
      <c r="AP233" s="9"/>
      <c r="AQ233" s="9"/>
      <c r="AR233" s="10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10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10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10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10"/>
      <c r="GC233" s="9"/>
      <c r="GD233" s="9"/>
    </row>
    <row r="234" spans="1:186" s="2" customFormat="1" ht="16.95" customHeight="1">
      <c r="A234" s="14" t="s">
        <v>230</v>
      </c>
      <c r="B234" s="36">
        <v>0</v>
      </c>
      <c r="C234" s="36">
        <v>0</v>
      </c>
      <c r="D234" s="4">
        <f t="shared" si="47"/>
        <v>0</v>
      </c>
      <c r="E234" s="11">
        <v>0</v>
      </c>
      <c r="F234" s="5" t="s">
        <v>370</v>
      </c>
      <c r="G234" s="5" t="s">
        <v>370</v>
      </c>
      <c r="H234" s="5" t="s">
        <v>370</v>
      </c>
      <c r="I234" s="5" t="s">
        <v>370</v>
      </c>
      <c r="J234" s="5" t="s">
        <v>370</v>
      </c>
      <c r="K234" s="5" t="s">
        <v>370</v>
      </c>
      <c r="L234" s="5" t="s">
        <v>370</v>
      </c>
      <c r="M234" s="5" t="s">
        <v>370</v>
      </c>
      <c r="N234" s="36">
        <v>808.9</v>
      </c>
      <c r="O234" s="36">
        <v>703.7</v>
      </c>
      <c r="P234" s="4">
        <f t="shared" si="48"/>
        <v>0.86994684138954148</v>
      </c>
      <c r="Q234" s="11">
        <v>20</v>
      </c>
      <c r="R234" s="36">
        <v>0</v>
      </c>
      <c r="S234" s="36">
        <v>0.6</v>
      </c>
      <c r="T234" s="4">
        <f t="shared" si="49"/>
        <v>1</v>
      </c>
      <c r="U234" s="11">
        <v>25</v>
      </c>
      <c r="V234" s="36">
        <v>0.5</v>
      </c>
      <c r="W234" s="36">
        <v>0.6</v>
      </c>
      <c r="X234" s="4">
        <f t="shared" si="50"/>
        <v>1.2</v>
      </c>
      <c r="Y234" s="11">
        <v>25</v>
      </c>
      <c r="Z234" s="45">
        <f t="shared" si="57"/>
        <v>1.0342705261112977</v>
      </c>
      <c r="AA234" s="46">
        <v>1516</v>
      </c>
      <c r="AB234" s="36">
        <f t="shared" si="51"/>
        <v>137.81818181818181</v>
      </c>
      <c r="AC234" s="36">
        <f t="shared" si="52"/>
        <v>142.5</v>
      </c>
      <c r="AD234" s="36">
        <f t="shared" si="53"/>
        <v>4.681818181818187</v>
      </c>
      <c r="AE234" s="36">
        <v>-0.6</v>
      </c>
      <c r="AF234" s="36">
        <f t="shared" si="54"/>
        <v>141.9</v>
      </c>
      <c r="AG234" s="36"/>
      <c r="AH234" s="36">
        <f t="shared" si="55"/>
        <v>141.9</v>
      </c>
      <c r="AI234" s="36"/>
      <c r="AJ234" s="36">
        <f t="shared" si="56"/>
        <v>141.9</v>
      </c>
      <c r="AK234" s="9"/>
      <c r="AL234" s="9"/>
      <c r="AM234" s="9"/>
      <c r="AN234" s="9"/>
      <c r="AO234" s="9"/>
      <c r="AP234" s="9"/>
      <c r="AQ234" s="9"/>
      <c r="AR234" s="10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0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10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10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10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10"/>
      <c r="GC234" s="9"/>
      <c r="GD234" s="9"/>
    </row>
    <row r="235" spans="1:186" s="2" customFormat="1" ht="16.95" customHeight="1">
      <c r="A235" s="14" t="s">
        <v>231</v>
      </c>
      <c r="B235" s="36">
        <v>34705</v>
      </c>
      <c r="C235" s="36">
        <v>71449.2</v>
      </c>
      <c r="D235" s="4">
        <f t="shared" si="47"/>
        <v>1.2858758104019592</v>
      </c>
      <c r="E235" s="11">
        <v>10</v>
      </c>
      <c r="F235" s="5" t="s">
        <v>370</v>
      </c>
      <c r="G235" s="5" t="s">
        <v>370</v>
      </c>
      <c r="H235" s="5" t="s">
        <v>370</v>
      </c>
      <c r="I235" s="5" t="s">
        <v>370</v>
      </c>
      <c r="J235" s="5" t="s">
        <v>370</v>
      </c>
      <c r="K235" s="5" t="s">
        <v>370</v>
      </c>
      <c r="L235" s="5" t="s">
        <v>370</v>
      </c>
      <c r="M235" s="5" t="s">
        <v>370</v>
      </c>
      <c r="N235" s="36">
        <v>1085.0999999999999</v>
      </c>
      <c r="O235" s="36">
        <v>545.9</v>
      </c>
      <c r="P235" s="4">
        <f t="shared" si="48"/>
        <v>0.50308727306239054</v>
      </c>
      <c r="Q235" s="11">
        <v>20</v>
      </c>
      <c r="R235" s="36">
        <v>4</v>
      </c>
      <c r="S235" s="36">
        <v>3.7</v>
      </c>
      <c r="T235" s="4">
        <f t="shared" si="49"/>
        <v>0.92500000000000004</v>
      </c>
      <c r="U235" s="11">
        <v>20</v>
      </c>
      <c r="V235" s="36">
        <v>3</v>
      </c>
      <c r="W235" s="36">
        <v>4.0999999999999996</v>
      </c>
      <c r="X235" s="4">
        <f t="shared" si="50"/>
        <v>1.2166666666666666</v>
      </c>
      <c r="Y235" s="11">
        <v>30</v>
      </c>
      <c r="Z235" s="45">
        <f t="shared" si="57"/>
        <v>0.97400629456584265</v>
      </c>
      <c r="AA235" s="46">
        <v>3900</v>
      </c>
      <c r="AB235" s="36">
        <f t="shared" si="51"/>
        <v>354.54545454545456</v>
      </c>
      <c r="AC235" s="36">
        <f t="shared" si="52"/>
        <v>345.3</v>
      </c>
      <c r="AD235" s="36">
        <f t="shared" si="53"/>
        <v>-9.2454545454545496</v>
      </c>
      <c r="AE235" s="36">
        <v>30.9</v>
      </c>
      <c r="AF235" s="36">
        <f t="shared" si="54"/>
        <v>376.2</v>
      </c>
      <c r="AG235" s="36"/>
      <c r="AH235" s="36">
        <f t="shared" si="55"/>
        <v>376.2</v>
      </c>
      <c r="AI235" s="36"/>
      <c r="AJ235" s="36">
        <f t="shared" si="56"/>
        <v>376.2</v>
      </c>
      <c r="AK235" s="9"/>
      <c r="AL235" s="9"/>
      <c r="AM235" s="9"/>
      <c r="AN235" s="9"/>
      <c r="AO235" s="9"/>
      <c r="AP235" s="9"/>
      <c r="AQ235" s="9"/>
      <c r="AR235" s="10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0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10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10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10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10"/>
      <c r="GC235" s="9"/>
      <c r="GD235" s="9"/>
    </row>
    <row r="236" spans="1:186" s="2" customFormat="1" ht="16.95" customHeight="1">
      <c r="A236" s="18" t="s">
        <v>232</v>
      </c>
      <c r="B236" s="6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9"/>
      <c r="AL236" s="9"/>
      <c r="AM236" s="9"/>
      <c r="AN236" s="9"/>
      <c r="AO236" s="9"/>
      <c r="AP236" s="9"/>
      <c r="AQ236" s="9"/>
      <c r="AR236" s="10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0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10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10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10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10"/>
      <c r="GC236" s="9"/>
      <c r="GD236" s="9"/>
    </row>
    <row r="237" spans="1:186" s="2" customFormat="1" ht="16.95" customHeight="1">
      <c r="A237" s="14" t="s">
        <v>233</v>
      </c>
      <c r="B237" s="36">
        <v>0</v>
      </c>
      <c r="C237" s="36">
        <v>0</v>
      </c>
      <c r="D237" s="4">
        <f t="shared" si="47"/>
        <v>0</v>
      </c>
      <c r="E237" s="11">
        <v>0</v>
      </c>
      <c r="F237" s="5" t="s">
        <v>370</v>
      </c>
      <c r="G237" s="5" t="s">
        <v>370</v>
      </c>
      <c r="H237" s="5" t="s">
        <v>370</v>
      </c>
      <c r="I237" s="5" t="s">
        <v>370</v>
      </c>
      <c r="J237" s="5" t="s">
        <v>370</v>
      </c>
      <c r="K237" s="5" t="s">
        <v>370</v>
      </c>
      <c r="L237" s="5" t="s">
        <v>370</v>
      </c>
      <c r="M237" s="5" t="s">
        <v>370</v>
      </c>
      <c r="N237" s="36">
        <v>150.6</v>
      </c>
      <c r="O237" s="36">
        <v>351.1</v>
      </c>
      <c r="P237" s="4">
        <f t="shared" si="48"/>
        <v>1.3</v>
      </c>
      <c r="Q237" s="11">
        <v>20</v>
      </c>
      <c r="R237" s="36">
        <v>8</v>
      </c>
      <c r="S237" s="36">
        <v>9.4</v>
      </c>
      <c r="T237" s="4">
        <f t="shared" si="49"/>
        <v>1.175</v>
      </c>
      <c r="U237" s="11">
        <v>20</v>
      </c>
      <c r="V237" s="36">
        <v>1</v>
      </c>
      <c r="W237" s="36">
        <v>3</v>
      </c>
      <c r="X237" s="4">
        <f t="shared" si="50"/>
        <v>1.3</v>
      </c>
      <c r="Y237" s="11">
        <v>30</v>
      </c>
      <c r="Z237" s="45">
        <f t="shared" si="57"/>
        <v>1.2642857142857142</v>
      </c>
      <c r="AA237" s="46">
        <v>2578</v>
      </c>
      <c r="AB237" s="36">
        <f t="shared" si="51"/>
        <v>234.36363636363637</v>
      </c>
      <c r="AC237" s="36">
        <f t="shared" si="52"/>
        <v>296.3</v>
      </c>
      <c r="AD237" s="36">
        <f t="shared" si="53"/>
        <v>61.936363636363637</v>
      </c>
      <c r="AE237" s="36">
        <v>-13.9</v>
      </c>
      <c r="AF237" s="36">
        <f t="shared" si="54"/>
        <v>282.39999999999998</v>
      </c>
      <c r="AG237" s="36"/>
      <c r="AH237" s="36">
        <f t="shared" si="55"/>
        <v>282.39999999999998</v>
      </c>
      <c r="AI237" s="36"/>
      <c r="AJ237" s="36">
        <f t="shared" si="56"/>
        <v>282.39999999999998</v>
      </c>
      <c r="AK237" s="9"/>
      <c r="AL237" s="9"/>
      <c r="AM237" s="9"/>
      <c r="AN237" s="9"/>
      <c r="AO237" s="9"/>
      <c r="AP237" s="9"/>
      <c r="AQ237" s="9"/>
      <c r="AR237" s="10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0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10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10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10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10"/>
      <c r="GC237" s="9"/>
      <c r="GD237" s="9"/>
    </row>
    <row r="238" spans="1:186" s="2" customFormat="1" ht="16.95" customHeight="1">
      <c r="A238" s="14" t="s">
        <v>234</v>
      </c>
      <c r="B238" s="36">
        <v>0</v>
      </c>
      <c r="C238" s="36">
        <v>0</v>
      </c>
      <c r="D238" s="4">
        <f t="shared" si="47"/>
        <v>0</v>
      </c>
      <c r="E238" s="11">
        <v>0</v>
      </c>
      <c r="F238" s="5" t="s">
        <v>370</v>
      </c>
      <c r="G238" s="5" t="s">
        <v>370</v>
      </c>
      <c r="H238" s="5" t="s">
        <v>370</v>
      </c>
      <c r="I238" s="5" t="s">
        <v>370</v>
      </c>
      <c r="J238" s="5" t="s">
        <v>370</v>
      </c>
      <c r="K238" s="5" t="s">
        <v>370</v>
      </c>
      <c r="L238" s="5" t="s">
        <v>370</v>
      </c>
      <c r="M238" s="5" t="s">
        <v>370</v>
      </c>
      <c r="N238" s="36">
        <v>313.8</v>
      </c>
      <c r="O238" s="36">
        <v>27.4</v>
      </c>
      <c r="P238" s="4">
        <f t="shared" si="48"/>
        <v>8.7316762268961109E-2</v>
      </c>
      <c r="Q238" s="11">
        <v>20</v>
      </c>
      <c r="R238" s="36">
        <v>32</v>
      </c>
      <c r="S238" s="36">
        <v>36.4</v>
      </c>
      <c r="T238" s="4">
        <f t="shared" si="49"/>
        <v>1.1375</v>
      </c>
      <c r="U238" s="11">
        <v>25</v>
      </c>
      <c r="V238" s="36">
        <v>2</v>
      </c>
      <c r="W238" s="36">
        <v>0.5</v>
      </c>
      <c r="X238" s="4">
        <f t="shared" si="50"/>
        <v>0.25</v>
      </c>
      <c r="Y238" s="11">
        <v>25</v>
      </c>
      <c r="Z238" s="45">
        <f t="shared" si="57"/>
        <v>0.52048336064827461</v>
      </c>
      <c r="AA238" s="46">
        <v>1371</v>
      </c>
      <c r="AB238" s="36">
        <f t="shared" si="51"/>
        <v>124.63636363636364</v>
      </c>
      <c r="AC238" s="36">
        <f t="shared" si="52"/>
        <v>64.900000000000006</v>
      </c>
      <c r="AD238" s="36">
        <f t="shared" si="53"/>
        <v>-59.736363636363635</v>
      </c>
      <c r="AE238" s="36">
        <v>-2</v>
      </c>
      <c r="AF238" s="36">
        <f t="shared" si="54"/>
        <v>62.9</v>
      </c>
      <c r="AG238" s="36"/>
      <c r="AH238" s="36">
        <f t="shared" si="55"/>
        <v>62.9</v>
      </c>
      <c r="AI238" s="36"/>
      <c r="AJ238" s="36">
        <f t="shared" si="56"/>
        <v>62.9</v>
      </c>
      <c r="AK238" s="9"/>
      <c r="AL238" s="9"/>
      <c r="AM238" s="9"/>
      <c r="AN238" s="9"/>
      <c r="AO238" s="9"/>
      <c r="AP238" s="9"/>
      <c r="AQ238" s="9"/>
      <c r="AR238" s="10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0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10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10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10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10"/>
      <c r="GC238" s="9"/>
      <c r="GD238" s="9"/>
    </row>
    <row r="239" spans="1:186" s="2" customFormat="1" ht="16.95" customHeight="1">
      <c r="A239" s="14" t="s">
        <v>235</v>
      </c>
      <c r="B239" s="36">
        <v>0</v>
      </c>
      <c r="C239" s="36">
        <v>0</v>
      </c>
      <c r="D239" s="4">
        <f t="shared" ref="D239:D302" si="58">IF(E239=0,0,IF(B239=0,1,IF(C239&lt;0,0,IF(C239/B239&gt;1.2,IF((C239/B239-1.2)*0.1+1.2&gt;1.3,1.3,(C239/B239-1.2)*0.1+1.2),C239/B239))))</f>
        <v>0</v>
      </c>
      <c r="E239" s="11">
        <v>0</v>
      </c>
      <c r="F239" s="5" t="s">
        <v>370</v>
      </c>
      <c r="G239" s="5" t="s">
        <v>370</v>
      </c>
      <c r="H239" s="5" t="s">
        <v>370</v>
      </c>
      <c r="I239" s="5" t="s">
        <v>370</v>
      </c>
      <c r="J239" s="5" t="s">
        <v>370</v>
      </c>
      <c r="K239" s="5" t="s">
        <v>370</v>
      </c>
      <c r="L239" s="5" t="s">
        <v>370</v>
      </c>
      <c r="M239" s="5" t="s">
        <v>370</v>
      </c>
      <c r="N239" s="36">
        <v>430</v>
      </c>
      <c r="O239" s="36">
        <v>190.1</v>
      </c>
      <c r="P239" s="4">
        <f t="shared" ref="P239:P302" si="59">IF(Q239=0,0,IF(N239=0,1,IF(O239&lt;0,0,IF(O239/N239&gt;1.2,IF((O239/N239-1.2)*0.1+1.2&gt;1.3,1.3,(O239/N239-1.2)*0.1+1.2),O239/N239))))</f>
        <v>0.44209302325581395</v>
      </c>
      <c r="Q239" s="11">
        <v>20</v>
      </c>
      <c r="R239" s="36">
        <v>36</v>
      </c>
      <c r="S239" s="36">
        <v>56.1</v>
      </c>
      <c r="T239" s="4">
        <f t="shared" ref="T239:T302" si="60">IF(U239=0,0,IF(R239=0,1,IF(S239&lt;0,0,IF(S239/R239&gt;1.2,IF((S239/R239-1.2)*0.1+1.2&gt;1.3,1.3,(S239/R239-1.2)*0.1+1.2),S239/R239))))</f>
        <v>1.2358333333333333</v>
      </c>
      <c r="U239" s="11">
        <v>15</v>
      </c>
      <c r="V239" s="36">
        <v>7</v>
      </c>
      <c r="W239" s="36">
        <v>7.9</v>
      </c>
      <c r="X239" s="4">
        <f t="shared" ref="X239:X302" si="61">IF(Y239=0,0,IF(V239=0,1,IF(W239&lt;0,0,IF(W239/V239&gt;1.2,IF((W239/V239-1.2)*0.1+1.2&gt;1.3,1.3,(W239/V239-1.2)*0.1+1.2),W239/V239))))</f>
        <v>1.1285714285714286</v>
      </c>
      <c r="Y239" s="11">
        <v>35</v>
      </c>
      <c r="Z239" s="45">
        <f t="shared" si="57"/>
        <v>0.95541943521594686</v>
      </c>
      <c r="AA239" s="46">
        <v>3325</v>
      </c>
      <c r="AB239" s="36">
        <f t="shared" ref="AB239:AB302" si="62">AA239/11</f>
        <v>302.27272727272725</v>
      </c>
      <c r="AC239" s="36">
        <f t="shared" ref="AC239:AC302" si="63">ROUND(Z239*AB239,1)</f>
        <v>288.8</v>
      </c>
      <c r="AD239" s="36">
        <f t="shared" ref="AD239:AD302" si="64">AC239-AB239</f>
        <v>-13.472727272727241</v>
      </c>
      <c r="AE239" s="36">
        <v>-7.3</v>
      </c>
      <c r="AF239" s="36">
        <f t="shared" ref="AF239:AF302" si="65">IF((AC239+AE239)&gt;0,ROUND(AC239+AE239,1),0)</f>
        <v>281.5</v>
      </c>
      <c r="AG239" s="36"/>
      <c r="AH239" s="36">
        <f t="shared" ref="AH239:AH302" si="66">IF((AF239-AG239)&gt;0,ROUND(AF239-AG239,1),0)</f>
        <v>281.5</v>
      </c>
      <c r="AI239" s="36"/>
      <c r="AJ239" s="36">
        <f t="shared" ref="AJ239:AJ302" si="67">IF((AH239-AI239)&gt;0,ROUND(AH239-AI239,1),0)</f>
        <v>281.5</v>
      </c>
      <c r="AK239" s="9"/>
      <c r="AL239" s="9"/>
      <c r="AM239" s="9"/>
      <c r="AN239" s="9"/>
      <c r="AO239" s="9"/>
      <c r="AP239" s="9"/>
      <c r="AQ239" s="9"/>
      <c r="AR239" s="10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0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10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10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10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10"/>
      <c r="GC239" s="9"/>
      <c r="GD239" s="9"/>
    </row>
    <row r="240" spans="1:186" s="2" customFormat="1" ht="16.95" customHeight="1">
      <c r="A240" s="14" t="s">
        <v>236</v>
      </c>
      <c r="B240" s="36">
        <v>3200</v>
      </c>
      <c r="C240" s="36">
        <v>923.7</v>
      </c>
      <c r="D240" s="4">
        <f t="shared" si="58"/>
        <v>0.28865625</v>
      </c>
      <c r="E240" s="11">
        <v>10</v>
      </c>
      <c r="F240" s="5" t="s">
        <v>370</v>
      </c>
      <c r="G240" s="5" t="s">
        <v>370</v>
      </c>
      <c r="H240" s="5" t="s">
        <v>370</v>
      </c>
      <c r="I240" s="5" t="s">
        <v>370</v>
      </c>
      <c r="J240" s="5" t="s">
        <v>370</v>
      </c>
      <c r="K240" s="5" t="s">
        <v>370</v>
      </c>
      <c r="L240" s="5" t="s">
        <v>370</v>
      </c>
      <c r="M240" s="5" t="s">
        <v>370</v>
      </c>
      <c r="N240" s="36">
        <v>229.4</v>
      </c>
      <c r="O240" s="36">
        <v>229.5</v>
      </c>
      <c r="P240" s="4">
        <f t="shared" si="59"/>
        <v>1.0004359197907584</v>
      </c>
      <c r="Q240" s="11">
        <v>20</v>
      </c>
      <c r="R240" s="36">
        <v>15</v>
      </c>
      <c r="S240" s="36">
        <v>23.6</v>
      </c>
      <c r="T240" s="4">
        <f t="shared" si="60"/>
        <v>1.2373333333333334</v>
      </c>
      <c r="U240" s="11">
        <v>15</v>
      </c>
      <c r="V240" s="36">
        <v>3</v>
      </c>
      <c r="W240" s="36">
        <v>4.2</v>
      </c>
      <c r="X240" s="4">
        <f t="shared" si="61"/>
        <v>1.22</v>
      </c>
      <c r="Y240" s="11">
        <v>35</v>
      </c>
      <c r="Z240" s="45">
        <f t="shared" ref="Z240:Z303" si="68">(D240*E240+P240*Q240+T240*U240+X240*Y240)/(E240+Q240+U240+Y240)</f>
        <v>1.0519410111976897</v>
      </c>
      <c r="AA240" s="46">
        <v>3556</v>
      </c>
      <c r="AB240" s="36">
        <f t="shared" si="62"/>
        <v>323.27272727272725</v>
      </c>
      <c r="AC240" s="36">
        <f t="shared" si="63"/>
        <v>340.1</v>
      </c>
      <c r="AD240" s="36">
        <f t="shared" si="64"/>
        <v>16.827272727272771</v>
      </c>
      <c r="AE240" s="36">
        <v>1.4</v>
      </c>
      <c r="AF240" s="36">
        <f t="shared" si="65"/>
        <v>341.5</v>
      </c>
      <c r="AG240" s="36"/>
      <c r="AH240" s="36">
        <f t="shared" si="66"/>
        <v>341.5</v>
      </c>
      <c r="AI240" s="36"/>
      <c r="AJ240" s="36">
        <f t="shared" si="67"/>
        <v>341.5</v>
      </c>
      <c r="AK240" s="9"/>
      <c r="AL240" s="9"/>
      <c r="AM240" s="9"/>
      <c r="AN240" s="9"/>
      <c r="AO240" s="9"/>
      <c r="AP240" s="9"/>
      <c r="AQ240" s="9"/>
      <c r="AR240" s="10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0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10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10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10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10"/>
      <c r="GC240" s="9"/>
      <c r="GD240" s="9"/>
    </row>
    <row r="241" spans="1:186" s="2" customFormat="1" ht="16.95" customHeight="1">
      <c r="A241" s="14" t="s">
        <v>237</v>
      </c>
      <c r="B241" s="36">
        <v>0</v>
      </c>
      <c r="C241" s="36">
        <v>0</v>
      </c>
      <c r="D241" s="4">
        <f t="shared" si="58"/>
        <v>0</v>
      </c>
      <c r="E241" s="11">
        <v>0</v>
      </c>
      <c r="F241" s="5" t="s">
        <v>370</v>
      </c>
      <c r="G241" s="5" t="s">
        <v>370</v>
      </c>
      <c r="H241" s="5" t="s">
        <v>370</v>
      </c>
      <c r="I241" s="5" t="s">
        <v>370</v>
      </c>
      <c r="J241" s="5" t="s">
        <v>370</v>
      </c>
      <c r="K241" s="5" t="s">
        <v>370</v>
      </c>
      <c r="L241" s="5" t="s">
        <v>370</v>
      </c>
      <c r="M241" s="5" t="s">
        <v>370</v>
      </c>
      <c r="N241" s="36">
        <v>35</v>
      </c>
      <c r="O241" s="36">
        <v>26.3</v>
      </c>
      <c r="P241" s="4">
        <f t="shared" si="59"/>
        <v>0.75142857142857145</v>
      </c>
      <c r="Q241" s="11">
        <v>20</v>
      </c>
      <c r="R241" s="36">
        <v>10</v>
      </c>
      <c r="S241" s="36">
        <v>19</v>
      </c>
      <c r="T241" s="4">
        <f t="shared" si="60"/>
        <v>1.27</v>
      </c>
      <c r="U241" s="11">
        <v>20</v>
      </c>
      <c r="V241" s="36">
        <v>2</v>
      </c>
      <c r="W241" s="36">
        <v>0</v>
      </c>
      <c r="X241" s="4">
        <f t="shared" si="61"/>
        <v>0</v>
      </c>
      <c r="Y241" s="11">
        <v>30</v>
      </c>
      <c r="Z241" s="45">
        <f t="shared" si="68"/>
        <v>0.57755102040816331</v>
      </c>
      <c r="AA241" s="46">
        <v>1228</v>
      </c>
      <c r="AB241" s="36">
        <f t="shared" si="62"/>
        <v>111.63636363636364</v>
      </c>
      <c r="AC241" s="36">
        <f t="shared" si="63"/>
        <v>64.5</v>
      </c>
      <c r="AD241" s="36">
        <f t="shared" si="64"/>
        <v>-47.13636363636364</v>
      </c>
      <c r="AE241" s="36">
        <v>-1</v>
      </c>
      <c r="AF241" s="36">
        <f t="shared" si="65"/>
        <v>63.5</v>
      </c>
      <c r="AG241" s="36"/>
      <c r="AH241" s="36">
        <f t="shared" si="66"/>
        <v>63.5</v>
      </c>
      <c r="AI241" s="36"/>
      <c r="AJ241" s="36">
        <f t="shared" si="67"/>
        <v>63.5</v>
      </c>
      <c r="AK241" s="9"/>
      <c r="AL241" s="9"/>
      <c r="AM241" s="9"/>
      <c r="AN241" s="9"/>
      <c r="AO241" s="9"/>
      <c r="AP241" s="9"/>
      <c r="AQ241" s="9"/>
      <c r="AR241" s="10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0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10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10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10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10"/>
      <c r="GC241" s="9"/>
      <c r="GD241" s="9"/>
    </row>
    <row r="242" spans="1:186" s="2" customFormat="1" ht="16.95" customHeight="1">
      <c r="A242" s="14" t="s">
        <v>238</v>
      </c>
      <c r="B242" s="36">
        <v>0</v>
      </c>
      <c r="C242" s="36">
        <v>0</v>
      </c>
      <c r="D242" s="4">
        <f t="shared" si="58"/>
        <v>0</v>
      </c>
      <c r="E242" s="11">
        <v>0</v>
      </c>
      <c r="F242" s="5" t="s">
        <v>370</v>
      </c>
      <c r="G242" s="5" t="s">
        <v>370</v>
      </c>
      <c r="H242" s="5" t="s">
        <v>370</v>
      </c>
      <c r="I242" s="5" t="s">
        <v>370</v>
      </c>
      <c r="J242" s="5" t="s">
        <v>370</v>
      </c>
      <c r="K242" s="5" t="s">
        <v>370</v>
      </c>
      <c r="L242" s="5" t="s">
        <v>370</v>
      </c>
      <c r="M242" s="5" t="s">
        <v>370</v>
      </c>
      <c r="N242" s="36">
        <v>215.7</v>
      </c>
      <c r="O242" s="36">
        <v>122.8</v>
      </c>
      <c r="P242" s="4">
        <f t="shared" si="59"/>
        <v>0.56930922577654153</v>
      </c>
      <c r="Q242" s="11">
        <v>20</v>
      </c>
      <c r="R242" s="36">
        <v>30</v>
      </c>
      <c r="S242" s="36">
        <v>36.4</v>
      </c>
      <c r="T242" s="4">
        <f t="shared" si="60"/>
        <v>1.2013333333333334</v>
      </c>
      <c r="U242" s="11">
        <v>20</v>
      </c>
      <c r="V242" s="36">
        <v>2</v>
      </c>
      <c r="W242" s="36">
        <v>3.5</v>
      </c>
      <c r="X242" s="4">
        <f t="shared" si="61"/>
        <v>1.2549999999999999</v>
      </c>
      <c r="Y242" s="11">
        <v>30</v>
      </c>
      <c r="Z242" s="45">
        <f t="shared" si="68"/>
        <v>1.0437550168885359</v>
      </c>
      <c r="AA242" s="46">
        <v>2987</v>
      </c>
      <c r="AB242" s="36">
        <f t="shared" si="62"/>
        <v>271.54545454545456</v>
      </c>
      <c r="AC242" s="36">
        <f t="shared" si="63"/>
        <v>283.39999999999998</v>
      </c>
      <c r="AD242" s="36">
        <f t="shared" si="64"/>
        <v>11.854545454545416</v>
      </c>
      <c r="AE242" s="36">
        <v>-1</v>
      </c>
      <c r="AF242" s="36">
        <f t="shared" si="65"/>
        <v>282.39999999999998</v>
      </c>
      <c r="AG242" s="36"/>
      <c r="AH242" s="36">
        <f t="shared" si="66"/>
        <v>282.39999999999998</v>
      </c>
      <c r="AI242" s="36"/>
      <c r="AJ242" s="36">
        <f t="shared" si="67"/>
        <v>282.39999999999998</v>
      </c>
      <c r="AK242" s="9"/>
      <c r="AL242" s="9"/>
      <c r="AM242" s="9"/>
      <c r="AN242" s="9"/>
      <c r="AO242" s="9"/>
      <c r="AP242" s="9"/>
      <c r="AQ242" s="9"/>
      <c r="AR242" s="10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0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10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10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10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10"/>
      <c r="GC242" s="9"/>
      <c r="GD242" s="9"/>
    </row>
    <row r="243" spans="1:186" s="2" customFormat="1" ht="16.95" customHeight="1">
      <c r="A243" s="14" t="s">
        <v>239</v>
      </c>
      <c r="B243" s="36">
        <v>2050</v>
      </c>
      <c r="C243" s="36">
        <v>2014</v>
      </c>
      <c r="D243" s="4">
        <f t="shared" si="58"/>
        <v>0.98243902439024389</v>
      </c>
      <c r="E243" s="11">
        <v>10</v>
      </c>
      <c r="F243" s="5" t="s">
        <v>370</v>
      </c>
      <c r="G243" s="5" t="s">
        <v>370</v>
      </c>
      <c r="H243" s="5" t="s">
        <v>370</v>
      </c>
      <c r="I243" s="5" t="s">
        <v>370</v>
      </c>
      <c r="J243" s="5" t="s">
        <v>370</v>
      </c>
      <c r="K243" s="5" t="s">
        <v>370</v>
      </c>
      <c r="L243" s="5" t="s">
        <v>370</v>
      </c>
      <c r="M243" s="5" t="s">
        <v>370</v>
      </c>
      <c r="N243" s="36">
        <v>140.6</v>
      </c>
      <c r="O243" s="36">
        <v>12.7</v>
      </c>
      <c r="P243" s="4">
        <f t="shared" si="59"/>
        <v>9.0327169274537697E-2</v>
      </c>
      <c r="Q243" s="11">
        <v>20</v>
      </c>
      <c r="R243" s="36">
        <v>16</v>
      </c>
      <c r="S243" s="36">
        <v>10.6</v>
      </c>
      <c r="T243" s="4">
        <f t="shared" si="60"/>
        <v>0.66249999999999998</v>
      </c>
      <c r="U243" s="11">
        <v>15</v>
      </c>
      <c r="V243" s="36">
        <v>3</v>
      </c>
      <c r="W243" s="36">
        <v>5</v>
      </c>
      <c r="X243" s="4">
        <f t="shared" si="61"/>
        <v>1.2466666666666666</v>
      </c>
      <c r="Y243" s="11">
        <v>35</v>
      </c>
      <c r="Z243" s="45">
        <f t="shared" si="68"/>
        <v>0.81502208703408152</v>
      </c>
      <c r="AA243" s="46">
        <v>2775</v>
      </c>
      <c r="AB243" s="36">
        <f t="shared" si="62"/>
        <v>252.27272727272728</v>
      </c>
      <c r="AC243" s="36">
        <f t="shared" si="63"/>
        <v>205.6</v>
      </c>
      <c r="AD243" s="36">
        <f t="shared" si="64"/>
        <v>-46.672727272727286</v>
      </c>
      <c r="AE243" s="36">
        <v>-0.8</v>
      </c>
      <c r="AF243" s="36">
        <f t="shared" si="65"/>
        <v>204.8</v>
      </c>
      <c r="AG243" s="36"/>
      <c r="AH243" s="36">
        <f t="shared" si="66"/>
        <v>204.8</v>
      </c>
      <c r="AI243" s="36"/>
      <c r="AJ243" s="36">
        <f t="shared" si="67"/>
        <v>204.8</v>
      </c>
      <c r="AK243" s="9"/>
      <c r="AL243" s="9"/>
      <c r="AM243" s="9"/>
      <c r="AN243" s="9"/>
      <c r="AO243" s="9"/>
      <c r="AP243" s="9"/>
      <c r="AQ243" s="9"/>
      <c r="AR243" s="10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0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10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10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10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10"/>
      <c r="GC243" s="9"/>
      <c r="GD243" s="9"/>
    </row>
    <row r="244" spans="1:186" s="2" customFormat="1" ht="16.95" customHeight="1">
      <c r="A244" s="14" t="s">
        <v>240</v>
      </c>
      <c r="B244" s="36">
        <v>97300</v>
      </c>
      <c r="C244" s="36">
        <v>104949.3</v>
      </c>
      <c r="D244" s="4">
        <f t="shared" si="58"/>
        <v>1.0786156217882836</v>
      </c>
      <c r="E244" s="11">
        <v>10</v>
      </c>
      <c r="F244" s="5" t="s">
        <v>370</v>
      </c>
      <c r="G244" s="5" t="s">
        <v>370</v>
      </c>
      <c r="H244" s="5" t="s">
        <v>370</v>
      </c>
      <c r="I244" s="5" t="s">
        <v>370</v>
      </c>
      <c r="J244" s="5" t="s">
        <v>370</v>
      </c>
      <c r="K244" s="5" t="s">
        <v>370</v>
      </c>
      <c r="L244" s="5" t="s">
        <v>370</v>
      </c>
      <c r="M244" s="5" t="s">
        <v>370</v>
      </c>
      <c r="N244" s="36">
        <v>1922.1</v>
      </c>
      <c r="O244" s="36">
        <v>1086.0999999999999</v>
      </c>
      <c r="P244" s="4">
        <f t="shared" si="59"/>
        <v>0.56505904999739864</v>
      </c>
      <c r="Q244" s="11">
        <v>20</v>
      </c>
      <c r="R244" s="36">
        <v>12</v>
      </c>
      <c r="S244" s="36">
        <v>14.7</v>
      </c>
      <c r="T244" s="4">
        <f t="shared" si="60"/>
        <v>1.2024999999999999</v>
      </c>
      <c r="U244" s="11">
        <v>10</v>
      </c>
      <c r="V244" s="36">
        <v>2</v>
      </c>
      <c r="W244" s="36">
        <v>2.1</v>
      </c>
      <c r="X244" s="4">
        <f t="shared" si="61"/>
        <v>1.05</v>
      </c>
      <c r="Y244" s="11">
        <v>40</v>
      </c>
      <c r="Z244" s="45">
        <f t="shared" si="68"/>
        <v>0.95140421522288521</v>
      </c>
      <c r="AA244" s="46">
        <v>3349</v>
      </c>
      <c r="AB244" s="36">
        <f t="shared" si="62"/>
        <v>304.45454545454544</v>
      </c>
      <c r="AC244" s="36">
        <f t="shared" si="63"/>
        <v>289.7</v>
      </c>
      <c r="AD244" s="36">
        <f t="shared" si="64"/>
        <v>-14.75454545454545</v>
      </c>
      <c r="AE244" s="36">
        <v>-1.8</v>
      </c>
      <c r="AF244" s="36">
        <f t="shared" si="65"/>
        <v>287.89999999999998</v>
      </c>
      <c r="AG244" s="36"/>
      <c r="AH244" s="36">
        <f t="shared" si="66"/>
        <v>287.89999999999998</v>
      </c>
      <c r="AI244" s="36"/>
      <c r="AJ244" s="36">
        <f t="shared" si="67"/>
        <v>287.89999999999998</v>
      </c>
      <c r="AK244" s="9"/>
      <c r="AL244" s="9"/>
      <c r="AM244" s="9"/>
      <c r="AN244" s="9"/>
      <c r="AO244" s="9"/>
      <c r="AP244" s="9"/>
      <c r="AQ244" s="9"/>
      <c r="AR244" s="10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10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10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10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10"/>
      <c r="GC244" s="9"/>
      <c r="GD244" s="9"/>
    </row>
    <row r="245" spans="1:186" s="2" customFormat="1" ht="16.95" customHeight="1">
      <c r="A245" s="18" t="s">
        <v>241</v>
      </c>
      <c r="B245" s="6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9"/>
      <c r="AL245" s="9"/>
      <c r="AM245" s="9"/>
      <c r="AN245" s="9"/>
      <c r="AO245" s="9"/>
      <c r="AP245" s="9"/>
      <c r="AQ245" s="9"/>
      <c r="AR245" s="10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0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10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10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10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10"/>
      <c r="GC245" s="9"/>
      <c r="GD245" s="9"/>
    </row>
    <row r="246" spans="1:186" s="2" customFormat="1" ht="16.95" customHeight="1">
      <c r="A246" s="14" t="s">
        <v>242</v>
      </c>
      <c r="B246" s="36">
        <v>1751</v>
      </c>
      <c r="C246" s="36">
        <v>1899</v>
      </c>
      <c r="D246" s="4">
        <f t="shared" si="58"/>
        <v>1.0845231296402056</v>
      </c>
      <c r="E246" s="11">
        <v>10</v>
      </c>
      <c r="F246" s="5" t="s">
        <v>370</v>
      </c>
      <c r="G246" s="5" t="s">
        <v>370</v>
      </c>
      <c r="H246" s="5" t="s">
        <v>370</v>
      </c>
      <c r="I246" s="5" t="s">
        <v>370</v>
      </c>
      <c r="J246" s="5" t="s">
        <v>370</v>
      </c>
      <c r="K246" s="5" t="s">
        <v>370</v>
      </c>
      <c r="L246" s="5" t="s">
        <v>370</v>
      </c>
      <c r="M246" s="5" t="s">
        <v>370</v>
      </c>
      <c r="N246" s="36">
        <v>121.8</v>
      </c>
      <c r="O246" s="36">
        <v>86.2</v>
      </c>
      <c r="P246" s="4">
        <f t="shared" si="59"/>
        <v>0.70771756978653533</v>
      </c>
      <c r="Q246" s="11">
        <v>20</v>
      </c>
      <c r="R246" s="36">
        <v>92.6</v>
      </c>
      <c r="S246" s="36">
        <v>165.8</v>
      </c>
      <c r="T246" s="4">
        <f t="shared" si="60"/>
        <v>1.259049676025918</v>
      </c>
      <c r="U246" s="11">
        <v>20</v>
      </c>
      <c r="V246" s="36">
        <v>10.199999999999999</v>
      </c>
      <c r="W246" s="36">
        <v>10.9</v>
      </c>
      <c r="X246" s="4">
        <f t="shared" si="61"/>
        <v>1.0686274509803924</v>
      </c>
      <c r="Y246" s="11">
        <v>30</v>
      </c>
      <c r="Z246" s="45">
        <f t="shared" si="68"/>
        <v>1.0279924967757861</v>
      </c>
      <c r="AA246" s="46">
        <v>2839</v>
      </c>
      <c r="AB246" s="36">
        <f t="shared" si="62"/>
        <v>258.09090909090907</v>
      </c>
      <c r="AC246" s="36">
        <f t="shared" si="63"/>
        <v>265.3</v>
      </c>
      <c r="AD246" s="36">
        <f t="shared" si="64"/>
        <v>7.2090909090909463</v>
      </c>
      <c r="AE246" s="36">
        <v>-12.3</v>
      </c>
      <c r="AF246" s="36">
        <f t="shared" si="65"/>
        <v>253</v>
      </c>
      <c r="AG246" s="36"/>
      <c r="AH246" s="36">
        <f t="shared" si="66"/>
        <v>253</v>
      </c>
      <c r="AI246" s="36"/>
      <c r="AJ246" s="36">
        <f t="shared" si="67"/>
        <v>253</v>
      </c>
      <c r="AK246" s="9"/>
      <c r="AL246" s="9"/>
      <c r="AM246" s="9"/>
      <c r="AN246" s="9"/>
      <c r="AO246" s="9"/>
      <c r="AP246" s="9"/>
      <c r="AQ246" s="9"/>
      <c r="AR246" s="10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10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10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10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10"/>
      <c r="GC246" s="9"/>
      <c r="GD246" s="9"/>
    </row>
    <row r="247" spans="1:186" s="2" customFormat="1" ht="16.95" customHeight="1">
      <c r="A247" s="14" t="s">
        <v>243</v>
      </c>
      <c r="B247" s="36">
        <v>0</v>
      </c>
      <c r="C247" s="36">
        <v>0</v>
      </c>
      <c r="D247" s="4">
        <f t="shared" si="58"/>
        <v>0</v>
      </c>
      <c r="E247" s="11">
        <v>0</v>
      </c>
      <c r="F247" s="5" t="s">
        <v>370</v>
      </c>
      <c r="G247" s="5" t="s">
        <v>370</v>
      </c>
      <c r="H247" s="5" t="s">
        <v>370</v>
      </c>
      <c r="I247" s="5" t="s">
        <v>370</v>
      </c>
      <c r="J247" s="5" t="s">
        <v>370</v>
      </c>
      <c r="K247" s="5" t="s">
        <v>370</v>
      </c>
      <c r="L247" s="5" t="s">
        <v>370</v>
      </c>
      <c r="M247" s="5" t="s">
        <v>370</v>
      </c>
      <c r="N247" s="36">
        <v>97.5</v>
      </c>
      <c r="O247" s="36">
        <v>195</v>
      </c>
      <c r="P247" s="4">
        <f t="shared" si="59"/>
        <v>1.28</v>
      </c>
      <c r="Q247" s="11">
        <v>20</v>
      </c>
      <c r="R247" s="36">
        <v>5.6</v>
      </c>
      <c r="S247" s="36">
        <v>4.4000000000000004</v>
      </c>
      <c r="T247" s="4">
        <f t="shared" si="60"/>
        <v>0.78571428571428581</v>
      </c>
      <c r="U247" s="11">
        <v>10</v>
      </c>
      <c r="V247" s="36">
        <v>7.3</v>
      </c>
      <c r="W247" s="36">
        <v>7.5</v>
      </c>
      <c r="X247" s="4">
        <f t="shared" si="61"/>
        <v>1.0273972602739727</v>
      </c>
      <c r="Y247" s="11">
        <v>40</v>
      </c>
      <c r="Z247" s="45">
        <f t="shared" si="68"/>
        <v>1.0650433324014537</v>
      </c>
      <c r="AA247" s="46">
        <v>2144</v>
      </c>
      <c r="AB247" s="36">
        <f t="shared" si="62"/>
        <v>194.90909090909091</v>
      </c>
      <c r="AC247" s="36">
        <f t="shared" si="63"/>
        <v>207.6</v>
      </c>
      <c r="AD247" s="36">
        <f t="shared" si="64"/>
        <v>12.690909090909088</v>
      </c>
      <c r="AE247" s="36">
        <v>-1.1000000000000001</v>
      </c>
      <c r="AF247" s="36">
        <f t="shared" si="65"/>
        <v>206.5</v>
      </c>
      <c r="AG247" s="36"/>
      <c r="AH247" s="36">
        <f t="shared" si="66"/>
        <v>206.5</v>
      </c>
      <c r="AI247" s="36"/>
      <c r="AJ247" s="36">
        <f t="shared" si="67"/>
        <v>206.5</v>
      </c>
      <c r="AK247" s="9"/>
      <c r="AL247" s="9"/>
      <c r="AM247" s="9"/>
      <c r="AN247" s="9"/>
      <c r="AO247" s="9"/>
      <c r="AP247" s="9"/>
      <c r="AQ247" s="9"/>
      <c r="AR247" s="10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0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10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10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10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10"/>
      <c r="GC247" s="9"/>
      <c r="GD247" s="9"/>
    </row>
    <row r="248" spans="1:186" s="2" customFormat="1" ht="16.95" customHeight="1">
      <c r="A248" s="14" t="s">
        <v>244</v>
      </c>
      <c r="B248" s="36">
        <v>326</v>
      </c>
      <c r="C248" s="36">
        <v>591</v>
      </c>
      <c r="D248" s="4">
        <f t="shared" si="58"/>
        <v>1.2612883435582822</v>
      </c>
      <c r="E248" s="11">
        <v>10</v>
      </c>
      <c r="F248" s="5" t="s">
        <v>370</v>
      </c>
      <c r="G248" s="5" t="s">
        <v>370</v>
      </c>
      <c r="H248" s="5" t="s">
        <v>370</v>
      </c>
      <c r="I248" s="5" t="s">
        <v>370</v>
      </c>
      <c r="J248" s="5" t="s">
        <v>370</v>
      </c>
      <c r="K248" s="5" t="s">
        <v>370</v>
      </c>
      <c r="L248" s="5" t="s">
        <v>370</v>
      </c>
      <c r="M248" s="5" t="s">
        <v>370</v>
      </c>
      <c r="N248" s="36">
        <v>167.3</v>
      </c>
      <c r="O248" s="36">
        <v>239.3</v>
      </c>
      <c r="P248" s="4">
        <f t="shared" si="59"/>
        <v>1.2230364614465032</v>
      </c>
      <c r="Q248" s="11">
        <v>20</v>
      </c>
      <c r="R248" s="36">
        <v>34.299999999999997</v>
      </c>
      <c r="S248" s="36">
        <v>38.9</v>
      </c>
      <c r="T248" s="4">
        <f t="shared" si="60"/>
        <v>1.1341107871720117</v>
      </c>
      <c r="U248" s="11">
        <v>25</v>
      </c>
      <c r="V248" s="36">
        <v>6.3</v>
      </c>
      <c r="W248" s="36">
        <v>6.6</v>
      </c>
      <c r="X248" s="4">
        <f t="shared" si="61"/>
        <v>1.0476190476190477</v>
      </c>
      <c r="Y248" s="11">
        <v>25</v>
      </c>
      <c r="Z248" s="45">
        <f t="shared" si="68"/>
        <v>1.1452107316786171</v>
      </c>
      <c r="AA248" s="46">
        <v>1546</v>
      </c>
      <c r="AB248" s="36">
        <f t="shared" si="62"/>
        <v>140.54545454545453</v>
      </c>
      <c r="AC248" s="36">
        <f t="shared" si="63"/>
        <v>161</v>
      </c>
      <c r="AD248" s="36">
        <f t="shared" si="64"/>
        <v>20.454545454545467</v>
      </c>
      <c r="AE248" s="36">
        <v>0</v>
      </c>
      <c r="AF248" s="36">
        <f t="shared" si="65"/>
        <v>161</v>
      </c>
      <c r="AG248" s="36"/>
      <c r="AH248" s="36">
        <f t="shared" si="66"/>
        <v>161</v>
      </c>
      <c r="AI248" s="36"/>
      <c r="AJ248" s="36">
        <f t="shared" si="67"/>
        <v>161</v>
      </c>
      <c r="AK248" s="9"/>
      <c r="AL248" s="9"/>
      <c r="AM248" s="9"/>
      <c r="AN248" s="9"/>
      <c r="AO248" s="9"/>
      <c r="AP248" s="9"/>
      <c r="AQ248" s="9"/>
      <c r="AR248" s="10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0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10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10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10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10"/>
      <c r="GC248" s="9"/>
      <c r="GD248" s="9"/>
    </row>
    <row r="249" spans="1:186" s="2" customFormat="1" ht="16.95" customHeight="1">
      <c r="A249" s="14" t="s">
        <v>245</v>
      </c>
      <c r="B249" s="36">
        <v>0</v>
      </c>
      <c r="C249" s="36">
        <v>0</v>
      </c>
      <c r="D249" s="4">
        <f t="shared" si="58"/>
        <v>0</v>
      </c>
      <c r="E249" s="11">
        <v>0</v>
      </c>
      <c r="F249" s="5" t="s">
        <v>370</v>
      </c>
      <c r="G249" s="5" t="s">
        <v>370</v>
      </c>
      <c r="H249" s="5" t="s">
        <v>370</v>
      </c>
      <c r="I249" s="5" t="s">
        <v>370</v>
      </c>
      <c r="J249" s="5" t="s">
        <v>370</v>
      </c>
      <c r="K249" s="5" t="s">
        <v>370</v>
      </c>
      <c r="L249" s="5" t="s">
        <v>370</v>
      </c>
      <c r="M249" s="5" t="s">
        <v>370</v>
      </c>
      <c r="N249" s="36">
        <v>873.2</v>
      </c>
      <c r="O249" s="36">
        <v>166.6</v>
      </c>
      <c r="P249" s="4">
        <f t="shared" si="59"/>
        <v>0.19079248740265689</v>
      </c>
      <c r="Q249" s="11">
        <v>20</v>
      </c>
      <c r="R249" s="36">
        <v>15.8</v>
      </c>
      <c r="S249" s="36">
        <v>18.5</v>
      </c>
      <c r="T249" s="4">
        <f t="shared" si="60"/>
        <v>1.1708860759493671</v>
      </c>
      <c r="U249" s="11">
        <v>20</v>
      </c>
      <c r="V249" s="36">
        <v>16.899999999999999</v>
      </c>
      <c r="W249" s="36">
        <v>17.399999999999999</v>
      </c>
      <c r="X249" s="4">
        <f t="shared" si="61"/>
        <v>1.029585798816568</v>
      </c>
      <c r="Y249" s="11">
        <v>30</v>
      </c>
      <c r="Z249" s="45">
        <f t="shared" si="68"/>
        <v>0.8303020747362504</v>
      </c>
      <c r="AA249" s="46">
        <v>1790</v>
      </c>
      <c r="AB249" s="36">
        <f t="shared" si="62"/>
        <v>162.72727272727272</v>
      </c>
      <c r="AC249" s="36">
        <f t="shared" si="63"/>
        <v>135.1</v>
      </c>
      <c r="AD249" s="36">
        <f t="shared" si="64"/>
        <v>-27.627272727272725</v>
      </c>
      <c r="AE249" s="36">
        <v>-0.3</v>
      </c>
      <c r="AF249" s="36">
        <f t="shared" si="65"/>
        <v>134.80000000000001</v>
      </c>
      <c r="AG249" s="36"/>
      <c r="AH249" s="36">
        <f t="shared" si="66"/>
        <v>134.80000000000001</v>
      </c>
      <c r="AI249" s="36"/>
      <c r="AJ249" s="36">
        <f t="shared" si="67"/>
        <v>134.80000000000001</v>
      </c>
      <c r="AK249" s="9"/>
      <c r="AL249" s="9"/>
      <c r="AM249" s="9"/>
      <c r="AN249" s="9"/>
      <c r="AO249" s="9"/>
      <c r="AP249" s="9"/>
      <c r="AQ249" s="9"/>
      <c r="AR249" s="10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0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10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10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10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10"/>
      <c r="GC249" s="9"/>
      <c r="GD249" s="9"/>
    </row>
    <row r="250" spans="1:186" s="2" customFormat="1" ht="16.95" customHeight="1">
      <c r="A250" s="14" t="s">
        <v>246</v>
      </c>
      <c r="B250" s="36">
        <v>0</v>
      </c>
      <c r="C250" s="36">
        <v>0</v>
      </c>
      <c r="D250" s="4">
        <f t="shared" si="58"/>
        <v>0</v>
      </c>
      <c r="E250" s="11">
        <v>0</v>
      </c>
      <c r="F250" s="5" t="s">
        <v>370</v>
      </c>
      <c r="G250" s="5" t="s">
        <v>370</v>
      </c>
      <c r="H250" s="5" t="s">
        <v>370</v>
      </c>
      <c r="I250" s="5" t="s">
        <v>370</v>
      </c>
      <c r="J250" s="5" t="s">
        <v>370</v>
      </c>
      <c r="K250" s="5" t="s">
        <v>370</v>
      </c>
      <c r="L250" s="5" t="s">
        <v>370</v>
      </c>
      <c r="M250" s="5" t="s">
        <v>370</v>
      </c>
      <c r="N250" s="36">
        <v>477.7</v>
      </c>
      <c r="O250" s="36">
        <v>162</v>
      </c>
      <c r="P250" s="4">
        <f t="shared" si="59"/>
        <v>0.33912497383294954</v>
      </c>
      <c r="Q250" s="11">
        <v>20</v>
      </c>
      <c r="R250" s="36">
        <v>8.1</v>
      </c>
      <c r="S250" s="36">
        <v>8.1</v>
      </c>
      <c r="T250" s="4">
        <f t="shared" si="60"/>
        <v>1</v>
      </c>
      <c r="U250" s="11">
        <v>25</v>
      </c>
      <c r="V250" s="36">
        <v>1.5</v>
      </c>
      <c r="W250" s="36">
        <v>3</v>
      </c>
      <c r="X250" s="4">
        <f t="shared" si="61"/>
        <v>1.28</v>
      </c>
      <c r="Y250" s="11">
        <v>25</v>
      </c>
      <c r="Z250" s="45">
        <f t="shared" si="68"/>
        <v>0.91117856395227126</v>
      </c>
      <c r="AA250" s="46">
        <v>1763</v>
      </c>
      <c r="AB250" s="36">
        <f t="shared" si="62"/>
        <v>160.27272727272728</v>
      </c>
      <c r="AC250" s="36">
        <f t="shared" si="63"/>
        <v>146</v>
      </c>
      <c r="AD250" s="36">
        <f t="shared" si="64"/>
        <v>-14.27272727272728</v>
      </c>
      <c r="AE250" s="36">
        <v>0</v>
      </c>
      <c r="AF250" s="36">
        <f t="shared" si="65"/>
        <v>146</v>
      </c>
      <c r="AG250" s="36"/>
      <c r="AH250" s="36">
        <f t="shared" si="66"/>
        <v>146</v>
      </c>
      <c r="AI250" s="36"/>
      <c r="AJ250" s="36">
        <f t="shared" si="67"/>
        <v>146</v>
      </c>
      <c r="AK250" s="9"/>
      <c r="AL250" s="9"/>
      <c r="AM250" s="9"/>
      <c r="AN250" s="9"/>
      <c r="AO250" s="9"/>
      <c r="AP250" s="9"/>
      <c r="AQ250" s="9"/>
      <c r="AR250" s="10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0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10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10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10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10"/>
      <c r="GC250" s="9"/>
      <c r="GD250" s="9"/>
    </row>
    <row r="251" spans="1:186" s="2" customFormat="1" ht="16.95" customHeight="1">
      <c r="A251" s="14" t="s">
        <v>247</v>
      </c>
      <c r="B251" s="36">
        <v>0</v>
      </c>
      <c r="C251" s="36">
        <v>0</v>
      </c>
      <c r="D251" s="4">
        <f t="shared" si="58"/>
        <v>0</v>
      </c>
      <c r="E251" s="11">
        <v>0</v>
      </c>
      <c r="F251" s="5" t="s">
        <v>370</v>
      </c>
      <c r="G251" s="5" t="s">
        <v>370</v>
      </c>
      <c r="H251" s="5" t="s">
        <v>370</v>
      </c>
      <c r="I251" s="5" t="s">
        <v>370</v>
      </c>
      <c r="J251" s="5" t="s">
        <v>370</v>
      </c>
      <c r="K251" s="5" t="s">
        <v>370</v>
      </c>
      <c r="L251" s="5" t="s">
        <v>370</v>
      </c>
      <c r="M251" s="5" t="s">
        <v>370</v>
      </c>
      <c r="N251" s="36">
        <v>157.6</v>
      </c>
      <c r="O251" s="36">
        <v>172.1</v>
      </c>
      <c r="P251" s="4">
        <f t="shared" si="59"/>
        <v>1.092005076142132</v>
      </c>
      <c r="Q251" s="11">
        <v>20</v>
      </c>
      <c r="R251" s="36">
        <v>41</v>
      </c>
      <c r="S251" s="36">
        <v>41.6</v>
      </c>
      <c r="T251" s="4">
        <f t="shared" si="60"/>
        <v>1.0146341463414634</v>
      </c>
      <c r="U251" s="11">
        <v>40</v>
      </c>
      <c r="V251" s="36">
        <v>1.9</v>
      </c>
      <c r="W251" s="36">
        <v>1.3</v>
      </c>
      <c r="X251" s="4">
        <f t="shared" si="61"/>
        <v>0.68421052631578949</v>
      </c>
      <c r="Y251" s="11">
        <v>10</v>
      </c>
      <c r="Z251" s="45">
        <f t="shared" si="68"/>
        <v>0.98953675199512947</v>
      </c>
      <c r="AA251" s="46">
        <v>1745</v>
      </c>
      <c r="AB251" s="36">
        <f t="shared" si="62"/>
        <v>158.63636363636363</v>
      </c>
      <c r="AC251" s="36">
        <f t="shared" si="63"/>
        <v>157</v>
      </c>
      <c r="AD251" s="36">
        <f t="shared" si="64"/>
        <v>-1.636363636363626</v>
      </c>
      <c r="AE251" s="36">
        <v>21.1</v>
      </c>
      <c r="AF251" s="36">
        <f t="shared" si="65"/>
        <v>178.1</v>
      </c>
      <c r="AG251" s="36"/>
      <c r="AH251" s="36">
        <f t="shared" si="66"/>
        <v>178.1</v>
      </c>
      <c r="AI251" s="36"/>
      <c r="AJ251" s="36">
        <f t="shared" si="67"/>
        <v>178.1</v>
      </c>
      <c r="AK251" s="9"/>
      <c r="AL251" s="9"/>
      <c r="AM251" s="9"/>
      <c r="AN251" s="9"/>
      <c r="AO251" s="9"/>
      <c r="AP251" s="9"/>
      <c r="AQ251" s="9"/>
      <c r="AR251" s="10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0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10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10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10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10"/>
      <c r="GC251" s="9"/>
      <c r="GD251" s="9"/>
    </row>
    <row r="252" spans="1:186" s="2" customFormat="1" ht="16.95" customHeight="1">
      <c r="A252" s="14" t="s">
        <v>248</v>
      </c>
      <c r="B252" s="36">
        <v>0</v>
      </c>
      <c r="C252" s="36">
        <v>0</v>
      </c>
      <c r="D252" s="4">
        <f t="shared" si="58"/>
        <v>0</v>
      </c>
      <c r="E252" s="11">
        <v>0</v>
      </c>
      <c r="F252" s="5" t="s">
        <v>370</v>
      </c>
      <c r="G252" s="5" t="s">
        <v>370</v>
      </c>
      <c r="H252" s="5" t="s">
        <v>370</v>
      </c>
      <c r="I252" s="5" t="s">
        <v>370</v>
      </c>
      <c r="J252" s="5" t="s">
        <v>370</v>
      </c>
      <c r="K252" s="5" t="s">
        <v>370</v>
      </c>
      <c r="L252" s="5" t="s">
        <v>370</v>
      </c>
      <c r="M252" s="5" t="s">
        <v>370</v>
      </c>
      <c r="N252" s="36">
        <v>238.5</v>
      </c>
      <c r="O252" s="36">
        <v>182</v>
      </c>
      <c r="P252" s="4">
        <f t="shared" si="59"/>
        <v>0.76310272536687629</v>
      </c>
      <c r="Q252" s="11">
        <v>20</v>
      </c>
      <c r="R252" s="36">
        <v>16.7</v>
      </c>
      <c r="S252" s="36">
        <v>16.7</v>
      </c>
      <c r="T252" s="4">
        <f t="shared" si="60"/>
        <v>1</v>
      </c>
      <c r="U252" s="11">
        <v>25</v>
      </c>
      <c r="V252" s="36">
        <v>3.7</v>
      </c>
      <c r="W252" s="36">
        <v>6.4</v>
      </c>
      <c r="X252" s="4">
        <f t="shared" si="61"/>
        <v>1.2529729729729731</v>
      </c>
      <c r="Y252" s="11">
        <v>25</v>
      </c>
      <c r="Z252" s="45">
        <f t="shared" si="68"/>
        <v>1.0226625547380264</v>
      </c>
      <c r="AA252" s="46">
        <v>3012</v>
      </c>
      <c r="AB252" s="36">
        <f t="shared" si="62"/>
        <v>273.81818181818181</v>
      </c>
      <c r="AC252" s="36">
        <f t="shared" si="63"/>
        <v>280</v>
      </c>
      <c r="AD252" s="36">
        <f t="shared" si="64"/>
        <v>6.181818181818187</v>
      </c>
      <c r="AE252" s="36">
        <v>1.8</v>
      </c>
      <c r="AF252" s="36">
        <f t="shared" si="65"/>
        <v>281.8</v>
      </c>
      <c r="AG252" s="36"/>
      <c r="AH252" s="36">
        <f t="shared" si="66"/>
        <v>281.8</v>
      </c>
      <c r="AI252" s="36"/>
      <c r="AJ252" s="36">
        <f t="shared" si="67"/>
        <v>281.8</v>
      </c>
      <c r="AK252" s="9"/>
      <c r="AL252" s="9"/>
      <c r="AM252" s="9"/>
      <c r="AN252" s="9"/>
      <c r="AO252" s="9"/>
      <c r="AP252" s="9"/>
      <c r="AQ252" s="9"/>
      <c r="AR252" s="10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0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10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10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10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10"/>
      <c r="GC252" s="9"/>
      <c r="GD252" s="9"/>
    </row>
    <row r="253" spans="1:186" s="2" customFormat="1" ht="16.95" customHeight="1">
      <c r="A253" s="14" t="s">
        <v>249</v>
      </c>
      <c r="B253" s="36">
        <v>0</v>
      </c>
      <c r="C253" s="36">
        <v>0</v>
      </c>
      <c r="D253" s="4">
        <f t="shared" si="58"/>
        <v>0</v>
      </c>
      <c r="E253" s="11">
        <v>0</v>
      </c>
      <c r="F253" s="5" t="s">
        <v>370</v>
      </c>
      <c r="G253" s="5" t="s">
        <v>370</v>
      </c>
      <c r="H253" s="5" t="s">
        <v>370</v>
      </c>
      <c r="I253" s="5" t="s">
        <v>370</v>
      </c>
      <c r="J253" s="5" t="s">
        <v>370</v>
      </c>
      <c r="K253" s="5" t="s">
        <v>370</v>
      </c>
      <c r="L253" s="5" t="s">
        <v>370</v>
      </c>
      <c r="M253" s="5" t="s">
        <v>370</v>
      </c>
      <c r="N253" s="36">
        <v>270.39999999999998</v>
      </c>
      <c r="O253" s="36">
        <v>341.7</v>
      </c>
      <c r="P253" s="4">
        <f t="shared" si="59"/>
        <v>1.2063683431952663</v>
      </c>
      <c r="Q253" s="11">
        <v>20</v>
      </c>
      <c r="R253" s="36">
        <v>94.3</v>
      </c>
      <c r="S253" s="36">
        <v>100.1</v>
      </c>
      <c r="T253" s="4">
        <f t="shared" si="60"/>
        <v>1.0615058324496287</v>
      </c>
      <c r="U253" s="11">
        <v>20</v>
      </c>
      <c r="V253" s="36">
        <v>21.6</v>
      </c>
      <c r="W253" s="36">
        <v>21.9</v>
      </c>
      <c r="X253" s="4">
        <f t="shared" si="61"/>
        <v>1.0138888888888888</v>
      </c>
      <c r="Y253" s="11">
        <v>30</v>
      </c>
      <c r="Z253" s="45">
        <f t="shared" si="68"/>
        <v>1.0824878597080654</v>
      </c>
      <c r="AA253" s="46">
        <v>1906</v>
      </c>
      <c r="AB253" s="36">
        <f t="shared" si="62"/>
        <v>173.27272727272728</v>
      </c>
      <c r="AC253" s="36">
        <f t="shared" si="63"/>
        <v>187.6</v>
      </c>
      <c r="AD253" s="36">
        <f t="shared" si="64"/>
        <v>14.327272727272714</v>
      </c>
      <c r="AE253" s="36">
        <v>9.9</v>
      </c>
      <c r="AF253" s="36">
        <f t="shared" si="65"/>
        <v>197.5</v>
      </c>
      <c r="AG253" s="36"/>
      <c r="AH253" s="36">
        <f t="shared" si="66"/>
        <v>197.5</v>
      </c>
      <c r="AI253" s="36"/>
      <c r="AJ253" s="36">
        <f t="shared" si="67"/>
        <v>197.5</v>
      </c>
      <c r="AK253" s="9"/>
      <c r="AL253" s="9"/>
      <c r="AM253" s="9"/>
      <c r="AN253" s="9"/>
      <c r="AO253" s="9"/>
      <c r="AP253" s="9"/>
      <c r="AQ253" s="9"/>
      <c r="AR253" s="10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0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10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10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10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10"/>
      <c r="GC253" s="9"/>
      <c r="GD253" s="9"/>
    </row>
    <row r="254" spans="1:186" s="2" customFormat="1" ht="16.95" customHeight="1">
      <c r="A254" s="14" t="s">
        <v>250</v>
      </c>
      <c r="B254" s="36">
        <v>9530</v>
      </c>
      <c r="C254" s="36">
        <v>12498</v>
      </c>
      <c r="D254" s="4">
        <f t="shared" si="58"/>
        <v>1.211143756558237</v>
      </c>
      <c r="E254" s="11">
        <v>10</v>
      </c>
      <c r="F254" s="5" t="s">
        <v>370</v>
      </c>
      <c r="G254" s="5" t="s">
        <v>370</v>
      </c>
      <c r="H254" s="5" t="s">
        <v>370</v>
      </c>
      <c r="I254" s="5" t="s">
        <v>370</v>
      </c>
      <c r="J254" s="5" t="s">
        <v>370</v>
      </c>
      <c r="K254" s="5" t="s">
        <v>370</v>
      </c>
      <c r="L254" s="5" t="s">
        <v>370</v>
      </c>
      <c r="M254" s="5" t="s">
        <v>370</v>
      </c>
      <c r="N254" s="36">
        <v>380</v>
      </c>
      <c r="O254" s="36">
        <v>276.2</v>
      </c>
      <c r="P254" s="4">
        <f t="shared" si="59"/>
        <v>0.72684210526315784</v>
      </c>
      <c r="Q254" s="11">
        <v>20</v>
      </c>
      <c r="R254" s="36">
        <v>20.7</v>
      </c>
      <c r="S254" s="36">
        <v>20.7</v>
      </c>
      <c r="T254" s="4">
        <f t="shared" si="60"/>
        <v>1</v>
      </c>
      <c r="U254" s="11">
        <v>25</v>
      </c>
      <c r="V254" s="36">
        <v>1.5</v>
      </c>
      <c r="W254" s="36">
        <v>1.5</v>
      </c>
      <c r="X254" s="4">
        <f t="shared" si="61"/>
        <v>1</v>
      </c>
      <c r="Y254" s="11">
        <v>25</v>
      </c>
      <c r="Z254" s="45">
        <f t="shared" si="68"/>
        <v>0.95810349588556909</v>
      </c>
      <c r="AA254" s="46">
        <v>3833</v>
      </c>
      <c r="AB254" s="36">
        <f t="shared" si="62"/>
        <v>348.45454545454544</v>
      </c>
      <c r="AC254" s="36">
        <f t="shared" si="63"/>
        <v>333.9</v>
      </c>
      <c r="AD254" s="36">
        <f t="shared" si="64"/>
        <v>-14.554545454545462</v>
      </c>
      <c r="AE254" s="36">
        <v>-6.4</v>
      </c>
      <c r="AF254" s="36">
        <f t="shared" si="65"/>
        <v>327.5</v>
      </c>
      <c r="AG254" s="36"/>
      <c r="AH254" s="36">
        <f t="shared" si="66"/>
        <v>327.5</v>
      </c>
      <c r="AI254" s="36"/>
      <c r="AJ254" s="36">
        <f t="shared" si="67"/>
        <v>327.5</v>
      </c>
      <c r="AK254" s="9"/>
      <c r="AL254" s="9"/>
      <c r="AM254" s="9"/>
      <c r="AN254" s="9"/>
      <c r="AO254" s="9"/>
      <c r="AP254" s="9"/>
      <c r="AQ254" s="9"/>
      <c r="AR254" s="10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0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10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10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10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10"/>
      <c r="GC254" s="9"/>
      <c r="GD254" s="9"/>
    </row>
    <row r="255" spans="1:186" s="2" customFormat="1" ht="16.95" customHeight="1">
      <c r="A255" s="14" t="s">
        <v>251</v>
      </c>
      <c r="B255" s="36">
        <v>0</v>
      </c>
      <c r="C255" s="36">
        <v>0</v>
      </c>
      <c r="D255" s="4">
        <f t="shared" si="58"/>
        <v>0</v>
      </c>
      <c r="E255" s="11">
        <v>0</v>
      </c>
      <c r="F255" s="5" t="s">
        <v>370</v>
      </c>
      <c r="G255" s="5" t="s">
        <v>370</v>
      </c>
      <c r="H255" s="5" t="s">
        <v>370</v>
      </c>
      <c r="I255" s="5" t="s">
        <v>370</v>
      </c>
      <c r="J255" s="5" t="s">
        <v>370</v>
      </c>
      <c r="K255" s="5" t="s">
        <v>370</v>
      </c>
      <c r="L255" s="5" t="s">
        <v>370</v>
      </c>
      <c r="M255" s="5" t="s">
        <v>370</v>
      </c>
      <c r="N255" s="36">
        <v>242.1</v>
      </c>
      <c r="O255" s="36">
        <v>398.6</v>
      </c>
      <c r="P255" s="4">
        <f t="shared" si="59"/>
        <v>1.2446427096241222</v>
      </c>
      <c r="Q255" s="11">
        <v>20</v>
      </c>
      <c r="R255" s="36">
        <v>2</v>
      </c>
      <c r="S255" s="36">
        <v>2.1</v>
      </c>
      <c r="T255" s="4">
        <f t="shared" si="60"/>
        <v>1.05</v>
      </c>
      <c r="U255" s="11">
        <v>20</v>
      </c>
      <c r="V255" s="36">
        <v>1.9</v>
      </c>
      <c r="W255" s="36">
        <v>2.1</v>
      </c>
      <c r="X255" s="4">
        <f t="shared" si="61"/>
        <v>1.1052631578947369</v>
      </c>
      <c r="Y255" s="11">
        <v>30</v>
      </c>
      <c r="Z255" s="45">
        <f t="shared" si="68"/>
        <v>1.129296413276065</v>
      </c>
      <c r="AA255" s="46">
        <v>2174</v>
      </c>
      <c r="AB255" s="36">
        <f t="shared" si="62"/>
        <v>197.63636363636363</v>
      </c>
      <c r="AC255" s="36">
        <f t="shared" si="63"/>
        <v>223.2</v>
      </c>
      <c r="AD255" s="36">
        <f t="shared" si="64"/>
        <v>25.563636363636363</v>
      </c>
      <c r="AE255" s="36">
        <v>8.4</v>
      </c>
      <c r="AF255" s="36">
        <f t="shared" si="65"/>
        <v>231.6</v>
      </c>
      <c r="AG255" s="36">
        <f>MIN(AF255,69.5)</f>
        <v>69.5</v>
      </c>
      <c r="AH255" s="36">
        <f t="shared" si="66"/>
        <v>162.1</v>
      </c>
      <c r="AI255" s="36"/>
      <c r="AJ255" s="36">
        <f t="shared" si="67"/>
        <v>162.1</v>
      </c>
      <c r="AK255" s="9"/>
      <c r="AL255" s="9"/>
      <c r="AM255" s="9"/>
      <c r="AN255" s="9"/>
      <c r="AO255" s="9"/>
      <c r="AP255" s="9"/>
      <c r="AQ255" s="9"/>
      <c r="AR255" s="10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0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10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10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10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10"/>
      <c r="GC255" s="9"/>
      <c r="GD255" s="9"/>
    </row>
    <row r="256" spans="1:186" s="2" customFormat="1" ht="16.95" customHeight="1">
      <c r="A256" s="14" t="s">
        <v>252</v>
      </c>
      <c r="B256" s="36">
        <v>1212</v>
      </c>
      <c r="C256" s="36">
        <v>1375</v>
      </c>
      <c r="D256" s="4">
        <f t="shared" si="58"/>
        <v>1.1344884488448845</v>
      </c>
      <c r="E256" s="11">
        <v>10</v>
      </c>
      <c r="F256" s="5" t="s">
        <v>370</v>
      </c>
      <c r="G256" s="5" t="s">
        <v>370</v>
      </c>
      <c r="H256" s="5" t="s">
        <v>370</v>
      </c>
      <c r="I256" s="5" t="s">
        <v>370</v>
      </c>
      <c r="J256" s="5" t="s">
        <v>370</v>
      </c>
      <c r="K256" s="5" t="s">
        <v>370</v>
      </c>
      <c r="L256" s="5" t="s">
        <v>370</v>
      </c>
      <c r="M256" s="5" t="s">
        <v>370</v>
      </c>
      <c r="N256" s="36">
        <v>1225.3</v>
      </c>
      <c r="O256" s="36">
        <v>350.2</v>
      </c>
      <c r="P256" s="4">
        <f t="shared" si="59"/>
        <v>0.28580755733289809</v>
      </c>
      <c r="Q256" s="11">
        <v>20</v>
      </c>
      <c r="R256" s="36">
        <v>443.9</v>
      </c>
      <c r="S256" s="36">
        <v>330.2</v>
      </c>
      <c r="T256" s="4">
        <f t="shared" si="60"/>
        <v>0.7438612300067583</v>
      </c>
      <c r="U256" s="11">
        <v>10</v>
      </c>
      <c r="V256" s="36">
        <v>470.4</v>
      </c>
      <c r="W256" s="36">
        <v>463</v>
      </c>
      <c r="X256" s="4">
        <f t="shared" si="61"/>
        <v>0.98426870748299322</v>
      </c>
      <c r="Y256" s="11">
        <v>40</v>
      </c>
      <c r="Z256" s="45">
        <f t="shared" si="68"/>
        <v>0.79837995293117647</v>
      </c>
      <c r="AA256" s="46">
        <v>2647</v>
      </c>
      <c r="AB256" s="36">
        <f t="shared" si="62"/>
        <v>240.63636363636363</v>
      </c>
      <c r="AC256" s="36">
        <f t="shared" si="63"/>
        <v>192.1</v>
      </c>
      <c r="AD256" s="36">
        <f t="shared" si="64"/>
        <v>-48.536363636363632</v>
      </c>
      <c r="AE256" s="36">
        <v>-5.2</v>
      </c>
      <c r="AF256" s="36">
        <f t="shared" si="65"/>
        <v>186.9</v>
      </c>
      <c r="AG256" s="36"/>
      <c r="AH256" s="36">
        <f t="shared" si="66"/>
        <v>186.9</v>
      </c>
      <c r="AI256" s="36"/>
      <c r="AJ256" s="36">
        <f t="shared" si="67"/>
        <v>186.9</v>
      </c>
      <c r="AK256" s="9"/>
      <c r="AL256" s="9"/>
      <c r="AM256" s="9"/>
      <c r="AN256" s="9"/>
      <c r="AO256" s="9"/>
      <c r="AP256" s="9"/>
      <c r="AQ256" s="9"/>
      <c r="AR256" s="10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0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10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10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10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10"/>
      <c r="GC256" s="9"/>
      <c r="GD256" s="9"/>
    </row>
    <row r="257" spans="1:186" s="2" customFormat="1" ht="16.95" customHeight="1">
      <c r="A257" s="14" t="s">
        <v>253</v>
      </c>
      <c r="B257" s="36">
        <v>0</v>
      </c>
      <c r="C257" s="36">
        <v>0</v>
      </c>
      <c r="D257" s="4">
        <f t="shared" si="58"/>
        <v>0</v>
      </c>
      <c r="E257" s="11">
        <v>0</v>
      </c>
      <c r="F257" s="5" t="s">
        <v>370</v>
      </c>
      <c r="G257" s="5" t="s">
        <v>370</v>
      </c>
      <c r="H257" s="5" t="s">
        <v>370</v>
      </c>
      <c r="I257" s="5" t="s">
        <v>370</v>
      </c>
      <c r="J257" s="5" t="s">
        <v>370</v>
      </c>
      <c r="K257" s="5" t="s">
        <v>370</v>
      </c>
      <c r="L257" s="5" t="s">
        <v>370</v>
      </c>
      <c r="M257" s="5" t="s">
        <v>370</v>
      </c>
      <c r="N257" s="36">
        <v>278.60000000000002</v>
      </c>
      <c r="O257" s="36">
        <v>176.7</v>
      </c>
      <c r="P257" s="4">
        <f t="shared" si="59"/>
        <v>0.63424264178033019</v>
      </c>
      <c r="Q257" s="11">
        <v>20</v>
      </c>
      <c r="R257" s="36">
        <v>104.7</v>
      </c>
      <c r="S257" s="36">
        <v>109.8</v>
      </c>
      <c r="T257" s="4">
        <f t="shared" si="60"/>
        <v>1.0487106017191976</v>
      </c>
      <c r="U257" s="11">
        <v>30</v>
      </c>
      <c r="V257" s="36">
        <v>13</v>
      </c>
      <c r="W257" s="36">
        <v>13.7</v>
      </c>
      <c r="X257" s="4">
        <f t="shared" si="61"/>
        <v>1.0538461538461539</v>
      </c>
      <c r="Y257" s="11">
        <v>20</v>
      </c>
      <c r="Z257" s="45">
        <f t="shared" si="68"/>
        <v>0.93175848520150883</v>
      </c>
      <c r="AA257" s="46">
        <v>3420</v>
      </c>
      <c r="AB257" s="36">
        <f t="shared" si="62"/>
        <v>310.90909090909093</v>
      </c>
      <c r="AC257" s="36">
        <f t="shared" si="63"/>
        <v>289.7</v>
      </c>
      <c r="AD257" s="36">
        <f t="shared" si="64"/>
        <v>-21.209090909090946</v>
      </c>
      <c r="AE257" s="36">
        <v>9</v>
      </c>
      <c r="AF257" s="36">
        <f t="shared" si="65"/>
        <v>298.7</v>
      </c>
      <c r="AG257" s="36"/>
      <c r="AH257" s="36">
        <f t="shared" si="66"/>
        <v>298.7</v>
      </c>
      <c r="AI257" s="36"/>
      <c r="AJ257" s="36">
        <f t="shared" si="67"/>
        <v>298.7</v>
      </c>
      <c r="AK257" s="9"/>
      <c r="AL257" s="9"/>
      <c r="AM257" s="9"/>
      <c r="AN257" s="9"/>
      <c r="AO257" s="9"/>
      <c r="AP257" s="9"/>
      <c r="AQ257" s="9"/>
      <c r="AR257" s="10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0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10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10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10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10"/>
      <c r="GC257" s="9"/>
      <c r="GD257" s="9"/>
    </row>
    <row r="258" spans="1:186" s="2" customFormat="1" ht="16.95" customHeight="1">
      <c r="A258" s="14" t="s">
        <v>254</v>
      </c>
      <c r="B258" s="36">
        <v>0</v>
      </c>
      <c r="C258" s="36">
        <v>0</v>
      </c>
      <c r="D258" s="4">
        <f t="shared" si="58"/>
        <v>0</v>
      </c>
      <c r="E258" s="11">
        <v>0</v>
      </c>
      <c r="F258" s="5" t="s">
        <v>370</v>
      </c>
      <c r="G258" s="5" t="s">
        <v>370</v>
      </c>
      <c r="H258" s="5" t="s">
        <v>370</v>
      </c>
      <c r="I258" s="5" t="s">
        <v>370</v>
      </c>
      <c r="J258" s="5" t="s">
        <v>370</v>
      </c>
      <c r="K258" s="5" t="s">
        <v>370</v>
      </c>
      <c r="L258" s="5" t="s">
        <v>370</v>
      </c>
      <c r="M258" s="5" t="s">
        <v>370</v>
      </c>
      <c r="N258" s="36">
        <v>692.5</v>
      </c>
      <c r="O258" s="36">
        <v>31.2</v>
      </c>
      <c r="P258" s="4">
        <f t="shared" si="59"/>
        <v>4.5054151624548733E-2</v>
      </c>
      <c r="Q258" s="11">
        <v>20</v>
      </c>
      <c r="R258" s="36">
        <v>13.1</v>
      </c>
      <c r="S258" s="36">
        <v>13.2</v>
      </c>
      <c r="T258" s="4">
        <f t="shared" si="60"/>
        <v>1.0076335877862594</v>
      </c>
      <c r="U258" s="11">
        <v>20</v>
      </c>
      <c r="V258" s="36">
        <v>2.6</v>
      </c>
      <c r="W258" s="36">
        <v>2.6</v>
      </c>
      <c r="X258" s="4">
        <f t="shared" si="61"/>
        <v>1</v>
      </c>
      <c r="Y258" s="11">
        <v>30</v>
      </c>
      <c r="Z258" s="45">
        <f t="shared" si="68"/>
        <v>0.72933935411737372</v>
      </c>
      <c r="AA258" s="46">
        <v>1693</v>
      </c>
      <c r="AB258" s="36">
        <f t="shared" si="62"/>
        <v>153.90909090909091</v>
      </c>
      <c r="AC258" s="36">
        <f t="shared" si="63"/>
        <v>112.3</v>
      </c>
      <c r="AD258" s="36">
        <f t="shared" si="64"/>
        <v>-41.609090909090909</v>
      </c>
      <c r="AE258" s="36">
        <v>2.2000000000000002</v>
      </c>
      <c r="AF258" s="36">
        <f t="shared" si="65"/>
        <v>114.5</v>
      </c>
      <c r="AG258" s="36"/>
      <c r="AH258" s="36">
        <f t="shared" si="66"/>
        <v>114.5</v>
      </c>
      <c r="AI258" s="36"/>
      <c r="AJ258" s="36">
        <f t="shared" si="67"/>
        <v>114.5</v>
      </c>
      <c r="AK258" s="9"/>
      <c r="AL258" s="9"/>
      <c r="AM258" s="9"/>
      <c r="AN258" s="9"/>
      <c r="AO258" s="9"/>
      <c r="AP258" s="9"/>
      <c r="AQ258" s="9"/>
      <c r="AR258" s="10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0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10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10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10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10"/>
      <c r="GC258" s="9"/>
      <c r="GD258" s="9"/>
    </row>
    <row r="259" spans="1:186" s="2" customFormat="1" ht="16.95" customHeight="1">
      <c r="A259" s="14" t="s">
        <v>255</v>
      </c>
      <c r="B259" s="36">
        <v>0</v>
      </c>
      <c r="C259" s="36">
        <v>0</v>
      </c>
      <c r="D259" s="4">
        <f t="shared" si="58"/>
        <v>0</v>
      </c>
      <c r="E259" s="11">
        <v>0</v>
      </c>
      <c r="F259" s="5" t="s">
        <v>370</v>
      </c>
      <c r="G259" s="5" t="s">
        <v>370</v>
      </c>
      <c r="H259" s="5" t="s">
        <v>370</v>
      </c>
      <c r="I259" s="5" t="s">
        <v>370</v>
      </c>
      <c r="J259" s="5" t="s">
        <v>370</v>
      </c>
      <c r="K259" s="5" t="s">
        <v>370</v>
      </c>
      <c r="L259" s="5" t="s">
        <v>370</v>
      </c>
      <c r="M259" s="5" t="s">
        <v>370</v>
      </c>
      <c r="N259" s="36">
        <v>315.3</v>
      </c>
      <c r="O259" s="36">
        <v>178.6</v>
      </c>
      <c r="P259" s="4">
        <f t="shared" si="59"/>
        <v>0.56644465588328574</v>
      </c>
      <c r="Q259" s="11">
        <v>20</v>
      </c>
      <c r="R259" s="36">
        <v>2.2000000000000002</v>
      </c>
      <c r="S259" s="36">
        <v>2.5</v>
      </c>
      <c r="T259" s="4">
        <f t="shared" si="60"/>
        <v>1.1363636363636362</v>
      </c>
      <c r="U259" s="11">
        <v>25</v>
      </c>
      <c r="V259" s="36">
        <v>1.5</v>
      </c>
      <c r="W259" s="36">
        <v>2.2999999999999998</v>
      </c>
      <c r="X259" s="4">
        <f t="shared" si="61"/>
        <v>1.2333333333333334</v>
      </c>
      <c r="Y259" s="11">
        <v>25</v>
      </c>
      <c r="Z259" s="45">
        <f t="shared" si="68"/>
        <v>1.0081616765727135</v>
      </c>
      <c r="AA259" s="46">
        <v>1738</v>
      </c>
      <c r="AB259" s="36">
        <f t="shared" si="62"/>
        <v>158</v>
      </c>
      <c r="AC259" s="36">
        <f t="shared" si="63"/>
        <v>159.30000000000001</v>
      </c>
      <c r="AD259" s="36">
        <f t="shared" si="64"/>
        <v>1.3000000000000114</v>
      </c>
      <c r="AE259" s="36">
        <v>-4.0999999999999996</v>
      </c>
      <c r="AF259" s="36">
        <f t="shared" si="65"/>
        <v>155.19999999999999</v>
      </c>
      <c r="AG259" s="36"/>
      <c r="AH259" s="36">
        <f t="shared" si="66"/>
        <v>155.19999999999999</v>
      </c>
      <c r="AI259" s="36"/>
      <c r="AJ259" s="36">
        <f t="shared" si="67"/>
        <v>155.19999999999999</v>
      </c>
      <c r="AK259" s="9"/>
      <c r="AL259" s="9"/>
      <c r="AM259" s="9"/>
      <c r="AN259" s="9"/>
      <c r="AO259" s="9"/>
      <c r="AP259" s="9"/>
      <c r="AQ259" s="9"/>
      <c r="AR259" s="10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0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10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10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10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10"/>
      <c r="GC259" s="9"/>
      <c r="GD259" s="9"/>
    </row>
    <row r="260" spans="1:186" s="2" customFormat="1" ht="16.95" customHeight="1">
      <c r="A260" s="14" t="s">
        <v>256</v>
      </c>
      <c r="B260" s="36">
        <v>1077</v>
      </c>
      <c r="C260" s="36">
        <v>1426.6</v>
      </c>
      <c r="D260" s="4">
        <f t="shared" si="58"/>
        <v>1.2124605385329619</v>
      </c>
      <c r="E260" s="11">
        <v>10</v>
      </c>
      <c r="F260" s="5" t="s">
        <v>370</v>
      </c>
      <c r="G260" s="5" t="s">
        <v>370</v>
      </c>
      <c r="H260" s="5" t="s">
        <v>370</v>
      </c>
      <c r="I260" s="5" t="s">
        <v>370</v>
      </c>
      <c r="J260" s="5" t="s">
        <v>370</v>
      </c>
      <c r="K260" s="5" t="s">
        <v>370</v>
      </c>
      <c r="L260" s="5" t="s">
        <v>370</v>
      </c>
      <c r="M260" s="5" t="s">
        <v>370</v>
      </c>
      <c r="N260" s="36">
        <v>136.6</v>
      </c>
      <c r="O260" s="36">
        <v>84</v>
      </c>
      <c r="P260" s="4">
        <f t="shared" si="59"/>
        <v>0.6149341142020498</v>
      </c>
      <c r="Q260" s="11">
        <v>20</v>
      </c>
      <c r="R260" s="36">
        <v>144</v>
      </c>
      <c r="S260" s="36">
        <v>172.1</v>
      </c>
      <c r="T260" s="4">
        <f t="shared" si="60"/>
        <v>1.1951388888888888</v>
      </c>
      <c r="U260" s="11">
        <v>30</v>
      </c>
      <c r="V260" s="36">
        <v>2.4</v>
      </c>
      <c r="W260" s="36">
        <v>2.7</v>
      </c>
      <c r="X260" s="4">
        <f t="shared" si="61"/>
        <v>1.1250000000000002</v>
      </c>
      <c r="Y260" s="11">
        <v>20</v>
      </c>
      <c r="Z260" s="45">
        <f t="shared" si="68"/>
        <v>1.034718179200466</v>
      </c>
      <c r="AA260" s="46">
        <v>2239</v>
      </c>
      <c r="AB260" s="36">
        <f t="shared" si="62"/>
        <v>203.54545454545453</v>
      </c>
      <c r="AC260" s="36">
        <f t="shared" si="63"/>
        <v>210.6</v>
      </c>
      <c r="AD260" s="36">
        <f t="shared" si="64"/>
        <v>7.0545454545454618</v>
      </c>
      <c r="AE260" s="36">
        <v>-4.5</v>
      </c>
      <c r="AF260" s="36">
        <f t="shared" si="65"/>
        <v>206.1</v>
      </c>
      <c r="AG260" s="36"/>
      <c r="AH260" s="36">
        <f t="shared" si="66"/>
        <v>206.1</v>
      </c>
      <c r="AI260" s="36"/>
      <c r="AJ260" s="36">
        <f t="shared" si="67"/>
        <v>206.1</v>
      </c>
      <c r="AK260" s="9"/>
      <c r="AL260" s="9"/>
      <c r="AM260" s="9"/>
      <c r="AN260" s="9"/>
      <c r="AO260" s="9"/>
      <c r="AP260" s="9"/>
      <c r="AQ260" s="9"/>
      <c r="AR260" s="10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0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10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10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10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10"/>
      <c r="GC260" s="9"/>
      <c r="GD260" s="9"/>
    </row>
    <row r="261" spans="1:186" s="2" customFormat="1" ht="16.95" customHeight="1">
      <c r="A261" s="18" t="s">
        <v>257</v>
      </c>
      <c r="B261" s="64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9"/>
      <c r="AL261" s="9"/>
      <c r="AM261" s="9"/>
      <c r="AN261" s="9"/>
      <c r="AO261" s="9"/>
      <c r="AP261" s="9"/>
      <c r="AQ261" s="9"/>
      <c r="AR261" s="10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0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10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10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10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10"/>
      <c r="GC261" s="9"/>
      <c r="GD261" s="9"/>
    </row>
    <row r="262" spans="1:186" s="2" customFormat="1" ht="16.95" customHeight="1">
      <c r="A262" s="14" t="s">
        <v>258</v>
      </c>
      <c r="B262" s="36">
        <v>0</v>
      </c>
      <c r="C262" s="36">
        <v>0</v>
      </c>
      <c r="D262" s="4">
        <f t="shared" si="58"/>
        <v>0</v>
      </c>
      <c r="E262" s="11">
        <v>0</v>
      </c>
      <c r="F262" s="5" t="s">
        <v>370</v>
      </c>
      <c r="G262" s="5" t="s">
        <v>370</v>
      </c>
      <c r="H262" s="5" t="s">
        <v>370</v>
      </c>
      <c r="I262" s="5" t="s">
        <v>370</v>
      </c>
      <c r="J262" s="5" t="s">
        <v>370</v>
      </c>
      <c r="K262" s="5" t="s">
        <v>370</v>
      </c>
      <c r="L262" s="5" t="s">
        <v>370</v>
      </c>
      <c r="M262" s="5" t="s">
        <v>370</v>
      </c>
      <c r="N262" s="36">
        <v>114.5</v>
      </c>
      <c r="O262" s="36">
        <v>213.3</v>
      </c>
      <c r="P262" s="4">
        <f t="shared" si="59"/>
        <v>1.266288209606987</v>
      </c>
      <c r="Q262" s="11">
        <v>20</v>
      </c>
      <c r="R262" s="36">
        <v>10</v>
      </c>
      <c r="S262" s="36">
        <v>11.4</v>
      </c>
      <c r="T262" s="4">
        <f t="shared" si="60"/>
        <v>1.1400000000000001</v>
      </c>
      <c r="U262" s="11">
        <v>25</v>
      </c>
      <c r="V262" s="36">
        <v>1.5</v>
      </c>
      <c r="W262" s="36">
        <v>1.5</v>
      </c>
      <c r="X262" s="4">
        <f t="shared" si="61"/>
        <v>1</v>
      </c>
      <c r="Y262" s="11">
        <v>25</v>
      </c>
      <c r="Z262" s="45">
        <f t="shared" si="68"/>
        <v>1.1260823456019964</v>
      </c>
      <c r="AA262" s="46">
        <v>2575</v>
      </c>
      <c r="AB262" s="36">
        <f t="shared" si="62"/>
        <v>234.09090909090909</v>
      </c>
      <c r="AC262" s="36">
        <f t="shared" si="63"/>
        <v>263.60000000000002</v>
      </c>
      <c r="AD262" s="36">
        <f t="shared" si="64"/>
        <v>29.509090909090929</v>
      </c>
      <c r="AE262" s="36">
        <v>-1.7</v>
      </c>
      <c r="AF262" s="36">
        <f t="shared" si="65"/>
        <v>261.89999999999998</v>
      </c>
      <c r="AG262" s="36"/>
      <c r="AH262" s="36">
        <f t="shared" si="66"/>
        <v>261.89999999999998</v>
      </c>
      <c r="AI262" s="36"/>
      <c r="AJ262" s="36">
        <f t="shared" si="67"/>
        <v>261.89999999999998</v>
      </c>
      <c r="AK262" s="9"/>
      <c r="AL262" s="9"/>
      <c r="AM262" s="9"/>
      <c r="AN262" s="9"/>
      <c r="AO262" s="9"/>
      <c r="AP262" s="9"/>
      <c r="AQ262" s="9"/>
      <c r="AR262" s="10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0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10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10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10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10"/>
      <c r="GC262" s="9"/>
      <c r="GD262" s="9"/>
    </row>
    <row r="263" spans="1:186" s="2" customFormat="1" ht="16.95" customHeight="1">
      <c r="A263" s="14" t="s">
        <v>259</v>
      </c>
      <c r="B263" s="36">
        <v>0</v>
      </c>
      <c r="C263" s="36">
        <v>0</v>
      </c>
      <c r="D263" s="4">
        <f t="shared" si="58"/>
        <v>0</v>
      </c>
      <c r="E263" s="11">
        <v>0</v>
      </c>
      <c r="F263" s="5" t="s">
        <v>370</v>
      </c>
      <c r="G263" s="5" t="s">
        <v>370</v>
      </c>
      <c r="H263" s="5" t="s">
        <v>370</v>
      </c>
      <c r="I263" s="5" t="s">
        <v>370</v>
      </c>
      <c r="J263" s="5" t="s">
        <v>370</v>
      </c>
      <c r="K263" s="5" t="s">
        <v>370</v>
      </c>
      <c r="L263" s="5" t="s">
        <v>370</v>
      </c>
      <c r="M263" s="5" t="s">
        <v>370</v>
      </c>
      <c r="N263" s="36">
        <v>44.4</v>
      </c>
      <c r="O263" s="36">
        <v>15.6</v>
      </c>
      <c r="P263" s="4">
        <f t="shared" si="59"/>
        <v>0.35135135135135137</v>
      </c>
      <c r="Q263" s="11">
        <v>20</v>
      </c>
      <c r="R263" s="36">
        <v>1.5</v>
      </c>
      <c r="S263" s="36">
        <v>1.8</v>
      </c>
      <c r="T263" s="4">
        <f t="shared" si="60"/>
        <v>1.2</v>
      </c>
      <c r="U263" s="11">
        <v>15</v>
      </c>
      <c r="V263" s="36">
        <v>1</v>
      </c>
      <c r="W263" s="36">
        <v>1</v>
      </c>
      <c r="X263" s="4">
        <f t="shared" si="61"/>
        <v>1</v>
      </c>
      <c r="Y263" s="11">
        <v>35</v>
      </c>
      <c r="Z263" s="45">
        <f t="shared" si="68"/>
        <v>0.85752895752895764</v>
      </c>
      <c r="AA263" s="46">
        <v>1421</v>
      </c>
      <c r="AB263" s="36">
        <f t="shared" si="62"/>
        <v>129.18181818181819</v>
      </c>
      <c r="AC263" s="36">
        <f t="shared" si="63"/>
        <v>110.8</v>
      </c>
      <c r="AD263" s="36">
        <f t="shared" si="64"/>
        <v>-18.38181818181819</v>
      </c>
      <c r="AE263" s="36">
        <v>-4</v>
      </c>
      <c r="AF263" s="36">
        <f t="shared" si="65"/>
        <v>106.8</v>
      </c>
      <c r="AG263" s="36"/>
      <c r="AH263" s="36">
        <f t="shared" si="66"/>
        <v>106.8</v>
      </c>
      <c r="AI263" s="36"/>
      <c r="AJ263" s="36">
        <f t="shared" si="67"/>
        <v>106.8</v>
      </c>
      <c r="AK263" s="9"/>
      <c r="AL263" s="9"/>
      <c r="AM263" s="9"/>
      <c r="AN263" s="9"/>
      <c r="AO263" s="9"/>
      <c r="AP263" s="9"/>
      <c r="AQ263" s="9"/>
      <c r="AR263" s="10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0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10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10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10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10"/>
      <c r="GC263" s="9"/>
      <c r="GD263" s="9"/>
    </row>
    <row r="264" spans="1:186" s="2" customFormat="1" ht="16.95" customHeight="1">
      <c r="A264" s="14" t="s">
        <v>260</v>
      </c>
      <c r="B264" s="36">
        <v>0</v>
      </c>
      <c r="C264" s="36">
        <v>0</v>
      </c>
      <c r="D264" s="4">
        <f t="shared" si="58"/>
        <v>0</v>
      </c>
      <c r="E264" s="11">
        <v>0</v>
      </c>
      <c r="F264" s="5" t="s">
        <v>370</v>
      </c>
      <c r="G264" s="5" t="s">
        <v>370</v>
      </c>
      <c r="H264" s="5" t="s">
        <v>370</v>
      </c>
      <c r="I264" s="5" t="s">
        <v>370</v>
      </c>
      <c r="J264" s="5" t="s">
        <v>370</v>
      </c>
      <c r="K264" s="5" t="s">
        <v>370</v>
      </c>
      <c r="L264" s="5" t="s">
        <v>370</v>
      </c>
      <c r="M264" s="5" t="s">
        <v>370</v>
      </c>
      <c r="N264" s="36">
        <v>120</v>
      </c>
      <c r="O264" s="36">
        <v>35.5</v>
      </c>
      <c r="P264" s="4">
        <f t="shared" si="59"/>
        <v>0.29583333333333334</v>
      </c>
      <c r="Q264" s="11">
        <v>20</v>
      </c>
      <c r="R264" s="36">
        <v>8</v>
      </c>
      <c r="S264" s="36">
        <v>8.3000000000000007</v>
      </c>
      <c r="T264" s="4">
        <f t="shared" si="60"/>
        <v>1.0375000000000001</v>
      </c>
      <c r="U264" s="11">
        <v>25</v>
      </c>
      <c r="V264" s="36">
        <v>3</v>
      </c>
      <c r="W264" s="36">
        <v>3.2</v>
      </c>
      <c r="X264" s="4">
        <f t="shared" si="61"/>
        <v>1.0666666666666667</v>
      </c>
      <c r="Y264" s="11">
        <v>25</v>
      </c>
      <c r="Z264" s="45">
        <f t="shared" si="68"/>
        <v>0.8360119047619049</v>
      </c>
      <c r="AA264" s="46">
        <v>2401</v>
      </c>
      <c r="AB264" s="36">
        <f t="shared" si="62"/>
        <v>218.27272727272728</v>
      </c>
      <c r="AC264" s="36">
        <f t="shared" si="63"/>
        <v>182.5</v>
      </c>
      <c r="AD264" s="36">
        <f t="shared" si="64"/>
        <v>-35.77272727272728</v>
      </c>
      <c r="AE264" s="36">
        <v>1.6</v>
      </c>
      <c r="AF264" s="36">
        <f t="shared" si="65"/>
        <v>184.1</v>
      </c>
      <c r="AG264" s="36"/>
      <c r="AH264" s="36">
        <f t="shared" si="66"/>
        <v>184.1</v>
      </c>
      <c r="AI264" s="36"/>
      <c r="AJ264" s="36">
        <f t="shared" si="67"/>
        <v>184.1</v>
      </c>
      <c r="AK264" s="9"/>
      <c r="AL264" s="9"/>
      <c r="AM264" s="9"/>
      <c r="AN264" s="9"/>
      <c r="AO264" s="9"/>
      <c r="AP264" s="9"/>
      <c r="AQ264" s="9"/>
      <c r="AR264" s="10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10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10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10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10"/>
      <c r="GC264" s="9"/>
      <c r="GD264" s="9"/>
    </row>
    <row r="265" spans="1:186" s="2" customFormat="1" ht="16.95" customHeight="1">
      <c r="A265" s="14" t="s">
        <v>261</v>
      </c>
      <c r="B265" s="36">
        <v>3990</v>
      </c>
      <c r="C265" s="36">
        <v>3714.6</v>
      </c>
      <c r="D265" s="4">
        <f t="shared" si="58"/>
        <v>0.93097744360902257</v>
      </c>
      <c r="E265" s="11">
        <v>10</v>
      </c>
      <c r="F265" s="5" t="s">
        <v>370</v>
      </c>
      <c r="G265" s="5" t="s">
        <v>370</v>
      </c>
      <c r="H265" s="5" t="s">
        <v>370</v>
      </c>
      <c r="I265" s="5" t="s">
        <v>370</v>
      </c>
      <c r="J265" s="5" t="s">
        <v>370</v>
      </c>
      <c r="K265" s="5" t="s">
        <v>370</v>
      </c>
      <c r="L265" s="5" t="s">
        <v>370</v>
      </c>
      <c r="M265" s="5" t="s">
        <v>370</v>
      </c>
      <c r="N265" s="36">
        <v>244.5</v>
      </c>
      <c r="O265" s="36">
        <v>4356</v>
      </c>
      <c r="P265" s="4">
        <f t="shared" si="59"/>
        <v>1.3</v>
      </c>
      <c r="Q265" s="11">
        <v>20</v>
      </c>
      <c r="R265" s="36">
        <v>150</v>
      </c>
      <c r="S265" s="36">
        <v>151.9</v>
      </c>
      <c r="T265" s="4">
        <f t="shared" si="60"/>
        <v>1.0126666666666666</v>
      </c>
      <c r="U265" s="11">
        <v>10</v>
      </c>
      <c r="V265" s="36">
        <v>11.5</v>
      </c>
      <c r="W265" s="36">
        <v>12.1</v>
      </c>
      <c r="X265" s="4">
        <f t="shared" si="61"/>
        <v>1.0521739130434782</v>
      </c>
      <c r="Y265" s="11">
        <v>40</v>
      </c>
      <c r="Z265" s="45">
        <f t="shared" si="68"/>
        <v>1.0940424703062002</v>
      </c>
      <c r="AA265" s="46">
        <v>3691</v>
      </c>
      <c r="AB265" s="36">
        <f t="shared" si="62"/>
        <v>335.54545454545456</v>
      </c>
      <c r="AC265" s="36">
        <f t="shared" si="63"/>
        <v>367.1</v>
      </c>
      <c r="AD265" s="36">
        <f t="shared" si="64"/>
        <v>31.554545454545462</v>
      </c>
      <c r="AE265" s="36">
        <v>-3.3</v>
      </c>
      <c r="AF265" s="36">
        <f t="shared" si="65"/>
        <v>363.8</v>
      </c>
      <c r="AG265" s="36">
        <f>MIN(AF265,164.9)</f>
        <v>164.9</v>
      </c>
      <c r="AH265" s="36">
        <f t="shared" si="66"/>
        <v>198.9</v>
      </c>
      <c r="AI265" s="36"/>
      <c r="AJ265" s="36">
        <f t="shared" si="67"/>
        <v>198.9</v>
      </c>
      <c r="AK265" s="9"/>
      <c r="AL265" s="9"/>
      <c r="AM265" s="9"/>
      <c r="AN265" s="9"/>
      <c r="AO265" s="9"/>
      <c r="AP265" s="9"/>
      <c r="AQ265" s="9"/>
      <c r="AR265" s="10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10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10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10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10"/>
      <c r="GC265" s="9"/>
      <c r="GD265" s="9"/>
    </row>
    <row r="266" spans="1:186" s="2" customFormat="1" ht="16.95" customHeight="1">
      <c r="A266" s="14" t="s">
        <v>262</v>
      </c>
      <c r="B266" s="36">
        <v>542</v>
      </c>
      <c r="C266" s="36">
        <v>800</v>
      </c>
      <c r="D266" s="4">
        <f t="shared" si="58"/>
        <v>1.22760147601476</v>
      </c>
      <c r="E266" s="11">
        <v>10</v>
      </c>
      <c r="F266" s="5" t="s">
        <v>370</v>
      </c>
      <c r="G266" s="5" t="s">
        <v>370</v>
      </c>
      <c r="H266" s="5" t="s">
        <v>370</v>
      </c>
      <c r="I266" s="5" t="s">
        <v>370</v>
      </c>
      <c r="J266" s="5" t="s">
        <v>370</v>
      </c>
      <c r="K266" s="5" t="s">
        <v>370</v>
      </c>
      <c r="L266" s="5" t="s">
        <v>370</v>
      </c>
      <c r="M266" s="5" t="s">
        <v>370</v>
      </c>
      <c r="N266" s="36">
        <v>703.2</v>
      </c>
      <c r="O266" s="36">
        <v>292.8</v>
      </c>
      <c r="P266" s="4">
        <f t="shared" si="59"/>
        <v>0.41638225255972694</v>
      </c>
      <c r="Q266" s="11">
        <v>20</v>
      </c>
      <c r="R266" s="36">
        <v>47</v>
      </c>
      <c r="S266" s="36">
        <v>47.6</v>
      </c>
      <c r="T266" s="4">
        <f t="shared" si="60"/>
        <v>1.0127659574468086</v>
      </c>
      <c r="U266" s="11">
        <v>10</v>
      </c>
      <c r="V266" s="36">
        <v>11.5</v>
      </c>
      <c r="W266" s="36">
        <v>12.1</v>
      </c>
      <c r="X266" s="4">
        <f t="shared" si="61"/>
        <v>1.0521739130434782</v>
      </c>
      <c r="Y266" s="11">
        <v>40</v>
      </c>
      <c r="Z266" s="45">
        <f t="shared" si="68"/>
        <v>0.91022844884436682</v>
      </c>
      <c r="AA266" s="46">
        <v>6147</v>
      </c>
      <c r="AB266" s="36">
        <f t="shared" si="62"/>
        <v>558.81818181818187</v>
      </c>
      <c r="AC266" s="36">
        <f t="shared" si="63"/>
        <v>508.7</v>
      </c>
      <c r="AD266" s="36">
        <f t="shared" si="64"/>
        <v>-50.118181818181881</v>
      </c>
      <c r="AE266" s="36">
        <v>18.7</v>
      </c>
      <c r="AF266" s="36">
        <f t="shared" si="65"/>
        <v>527.4</v>
      </c>
      <c r="AG266" s="36"/>
      <c r="AH266" s="36">
        <f t="shared" si="66"/>
        <v>527.4</v>
      </c>
      <c r="AI266" s="36"/>
      <c r="AJ266" s="36">
        <f t="shared" si="67"/>
        <v>527.4</v>
      </c>
      <c r="AK266" s="9"/>
      <c r="AL266" s="9"/>
      <c r="AM266" s="9"/>
      <c r="AN266" s="9"/>
      <c r="AO266" s="9"/>
      <c r="AP266" s="9"/>
      <c r="AQ266" s="9"/>
      <c r="AR266" s="10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0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10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10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10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10"/>
      <c r="GC266" s="9"/>
      <c r="GD266" s="9"/>
    </row>
    <row r="267" spans="1:186" s="2" customFormat="1" ht="16.95" customHeight="1">
      <c r="A267" s="14" t="s">
        <v>263</v>
      </c>
      <c r="B267" s="36">
        <v>8890</v>
      </c>
      <c r="C267" s="36">
        <v>9330.4</v>
      </c>
      <c r="D267" s="4">
        <f t="shared" si="58"/>
        <v>1.0495388076490437</v>
      </c>
      <c r="E267" s="11">
        <v>10</v>
      </c>
      <c r="F267" s="5" t="s">
        <v>370</v>
      </c>
      <c r="G267" s="5" t="s">
        <v>370</v>
      </c>
      <c r="H267" s="5" t="s">
        <v>370</v>
      </c>
      <c r="I267" s="5" t="s">
        <v>370</v>
      </c>
      <c r="J267" s="5" t="s">
        <v>370</v>
      </c>
      <c r="K267" s="5" t="s">
        <v>370</v>
      </c>
      <c r="L267" s="5" t="s">
        <v>370</v>
      </c>
      <c r="M267" s="5" t="s">
        <v>370</v>
      </c>
      <c r="N267" s="36">
        <v>701</v>
      </c>
      <c r="O267" s="36">
        <v>1238.4000000000001</v>
      </c>
      <c r="P267" s="4">
        <f t="shared" si="59"/>
        <v>1.2566619115549216</v>
      </c>
      <c r="Q267" s="11">
        <v>20</v>
      </c>
      <c r="R267" s="36">
        <v>10</v>
      </c>
      <c r="S267" s="36">
        <v>10.5</v>
      </c>
      <c r="T267" s="4">
        <f t="shared" si="60"/>
        <v>1.05</v>
      </c>
      <c r="U267" s="11">
        <v>25</v>
      </c>
      <c r="V267" s="36">
        <v>11.5</v>
      </c>
      <c r="W267" s="36">
        <v>13.4</v>
      </c>
      <c r="X267" s="4">
        <f t="shared" si="61"/>
        <v>1.1652173913043478</v>
      </c>
      <c r="Y267" s="11">
        <v>25</v>
      </c>
      <c r="Z267" s="45">
        <f t="shared" si="68"/>
        <v>1.1376132636274696</v>
      </c>
      <c r="AA267" s="46">
        <v>5255</v>
      </c>
      <c r="AB267" s="36">
        <f t="shared" si="62"/>
        <v>477.72727272727275</v>
      </c>
      <c r="AC267" s="36">
        <f t="shared" si="63"/>
        <v>543.5</v>
      </c>
      <c r="AD267" s="36">
        <f t="shared" si="64"/>
        <v>65.772727272727252</v>
      </c>
      <c r="AE267" s="36">
        <v>-10.3</v>
      </c>
      <c r="AF267" s="36">
        <f t="shared" si="65"/>
        <v>533.20000000000005</v>
      </c>
      <c r="AG267" s="36"/>
      <c r="AH267" s="36">
        <f t="shared" si="66"/>
        <v>533.20000000000005</v>
      </c>
      <c r="AI267" s="36"/>
      <c r="AJ267" s="36">
        <f t="shared" si="67"/>
        <v>533.20000000000005</v>
      </c>
      <c r="AK267" s="9"/>
      <c r="AL267" s="9"/>
      <c r="AM267" s="9"/>
      <c r="AN267" s="9"/>
      <c r="AO267" s="9"/>
      <c r="AP267" s="9"/>
      <c r="AQ267" s="9"/>
      <c r="AR267" s="10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0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10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10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10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10"/>
      <c r="GC267" s="9"/>
      <c r="GD267" s="9"/>
    </row>
    <row r="268" spans="1:186" s="2" customFormat="1" ht="16.95" customHeight="1">
      <c r="A268" s="14" t="s">
        <v>264</v>
      </c>
      <c r="B268" s="36">
        <v>2837</v>
      </c>
      <c r="C268" s="36">
        <v>2971</v>
      </c>
      <c r="D268" s="4">
        <f t="shared" si="58"/>
        <v>1.0472329925978145</v>
      </c>
      <c r="E268" s="11">
        <v>10</v>
      </c>
      <c r="F268" s="5" t="s">
        <v>370</v>
      </c>
      <c r="G268" s="5" t="s">
        <v>370</v>
      </c>
      <c r="H268" s="5" t="s">
        <v>370</v>
      </c>
      <c r="I268" s="5" t="s">
        <v>370</v>
      </c>
      <c r="J268" s="5" t="s">
        <v>370</v>
      </c>
      <c r="K268" s="5" t="s">
        <v>370</v>
      </c>
      <c r="L268" s="5" t="s">
        <v>370</v>
      </c>
      <c r="M268" s="5" t="s">
        <v>370</v>
      </c>
      <c r="N268" s="36">
        <v>431</v>
      </c>
      <c r="O268" s="36">
        <v>704.8</v>
      </c>
      <c r="P268" s="4">
        <f t="shared" si="59"/>
        <v>1.2435266821345707</v>
      </c>
      <c r="Q268" s="11">
        <v>20</v>
      </c>
      <c r="R268" s="36">
        <v>3.5</v>
      </c>
      <c r="S268" s="36">
        <v>3.5</v>
      </c>
      <c r="T268" s="4">
        <f t="shared" si="60"/>
        <v>1</v>
      </c>
      <c r="U268" s="11">
        <v>15</v>
      </c>
      <c r="V268" s="36">
        <v>4</v>
      </c>
      <c r="W268" s="36">
        <v>4.3</v>
      </c>
      <c r="X268" s="4">
        <f t="shared" si="61"/>
        <v>1.075</v>
      </c>
      <c r="Y268" s="11">
        <v>35</v>
      </c>
      <c r="Z268" s="45">
        <f t="shared" si="68"/>
        <v>1.0995982946083696</v>
      </c>
      <c r="AA268" s="46">
        <v>767</v>
      </c>
      <c r="AB268" s="36">
        <f t="shared" si="62"/>
        <v>69.727272727272734</v>
      </c>
      <c r="AC268" s="36">
        <f t="shared" si="63"/>
        <v>76.7</v>
      </c>
      <c r="AD268" s="36">
        <f t="shared" si="64"/>
        <v>6.9727272727272691</v>
      </c>
      <c r="AE268" s="36">
        <v>-1</v>
      </c>
      <c r="AF268" s="36">
        <f t="shared" si="65"/>
        <v>75.7</v>
      </c>
      <c r="AG268" s="36"/>
      <c r="AH268" s="36">
        <f t="shared" si="66"/>
        <v>75.7</v>
      </c>
      <c r="AI268" s="36"/>
      <c r="AJ268" s="36">
        <f t="shared" si="67"/>
        <v>75.7</v>
      </c>
      <c r="AK268" s="9"/>
      <c r="AL268" s="9"/>
      <c r="AM268" s="9"/>
      <c r="AN268" s="9"/>
      <c r="AO268" s="9"/>
      <c r="AP268" s="9"/>
      <c r="AQ268" s="9"/>
      <c r="AR268" s="10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0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10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10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10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10"/>
      <c r="GC268" s="9"/>
      <c r="GD268" s="9"/>
    </row>
    <row r="269" spans="1:186" s="2" customFormat="1" ht="16.95" customHeight="1">
      <c r="A269" s="18" t="s">
        <v>265</v>
      </c>
      <c r="B269" s="6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9"/>
      <c r="AL269" s="9"/>
      <c r="AM269" s="9"/>
      <c r="AN269" s="9"/>
      <c r="AO269" s="9"/>
      <c r="AP269" s="9"/>
      <c r="AQ269" s="9"/>
      <c r="AR269" s="10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0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10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10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10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10"/>
      <c r="GC269" s="9"/>
      <c r="GD269" s="9"/>
    </row>
    <row r="270" spans="1:186" s="2" customFormat="1" ht="16.95" customHeight="1">
      <c r="A270" s="14" t="s">
        <v>266</v>
      </c>
      <c r="B270" s="36">
        <v>0</v>
      </c>
      <c r="C270" s="36">
        <v>0</v>
      </c>
      <c r="D270" s="4">
        <f t="shared" si="58"/>
        <v>0</v>
      </c>
      <c r="E270" s="11">
        <v>0</v>
      </c>
      <c r="F270" s="5" t="s">
        <v>370</v>
      </c>
      <c r="G270" s="5" t="s">
        <v>370</v>
      </c>
      <c r="H270" s="5" t="s">
        <v>370</v>
      </c>
      <c r="I270" s="5" t="s">
        <v>370</v>
      </c>
      <c r="J270" s="5" t="s">
        <v>370</v>
      </c>
      <c r="K270" s="5" t="s">
        <v>370</v>
      </c>
      <c r="L270" s="5" t="s">
        <v>370</v>
      </c>
      <c r="M270" s="5" t="s">
        <v>370</v>
      </c>
      <c r="N270" s="36">
        <v>150.6</v>
      </c>
      <c r="O270" s="36">
        <v>26.7</v>
      </c>
      <c r="P270" s="4">
        <f t="shared" si="59"/>
        <v>0.17729083665338646</v>
      </c>
      <c r="Q270" s="11">
        <v>20</v>
      </c>
      <c r="R270" s="36">
        <v>0</v>
      </c>
      <c r="S270" s="36">
        <v>0</v>
      </c>
      <c r="T270" s="4">
        <f t="shared" si="60"/>
        <v>1</v>
      </c>
      <c r="U270" s="11">
        <v>10</v>
      </c>
      <c r="V270" s="36">
        <v>0</v>
      </c>
      <c r="W270" s="36">
        <v>0</v>
      </c>
      <c r="X270" s="4">
        <f t="shared" si="61"/>
        <v>1</v>
      </c>
      <c r="Y270" s="11">
        <v>40</v>
      </c>
      <c r="Z270" s="45">
        <f t="shared" si="68"/>
        <v>0.76494023904382469</v>
      </c>
      <c r="AA270" s="46">
        <v>678</v>
      </c>
      <c r="AB270" s="36">
        <f t="shared" si="62"/>
        <v>61.636363636363633</v>
      </c>
      <c r="AC270" s="36">
        <f t="shared" si="63"/>
        <v>47.1</v>
      </c>
      <c r="AD270" s="36">
        <f t="shared" si="64"/>
        <v>-14.536363636363632</v>
      </c>
      <c r="AE270" s="36">
        <v>16.399999999999999</v>
      </c>
      <c r="AF270" s="36">
        <f t="shared" si="65"/>
        <v>63.5</v>
      </c>
      <c r="AG270" s="36"/>
      <c r="AH270" s="36">
        <f t="shared" si="66"/>
        <v>63.5</v>
      </c>
      <c r="AI270" s="36"/>
      <c r="AJ270" s="36">
        <f t="shared" si="67"/>
        <v>63.5</v>
      </c>
      <c r="AK270" s="9"/>
      <c r="AL270" s="9"/>
      <c r="AM270" s="9"/>
      <c r="AN270" s="9"/>
      <c r="AO270" s="9"/>
      <c r="AP270" s="9"/>
      <c r="AQ270" s="9"/>
      <c r="AR270" s="10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0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10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10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10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10"/>
      <c r="GC270" s="9"/>
      <c r="GD270" s="9"/>
    </row>
    <row r="271" spans="1:186" s="2" customFormat="1" ht="16.95" customHeight="1">
      <c r="A271" s="14" t="s">
        <v>267</v>
      </c>
      <c r="B271" s="36">
        <v>0</v>
      </c>
      <c r="C271" s="36">
        <v>0</v>
      </c>
      <c r="D271" s="4">
        <f t="shared" si="58"/>
        <v>0</v>
      </c>
      <c r="E271" s="11">
        <v>0</v>
      </c>
      <c r="F271" s="5" t="s">
        <v>370</v>
      </c>
      <c r="G271" s="5" t="s">
        <v>370</v>
      </c>
      <c r="H271" s="5" t="s">
        <v>370</v>
      </c>
      <c r="I271" s="5" t="s">
        <v>370</v>
      </c>
      <c r="J271" s="5" t="s">
        <v>370</v>
      </c>
      <c r="K271" s="5" t="s">
        <v>370</v>
      </c>
      <c r="L271" s="5" t="s">
        <v>370</v>
      </c>
      <c r="M271" s="5" t="s">
        <v>370</v>
      </c>
      <c r="N271" s="36">
        <v>351.4</v>
      </c>
      <c r="O271" s="36">
        <v>92.8</v>
      </c>
      <c r="P271" s="4">
        <f t="shared" si="59"/>
        <v>0.26408651109846332</v>
      </c>
      <c r="Q271" s="11">
        <v>20</v>
      </c>
      <c r="R271" s="36">
        <v>0</v>
      </c>
      <c r="S271" s="36">
        <v>0</v>
      </c>
      <c r="T271" s="4">
        <f t="shared" si="60"/>
        <v>1</v>
      </c>
      <c r="U271" s="11">
        <v>20</v>
      </c>
      <c r="V271" s="36">
        <v>0</v>
      </c>
      <c r="W271" s="36">
        <v>0</v>
      </c>
      <c r="X271" s="4">
        <f t="shared" si="61"/>
        <v>1</v>
      </c>
      <c r="Y271" s="11">
        <v>30</v>
      </c>
      <c r="Z271" s="45">
        <f t="shared" si="68"/>
        <v>0.78973900317098955</v>
      </c>
      <c r="AA271" s="46">
        <v>572</v>
      </c>
      <c r="AB271" s="36">
        <f t="shared" si="62"/>
        <v>52</v>
      </c>
      <c r="AC271" s="36">
        <f t="shared" si="63"/>
        <v>41.1</v>
      </c>
      <c r="AD271" s="36">
        <f t="shared" si="64"/>
        <v>-10.899999999999999</v>
      </c>
      <c r="AE271" s="36">
        <v>1.1000000000000001</v>
      </c>
      <c r="AF271" s="36">
        <f t="shared" si="65"/>
        <v>42.2</v>
      </c>
      <c r="AG271" s="36"/>
      <c r="AH271" s="36">
        <f t="shared" si="66"/>
        <v>42.2</v>
      </c>
      <c r="AI271" s="36"/>
      <c r="AJ271" s="36">
        <f t="shared" si="67"/>
        <v>42.2</v>
      </c>
      <c r="AK271" s="9"/>
      <c r="AL271" s="9"/>
      <c r="AM271" s="9"/>
      <c r="AN271" s="9"/>
      <c r="AO271" s="9"/>
      <c r="AP271" s="9"/>
      <c r="AQ271" s="9"/>
      <c r="AR271" s="10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0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10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10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10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10"/>
      <c r="GC271" s="9"/>
      <c r="GD271" s="9"/>
    </row>
    <row r="272" spans="1:186" s="2" customFormat="1" ht="16.95" customHeight="1">
      <c r="A272" s="14" t="s">
        <v>268</v>
      </c>
      <c r="B272" s="36">
        <v>0</v>
      </c>
      <c r="C272" s="36">
        <v>0</v>
      </c>
      <c r="D272" s="4">
        <f t="shared" si="58"/>
        <v>0</v>
      </c>
      <c r="E272" s="11">
        <v>0</v>
      </c>
      <c r="F272" s="5" t="s">
        <v>370</v>
      </c>
      <c r="G272" s="5" t="s">
        <v>370</v>
      </c>
      <c r="H272" s="5" t="s">
        <v>370</v>
      </c>
      <c r="I272" s="5" t="s">
        <v>370</v>
      </c>
      <c r="J272" s="5" t="s">
        <v>370</v>
      </c>
      <c r="K272" s="5" t="s">
        <v>370</v>
      </c>
      <c r="L272" s="5" t="s">
        <v>370</v>
      </c>
      <c r="M272" s="5" t="s">
        <v>370</v>
      </c>
      <c r="N272" s="36">
        <v>608.4</v>
      </c>
      <c r="O272" s="36">
        <v>264</v>
      </c>
      <c r="P272" s="4">
        <f t="shared" si="59"/>
        <v>0.43392504930966469</v>
      </c>
      <c r="Q272" s="11">
        <v>20</v>
      </c>
      <c r="R272" s="36">
        <v>0</v>
      </c>
      <c r="S272" s="36">
        <v>0</v>
      </c>
      <c r="T272" s="4">
        <f t="shared" si="60"/>
        <v>1</v>
      </c>
      <c r="U272" s="11">
        <v>10</v>
      </c>
      <c r="V272" s="36">
        <v>1.2</v>
      </c>
      <c r="W272" s="36">
        <v>1.2</v>
      </c>
      <c r="X272" s="4">
        <f t="shared" si="61"/>
        <v>1</v>
      </c>
      <c r="Y272" s="11">
        <v>40</v>
      </c>
      <c r="Z272" s="45">
        <f t="shared" si="68"/>
        <v>0.83826429980276129</v>
      </c>
      <c r="AA272" s="46">
        <v>435</v>
      </c>
      <c r="AB272" s="36">
        <f t="shared" si="62"/>
        <v>39.545454545454547</v>
      </c>
      <c r="AC272" s="36">
        <f t="shared" si="63"/>
        <v>33.1</v>
      </c>
      <c r="AD272" s="36">
        <f t="shared" si="64"/>
        <v>-6.4454545454545453</v>
      </c>
      <c r="AE272" s="36">
        <v>-1.6</v>
      </c>
      <c r="AF272" s="36">
        <f t="shared" si="65"/>
        <v>31.5</v>
      </c>
      <c r="AG272" s="36"/>
      <c r="AH272" s="36">
        <f t="shared" si="66"/>
        <v>31.5</v>
      </c>
      <c r="AI272" s="36"/>
      <c r="AJ272" s="36">
        <f t="shared" si="67"/>
        <v>31.5</v>
      </c>
      <c r="AK272" s="9"/>
      <c r="AL272" s="9"/>
      <c r="AM272" s="9"/>
      <c r="AN272" s="9"/>
      <c r="AO272" s="9"/>
      <c r="AP272" s="9"/>
      <c r="AQ272" s="9"/>
      <c r="AR272" s="10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0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10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10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10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10"/>
      <c r="GC272" s="9"/>
      <c r="GD272" s="9"/>
    </row>
    <row r="273" spans="1:186" s="2" customFormat="1" ht="16.95" customHeight="1">
      <c r="A273" s="14" t="s">
        <v>269</v>
      </c>
      <c r="B273" s="36">
        <v>0</v>
      </c>
      <c r="C273" s="36">
        <v>0</v>
      </c>
      <c r="D273" s="4">
        <f t="shared" si="58"/>
        <v>0</v>
      </c>
      <c r="E273" s="11">
        <v>0</v>
      </c>
      <c r="F273" s="5" t="s">
        <v>370</v>
      </c>
      <c r="G273" s="5" t="s">
        <v>370</v>
      </c>
      <c r="H273" s="5" t="s">
        <v>370</v>
      </c>
      <c r="I273" s="5" t="s">
        <v>370</v>
      </c>
      <c r="J273" s="5" t="s">
        <v>370</v>
      </c>
      <c r="K273" s="5" t="s">
        <v>370</v>
      </c>
      <c r="L273" s="5" t="s">
        <v>370</v>
      </c>
      <c r="M273" s="5" t="s">
        <v>370</v>
      </c>
      <c r="N273" s="36">
        <v>146</v>
      </c>
      <c r="O273" s="36">
        <v>84</v>
      </c>
      <c r="P273" s="4">
        <f t="shared" si="59"/>
        <v>0.57534246575342463</v>
      </c>
      <c r="Q273" s="11">
        <v>20</v>
      </c>
      <c r="R273" s="36">
        <v>7</v>
      </c>
      <c r="S273" s="36">
        <v>7.3</v>
      </c>
      <c r="T273" s="4">
        <f t="shared" si="60"/>
        <v>1.0428571428571429</v>
      </c>
      <c r="U273" s="11">
        <v>20</v>
      </c>
      <c r="V273" s="36">
        <v>1</v>
      </c>
      <c r="W273" s="36">
        <v>1</v>
      </c>
      <c r="X273" s="4">
        <f t="shared" si="61"/>
        <v>1</v>
      </c>
      <c r="Y273" s="11">
        <v>30</v>
      </c>
      <c r="Z273" s="45">
        <f t="shared" si="68"/>
        <v>0.89091417388873362</v>
      </c>
      <c r="AA273" s="46">
        <v>2119</v>
      </c>
      <c r="AB273" s="36">
        <f t="shared" si="62"/>
        <v>192.63636363636363</v>
      </c>
      <c r="AC273" s="36">
        <f t="shared" si="63"/>
        <v>171.6</v>
      </c>
      <c r="AD273" s="36">
        <f t="shared" si="64"/>
        <v>-21.036363636363632</v>
      </c>
      <c r="AE273" s="36">
        <v>-4.5999999999999996</v>
      </c>
      <c r="AF273" s="36">
        <f t="shared" si="65"/>
        <v>167</v>
      </c>
      <c r="AG273" s="36">
        <f>MIN(AF273,3.3)</f>
        <v>3.3</v>
      </c>
      <c r="AH273" s="36">
        <f t="shared" si="66"/>
        <v>163.69999999999999</v>
      </c>
      <c r="AI273" s="36"/>
      <c r="AJ273" s="36">
        <f t="shared" si="67"/>
        <v>163.69999999999999</v>
      </c>
      <c r="AK273" s="9"/>
      <c r="AL273" s="9"/>
      <c r="AM273" s="9"/>
      <c r="AN273" s="9"/>
      <c r="AO273" s="9"/>
      <c r="AP273" s="9"/>
      <c r="AQ273" s="9"/>
      <c r="AR273" s="10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0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10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10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10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10"/>
      <c r="GC273" s="9"/>
      <c r="GD273" s="9"/>
    </row>
    <row r="274" spans="1:186" s="2" customFormat="1" ht="16.95" customHeight="1">
      <c r="A274" s="14" t="s">
        <v>270</v>
      </c>
      <c r="B274" s="36">
        <v>170</v>
      </c>
      <c r="C274" s="36">
        <v>111</v>
      </c>
      <c r="D274" s="4">
        <f t="shared" si="58"/>
        <v>0.65294117647058825</v>
      </c>
      <c r="E274" s="11">
        <v>10</v>
      </c>
      <c r="F274" s="5" t="s">
        <v>370</v>
      </c>
      <c r="G274" s="5" t="s">
        <v>370</v>
      </c>
      <c r="H274" s="5" t="s">
        <v>370</v>
      </c>
      <c r="I274" s="5" t="s">
        <v>370</v>
      </c>
      <c r="J274" s="5" t="s">
        <v>370</v>
      </c>
      <c r="K274" s="5" t="s">
        <v>370</v>
      </c>
      <c r="L274" s="5" t="s">
        <v>370</v>
      </c>
      <c r="M274" s="5" t="s">
        <v>370</v>
      </c>
      <c r="N274" s="36">
        <v>141.19999999999999</v>
      </c>
      <c r="O274" s="36">
        <v>73</v>
      </c>
      <c r="P274" s="4">
        <f t="shared" si="59"/>
        <v>0.51699716713881028</v>
      </c>
      <c r="Q274" s="11">
        <v>20</v>
      </c>
      <c r="R274" s="36">
        <v>0</v>
      </c>
      <c r="S274" s="36">
        <v>0</v>
      </c>
      <c r="T274" s="4">
        <f t="shared" si="60"/>
        <v>1</v>
      </c>
      <c r="U274" s="11">
        <v>20</v>
      </c>
      <c r="V274" s="36">
        <v>0.5</v>
      </c>
      <c r="W274" s="36">
        <v>0.6</v>
      </c>
      <c r="X274" s="4">
        <f t="shared" si="61"/>
        <v>1.2</v>
      </c>
      <c r="Y274" s="11">
        <v>30</v>
      </c>
      <c r="Z274" s="45">
        <f t="shared" si="68"/>
        <v>0.91086693884352599</v>
      </c>
      <c r="AA274" s="46">
        <v>501</v>
      </c>
      <c r="AB274" s="36">
        <f t="shared" si="62"/>
        <v>45.545454545454547</v>
      </c>
      <c r="AC274" s="36">
        <f t="shared" si="63"/>
        <v>41.5</v>
      </c>
      <c r="AD274" s="36">
        <f t="shared" si="64"/>
        <v>-4.0454545454545467</v>
      </c>
      <c r="AE274" s="36">
        <v>1.6</v>
      </c>
      <c r="AF274" s="36">
        <f t="shared" si="65"/>
        <v>43.1</v>
      </c>
      <c r="AG274" s="36"/>
      <c r="AH274" s="36">
        <f t="shared" si="66"/>
        <v>43.1</v>
      </c>
      <c r="AI274" s="36"/>
      <c r="AJ274" s="36">
        <f t="shared" si="67"/>
        <v>43.1</v>
      </c>
      <c r="AK274" s="9"/>
      <c r="AL274" s="9"/>
      <c r="AM274" s="9"/>
      <c r="AN274" s="9"/>
      <c r="AO274" s="9"/>
      <c r="AP274" s="9"/>
      <c r="AQ274" s="9"/>
      <c r="AR274" s="10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0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10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10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10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10"/>
      <c r="GC274" s="9"/>
      <c r="GD274" s="9"/>
    </row>
    <row r="275" spans="1:186" s="2" customFormat="1" ht="16.95" customHeight="1">
      <c r="A275" s="14" t="s">
        <v>271</v>
      </c>
      <c r="B275" s="36">
        <v>0</v>
      </c>
      <c r="C275" s="36">
        <v>0</v>
      </c>
      <c r="D275" s="4">
        <f t="shared" si="58"/>
        <v>0</v>
      </c>
      <c r="E275" s="11">
        <v>0</v>
      </c>
      <c r="F275" s="5" t="s">
        <v>370</v>
      </c>
      <c r="G275" s="5" t="s">
        <v>370</v>
      </c>
      <c r="H275" s="5" t="s">
        <v>370</v>
      </c>
      <c r="I275" s="5" t="s">
        <v>370</v>
      </c>
      <c r="J275" s="5" t="s">
        <v>370</v>
      </c>
      <c r="K275" s="5" t="s">
        <v>370</v>
      </c>
      <c r="L275" s="5" t="s">
        <v>370</v>
      </c>
      <c r="M275" s="5" t="s">
        <v>370</v>
      </c>
      <c r="N275" s="36">
        <v>306</v>
      </c>
      <c r="O275" s="36">
        <v>100.2</v>
      </c>
      <c r="P275" s="4">
        <f t="shared" si="59"/>
        <v>0.32745098039215687</v>
      </c>
      <c r="Q275" s="11">
        <v>20</v>
      </c>
      <c r="R275" s="36">
        <v>9</v>
      </c>
      <c r="S275" s="36">
        <v>9.1</v>
      </c>
      <c r="T275" s="4">
        <f t="shared" si="60"/>
        <v>1.0111111111111111</v>
      </c>
      <c r="U275" s="11">
        <v>15</v>
      </c>
      <c r="V275" s="36">
        <v>1.2</v>
      </c>
      <c r="W275" s="36">
        <v>1.1000000000000001</v>
      </c>
      <c r="X275" s="4">
        <f t="shared" si="61"/>
        <v>0.91666666666666674</v>
      </c>
      <c r="Y275" s="11">
        <v>35</v>
      </c>
      <c r="Z275" s="45">
        <f t="shared" si="68"/>
        <v>0.76855742296918761</v>
      </c>
      <c r="AA275" s="46">
        <v>1447</v>
      </c>
      <c r="AB275" s="36">
        <f t="shared" si="62"/>
        <v>131.54545454545453</v>
      </c>
      <c r="AC275" s="36">
        <f t="shared" si="63"/>
        <v>101.1</v>
      </c>
      <c r="AD275" s="36">
        <f t="shared" si="64"/>
        <v>-30.445454545454538</v>
      </c>
      <c r="AE275" s="36">
        <v>4.5</v>
      </c>
      <c r="AF275" s="36">
        <f t="shared" si="65"/>
        <v>105.6</v>
      </c>
      <c r="AG275" s="36"/>
      <c r="AH275" s="36">
        <f t="shared" si="66"/>
        <v>105.6</v>
      </c>
      <c r="AI275" s="36"/>
      <c r="AJ275" s="36">
        <f t="shared" si="67"/>
        <v>105.6</v>
      </c>
      <c r="AK275" s="9"/>
      <c r="AL275" s="9"/>
      <c r="AM275" s="9"/>
      <c r="AN275" s="9"/>
      <c r="AO275" s="9"/>
      <c r="AP275" s="9"/>
      <c r="AQ275" s="9"/>
      <c r="AR275" s="10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0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10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10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10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10"/>
      <c r="GC275" s="9"/>
      <c r="GD275" s="9"/>
    </row>
    <row r="276" spans="1:186" s="2" customFormat="1" ht="16.95" customHeight="1">
      <c r="A276" s="14" t="s">
        <v>272</v>
      </c>
      <c r="B276" s="36">
        <v>0</v>
      </c>
      <c r="C276" s="36">
        <v>0</v>
      </c>
      <c r="D276" s="4">
        <f t="shared" si="58"/>
        <v>0</v>
      </c>
      <c r="E276" s="11">
        <v>0</v>
      </c>
      <c r="F276" s="5" t="s">
        <v>370</v>
      </c>
      <c r="G276" s="5" t="s">
        <v>370</v>
      </c>
      <c r="H276" s="5" t="s">
        <v>370</v>
      </c>
      <c r="I276" s="5" t="s">
        <v>370</v>
      </c>
      <c r="J276" s="5" t="s">
        <v>370</v>
      </c>
      <c r="K276" s="5" t="s">
        <v>370</v>
      </c>
      <c r="L276" s="5" t="s">
        <v>370</v>
      </c>
      <c r="M276" s="5" t="s">
        <v>370</v>
      </c>
      <c r="N276" s="36">
        <v>366.2</v>
      </c>
      <c r="O276" s="36">
        <v>45.2</v>
      </c>
      <c r="P276" s="4">
        <f t="shared" si="59"/>
        <v>0.12342981977061716</v>
      </c>
      <c r="Q276" s="11">
        <v>20</v>
      </c>
      <c r="R276" s="36">
        <v>5</v>
      </c>
      <c r="S276" s="36">
        <v>5.0999999999999996</v>
      </c>
      <c r="T276" s="4">
        <f t="shared" si="60"/>
        <v>1.02</v>
      </c>
      <c r="U276" s="11">
        <v>20</v>
      </c>
      <c r="V276" s="36">
        <v>1.2</v>
      </c>
      <c r="W276" s="36">
        <v>1.1000000000000001</v>
      </c>
      <c r="X276" s="4">
        <f t="shared" si="61"/>
        <v>0.91666666666666674</v>
      </c>
      <c r="Y276" s="11">
        <v>30</v>
      </c>
      <c r="Z276" s="45">
        <f t="shared" si="68"/>
        <v>0.7195513770773192</v>
      </c>
      <c r="AA276" s="46">
        <v>1083</v>
      </c>
      <c r="AB276" s="36">
        <f t="shared" si="62"/>
        <v>98.454545454545453</v>
      </c>
      <c r="AC276" s="36">
        <f t="shared" si="63"/>
        <v>70.8</v>
      </c>
      <c r="AD276" s="36">
        <f t="shared" si="64"/>
        <v>-27.654545454545456</v>
      </c>
      <c r="AE276" s="36">
        <v>2.8</v>
      </c>
      <c r="AF276" s="36">
        <f t="shared" si="65"/>
        <v>73.599999999999994</v>
      </c>
      <c r="AG276" s="36"/>
      <c r="AH276" s="36">
        <f t="shared" si="66"/>
        <v>73.599999999999994</v>
      </c>
      <c r="AI276" s="36"/>
      <c r="AJ276" s="36">
        <f t="shared" si="67"/>
        <v>73.599999999999994</v>
      </c>
      <c r="AK276" s="9"/>
      <c r="AL276" s="9"/>
      <c r="AM276" s="9"/>
      <c r="AN276" s="9"/>
      <c r="AO276" s="9"/>
      <c r="AP276" s="9"/>
      <c r="AQ276" s="9"/>
      <c r="AR276" s="10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0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10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10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10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10"/>
      <c r="GC276" s="9"/>
      <c r="GD276" s="9"/>
    </row>
    <row r="277" spans="1:186" s="2" customFormat="1" ht="16.95" customHeight="1">
      <c r="A277" s="14" t="s">
        <v>273</v>
      </c>
      <c r="B277" s="36">
        <v>0</v>
      </c>
      <c r="C277" s="36">
        <v>0</v>
      </c>
      <c r="D277" s="4">
        <f t="shared" si="58"/>
        <v>0</v>
      </c>
      <c r="E277" s="11">
        <v>0</v>
      </c>
      <c r="F277" s="5" t="s">
        <v>370</v>
      </c>
      <c r="G277" s="5" t="s">
        <v>370</v>
      </c>
      <c r="H277" s="5" t="s">
        <v>370</v>
      </c>
      <c r="I277" s="5" t="s">
        <v>370</v>
      </c>
      <c r="J277" s="5" t="s">
        <v>370</v>
      </c>
      <c r="K277" s="5" t="s">
        <v>370</v>
      </c>
      <c r="L277" s="5" t="s">
        <v>370</v>
      </c>
      <c r="M277" s="5" t="s">
        <v>370</v>
      </c>
      <c r="N277" s="36">
        <v>66.900000000000006</v>
      </c>
      <c r="O277" s="36">
        <v>40.5</v>
      </c>
      <c r="P277" s="4">
        <f t="shared" si="59"/>
        <v>0.60538116591928248</v>
      </c>
      <c r="Q277" s="11">
        <v>20</v>
      </c>
      <c r="R277" s="36">
        <v>0</v>
      </c>
      <c r="S277" s="36">
        <v>0</v>
      </c>
      <c r="T277" s="4">
        <f t="shared" si="60"/>
        <v>1</v>
      </c>
      <c r="U277" s="11">
        <v>30</v>
      </c>
      <c r="V277" s="36">
        <v>0.5</v>
      </c>
      <c r="W277" s="36">
        <v>0.5</v>
      </c>
      <c r="X277" s="4">
        <f t="shared" si="61"/>
        <v>1</v>
      </c>
      <c r="Y277" s="11">
        <v>20</v>
      </c>
      <c r="Z277" s="45">
        <f t="shared" si="68"/>
        <v>0.88725176169122355</v>
      </c>
      <c r="AA277" s="46">
        <v>1594</v>
      </c>
      <c r="AB277" s="36">
        <f t="shared" si="62"/>
        <v>144.90909090909091</v>
      </c>
      <c r="AC277" s="36">
        <f t="shared" si="63"/>
        <v>128.6</v>
      </c>
      <c r="AD277" s="36">
        <f t="shared" si="64"/>
        <v>-16.309090909090912</v>
      </c>
      <c r="AE277" s="36">
        <v>-6.2</v>
      </c>
      <c r="AF277" s="36">
        <f t="shared" si="65"/>
        <v>122.4</v>
      </c>
      <c r="AG277" s="36"/>
      <c r="AH277" s="36">
        <f t="shared" si="66"/>
        <v>122.4</v>
      </c>
      <c r="AI277" s="36"/>
      <c r="AJ277" s="36">
        <f t="shared" si="67"/>
        <v>122.4</v>
      </c>
      <c r="AK277" s="9"/>
      <c r="AL277" s="9"/>
      <c r="AM277" s="9"/>
      <c r="AN277" s="9"/>
      <c r="AO277" s="9"/>
      <c r="AP277" s="9"/>
      <c r="AQ277" s="9"/>
      <c r="AR277" s="10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0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10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10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10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10"/>
      <c r="GC277" s="9"/>
      <c r="GD277" s="9"/>
    </row>
    <row r="278" spans="1:186" s="2" customFormat="1" ht="16.95" customHeight="1">
      <c r="A278" s="14" t="s">
        <v>274</v>
      </c>
      <c r="B278" s="36">
        <v>0</v>
      </c>
      <c r="C278" s="36">
        <v>0</v>
      </c>
      <c r="D278" s="4">
        <f t="shared" si="58"/>
        <v>0</v>
      </c>
      <c r="E278" s="11">
        <v>0</v>
      </c>
      <c r="F278" s="5" t="s">
        <v>370</v>
      </c>
      <c r="G278" s="5" t="s">
        <v>370</v>
      </c>
      <c r="H278" s="5" t="s">
        <v>370</v>
      </c>
      <c r="I278" s="5" t="s">
        <v>370</v>
      </c>
      <c r="J278" s="5" t="s">
        <v>370</v>
      </c>
      <c r="K278" s="5" t="s">
        <v>370</v>
      </c>
      <c r="L278" s="5" t="s">
        <v>370</v>
      </c>
      <c r="M278" s="5" t="s">
        <v>370</v>
      </c>
      <c r="N278" s="36">
        <v>257.89999999999998</v>
      </c>
      <c r="O278" s="36">
        <v>39.6</v>
      </c>
      <c r="P278" s="4">
        <f t="shared" si="59"/>
        <v>0.15354788677782089</v>
      </c>
      <c r="Q278" s="11">
        <v>20</v>
      </c>
      <c r="R278" s="36">
        <v>0</v>
      </c>
      <c r="S278" s="36">
        <v>0</v>
      </c>
      <c r="T278" s="4">
        <f t="shared" si="60"/>
        <v>1</v>
      </c>
      <c r="U278" s="11">
        <v>20</v>
      </c>
      <c r="V278" s="36">
        <v>1</v>
      </c>
      <c r="W278" s="36">
        <v>1</v>
      </c>
      <c r="X278" s="4">
        <f t="shared" si="61"/>
        <v>1</v>
      </c>
      <c r="Y278" s="11">
        <v>30</v>
      </c>
      <c r="Z278" s="45">
        <f t="shared" si="68"/>
        <v>0.75815653907937741</v>
      </c>
      <c r="AA278" s="46">
        <v>706</v>
      </c>
      <c r="AB278" s="36">
        <f t="shared" si="62"/>
        <v>64.181818181818187</v>
      </c>
      <c r="AC278" s="36">
        <f t="shared" si="63"/>
        <v>48.7</v>
      </c>
      <c r="AD278" s="36">
        <f t="shared" si="64"/>
        <v>-15.481818181818184</v>
      </c>
      <c r="AE278" s="36">
        <v>-2.2000000000000002</v>
      </c>
      <c r="AF278" s="36">
        <f t="shared" si="65"/>
        <v>46.5</v>
      </c>
      <c r="AG278" s="36"/>
      <c r="AH278" s="36">
        <f t="shared" si="66"/>
        <v>46.5</v>
      </c>
      <c r="AI278" s="36"/>
      <c r="AJ278" s="36">
        <f t="shared" si="67"/>
        <v>46.5</v>
      </c>
      <c r="AK278" s="9"/>
      <c r="AL278" s="9"/>
      <c r="AM278" s="9"/>
      <c r="AN278" s="9"/>
      <c r="AO278" s="9"/>
      <c r="AP278" s="9"/>
      <c r="AQ278" s="9"/>
      <c r="AR278" s="10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0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10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10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10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10"/>
      <c r="GC278" s="9"/>
      <c r="GD278" s="9"/>
    </row>
    <row r="279" spans="1:186" s="2" customFormat="1" ht="16.95" customHeight="1">
      <c r="A279" s="14" t="s">
        <v>275</v>
      </c>
      <c r="B279" s="36">
        <v>0</v>
      </c>
      <c r="C279" s="36">
        <v>0</v>
      </c>
      <c r="D279" s="4">
        <f t="shared" si="58"/>
        <v>0</v>
      </c>
      <c r="E279" s="11">
        <v>0</v>
      </c>
      <c r="F279" s="5" t="s">
        <v>370</v>
      </c>
      <c r="G279" s="5" t="s">
        <v>370</v>
      </c>
      <c r="H279" s="5" t="s">
        <v>370</v>
      </c>
      <c r="I279" s="5" t="s">
        <v>370</v>
      </c>
      <c r="J279" s="5" t="s">
        <v>370</v>
      </c>
      <c r="K279" s="5" t="s">
        <v>370</v>
      </c>
      <c r="L279" s="5" t="s">
        <v>370</v>
      </c>
      <c r="M279" s="5" t="s">
        <v>370</v>
      </c>
      <c r="N279" s="36">
        <v>391.7</v>
      </c>
      <c r="O279" s="36">
        <v>102.3</v>
      </c>
      <c r="P279" s="4">
        <f t="shared" si="59"/>
        <v>0.26116926219045189</v>
      </c>
      <c r="Q279" s="11">
        <v>20</v>
      </c>
      <c r="R279" s="36">
        <v>8</v>
      </c>
      <c r="S279" s="36">
        <v>9.1</v>
      </c>
      <c r="T279" s="4">
        <f t="shared" si="60"/>
        <v>1.1375</v>
      </c>
      <c r="U279" s="11">
        <v>15</v>
      </c>
      <c r="V279" s="36">
        <v>1</v>
      </c>
      <c r="W279" s="36">
        <v>1</v>
      </c>
      <c r="X279" s="4">
        <f t="shared" si="61"/>
        <v>1</v>
      </c>
      <c r="Y279" s="11">
        <v>35</v>
      </c>
      <c r="Z279" s="45">
        <f t="shared" si="68"/>
        <v>0.81836978919727188</v>
      </c>
      <c r="AA279" s="46">
        <v>1039</v>
      </c>
      <c r="AB279" s="36">
        <f t="shared" si="62"/>
        <v>94.454545454545453</v>
      </c>
      <c r="AC279" s="36">
        <f t="shared" si="63"/>
        <v>77.3</v>
      </c>
      <c r="AD279" s="36">
        <f t="shared" si="64"/>
        <v>-17.154545454545456</v>
      </c>
      <c r="AE279" s="36">
        <v>-3.1</v>
      </c>
      <c r="AF279" s="36">
        <f t="shared" si="65"/>
        <v>74.2</v>
      </c>
      <c r="AG279" s="36"/>
      <c r="AH279" s="36">
        <f t="shared" si="66"/>
        <v>74.2</v>
      </c>
      <c r="AI279" s="36"/>
      <c r="AJ279" s="36">
        <f t="shared" si="67"/>
        <v>74.2</v>
      </c>
      <c r="AK279" s="9"/>
      <c r="AL279" s="9"/>
      <c r="AM279" s="9"/>
      <c r="AN279" s="9"/>
      <c r="AO279" s="9"/>
      <c r="AP279" s="9"/>
      <c r="AQ279" s="9"/>
      <c r="AR279" s="10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0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10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10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10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10"/>
      <c r="GC279" s="9"/>
      <c r="GD279" s="9"/>
    </row>
    <row r="280" spans="1:186" s="2" customFormat="1" ht="16.95" customHeight="1">
      <c r="A280" s="14" t="s">
        <v>276</v>
      </c>
      <c r="B280" s="36">
        <v>0</v>
      </c>
      <c r="C280" s="36">
        <v>0</v>
      </c>
      <c r="D280" s="4">
        <f t="shared" si="58"/>
        <v>0</v>
      </c>
      <c r="E280" s="11">
        <v>0</v>
      </c>
      <c r="F280" s="5" t="s">
        <v>370</v>
      </c>
      <c r="G280" s="5" t="s">
        <v>370</v>
      </c>
      <c r="H280" s="5" t="s">
        <v>370</v>
      </c>
      <c r="I280" s="5" t="s">
        <v>370</v>
      </c>
      <c r="J280" s="5" t="s">
        <v>370</v>
      </c>
      <c r="K280" s="5" t="s">
        <v>370</v>
      </c>
      <c r="L280" s="5" t="s">
        <v>370</v>
      </c>
      <c r="M280" s="5" t="s">
        <v>370</v>
      </c>
      <c r="N280" s="36">
        <v>92.7</v>
      </c>
      <c r="O280" s="36">
        <v>16.3</v>
      </c>
      <c r="P280" s="4">
        <f t="shared" si="59"/>
        <v>0.17583603020496225</v>
      </c>
      <c r="Q280" s="11">
        <v>20</v>
      </c>
      <c r="R280" s="36">
        <v>16</v>
      </c>
      <c r="S280" s="36">
        <v>18.8</v>
      </c>
      <c r="T280" s="4">
        <f t="shared" si="60"/>
        <v>1.175</v>
      </c>
      <c r="U280" s="11">
        <v>25</v>
      </c>
      <c r="V280" s="36">
        <v>1</v>
      </c>
      <c r="W280" s="36">
        <v>1</v>
      </c>
      <c r="X280" s="4">
        <f t="shared" si="61"/>
        <v>1</v>
      </c>
      <c r="Y280" s="11">
        <v>25</v>
      </c>
      <c r="Z280" s="45">
        <f t="shared" si="68"/>
        <v>0.82702458005856072</v>
      </c>
      <c r="AA280" s="46">
        <v>907</v>
      </c>
      <c r="AB280" s="36">
        <f t="shared" si="62"/>
        <v>82.454545454545453</v>
      </c>
      <c r="AC280" s="36">
        <f t="shared" si="63"/>
        <v>68.2</v>
      </c>
      <c r="AD280" s="36">
        <f t="shared" si="64"/>
        <v>-14.25454545454545</v>
      </c>
      <c r="AE280" s="36">
        <v>-1.7</v>
      </c>
      <c r="AF280" s="36">
        <f t="shared" si="65"/>
        <v>66.5</v>
      </c>
      <c r="AG280" s="36"/>
      <c r="AH280" s="36">
        <f t="shared" si="66"/>
        <v>66.5</v>
      </c>
      <c r="AI280" s="36"/>
      <c r="AJ280" s="36">
        <f t="shared" si="67"/>
        <v>66.5</v>
      </c>
      <c r="AK280" s="9"/>
      <c r="AL280" s="9"/>
      <c r="AM280" s="9"/>
      <c r="AN280" s="9"/>
      <c r="AO280" s="9"/>
      <c r="AP280" s="9"/>
      <c r="AQ280" s="9"/>
      <c r="AR280" s="10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0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10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10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10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10"/>
      <c r="GC280" s="9"/>
      <c r="GD280" s="9"/>
    </row>
    <row r="281" spans="1:186" s="2" customFormat="1" ht="16.95" customHeight="1">
      <c r="A281" s="14" t="s">
        <v>277</v>
      </c>
      <c r="B281" s="36">
        <v>0</v>
      </c>
      <c r="C281" s="36">
        <v>0</v>
      </c>
      <c r="D281" s="4">
        <f t="shared" si="58"/>
        <v>0</v>
      </c>
      <c r="E281" s="11">
        <v>0</v>
      </c>
      <c r="F281" s="5" t="s">
        <v>370</v>
      </c>
      <c r="G281" s="5" t="s">
        <v>370</v>
      </c>
      <c r="H281" s="5" t="s">
        <v>370</v>
      </c>
      <c r="I281" s="5" t="s">
        <v>370</v>
      </c>
      <c r="J281" s="5" t="s">
        <v>370</v>
      </c>
      <c r="K281" s="5" t="s">
        <v>370</v>
      </c>
      <c r="L281" s="5" t="s">
        <v>370</v>
      </c>
      <c r="M281" s="5" t="s">
        <v>370</v>
      </c>
      <c r="N281" s="36">
        <v>144</v>
      </c>
      <c r="O281" s="36">
        <v>57</v>
      </c>
      <c r="P281" s="4">
        <f t="shared" si="59"/>
        <v>0.39583333333333331</v>
      </c>
      <c r="Q281" s="11">
        <v>20</v>
      </c>
      <c r="R281" s="36">
        <v>9</v>
      </c>
      <c r="S281" s="36">
        <v>9.3000000000000007</v>
      </c>
      <c r="T281" s="4">
        <f t="shared" si="60"/>
        <v>1.0333333333333334</v>
      </c>
      <c r="U281" s="11">
        <v>20</v>
      </c>
      <c r="V281" s="36">
        <v>1.2</v>
      </c>
      <c r="W281" s="36">
        <v>1.2</v>
      </c>
      <c r="X281" s="4">
        <f t="shared" si="61"/>
        <v>1</v>
      </c>
      <c r="Y281" s="11">
        <v>30</v>
      </c>
      <c r="Z281" s="45">
        <f t="shared" si="68"/>
        <v>0.83690476190476193</v>
      </c>
      <c r="AA281" s="46">
        <v>79</v>
      </c>
      <c r="AB281" s="36">
        <f t="shared" si="62"/>
        <v>7.1818181818181817</v>
      </c>
      <c r="AC281" s="36">
        <f t="shared" si="63"/>
        <v>6</v>
      </c>
      <c r="AD281" s="36">
        <f t="shared" si="64"/>
        <v>-1.1818181818181817</v>
      </c>
      <c r="AE281" s="36">
        <v>0.2</v>
      </c>
      <c r="AF281" s="36">
        <f t="shared" si="65"/>
        <v>6.2</v>
      </c>
      <c r="AG281" s="36"/>
      <c r="AH281" s="36">
        <f t="shared" si="66"/>
        <v>6.2</v>
      </c>
      <c r="AI281" s="36"/>
      <c r="AJ281" s="36">
        <f t="shared" si="67"/>
        <v>6.2</v>
      </c>
      <c r="AK281" s="9"/>
      <c r="AL281" s="9"/>
      <c r="AM281" s="9"/>
      <c r="AN281" s="9"/>
      <c r="AO281" s="9"/>
      <c r="AP281" s="9"/>
      <c r="AQ281" s="9"/>
      <c r="AR281" s="10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0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10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10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10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10"/>
      <c r="GC281" s="9"/>
      <c r="GD281" s="9"/>
    </row>
    <row r="282" spans="1:186" s="2" customFormat="1" ht="16.95" customHeight="1">
      <c r="A282" s="14" t="s">
        <v>278</v>
      </c>
      <c r="B282" s="36">
        <v>5261</v>
      </c>
      <c r="C282" s="36">
        <v>7832.6</v>
      </c>
      <c r="D282" s="4">
        <f t="shared" si="58"/>
        <v>1.2288804409808021</v>
      </c>
      <c r="E282" s="11">
        <v>10</v>
      </c>
      <c r="F282" s="5" t="s">
        <v>370</v>
      </c>
      <c r="G282" s="5" t="s">
        <v>370</v>
      </c>
      <c r="H282" s="5" t="s">
        <v>370</v>
      </c>
      <c r="I282" s="5" t="s">
        <v>370</v>
      </c>
      <c r="J282" s="5" t="s">
        <v>370</v>
      </c>
      <c r="K282" s="5" t="s">
        <v>370</v>
      </c>
      <c r="L282" s="5" t="s">
        <v>370</v>
      </c>
      <c r="M282" s="5" t="s">
        <v>370</v>
      </c>
      <c r="N282" s="36">
        <v>1292.5</v>
      </c>
      <c r="O282" s="36">
        <v>1345.4</v>
      </c>
      <c r="P282" s="4">
        <f t="shared" si="59"/>
        <v>1.0409284332688589</v>
      </c>
      <c r="Q282" s="11">
        <v>20</v>
      </c>
      <c r="R282" s="36">
        <v>0</v>
      </c>
      <c r="S282" s="36">
        <v>0</v>
      </c>
      <c r="T282" s="4">
        <f t="shared" si="60"/>
        <v>1</v>
      </c>
      <c r="U282" s="11">
        <v>15</v>
      </c>
      <c r="V282" s="36">
        <v>1.2</v>
      </c>
      <c r="W282" s="36">
        <v>1.3</v>
      </c>
      <c r="X282" s="4">
        <f t="shared" si="61"/>
        <v>1.0833333333333335</v>
      </c>
      <c r="Y282" s="11">
        <v>35</v>
      </c>
      <c r="Z282" s="45">
        <f t="shared" si="68"/>
        <v>1.0753004967731485</v>
      </c>
      <c r="AA282" s="46">
        <v>2230</v>
      </c>
      <c r="AB282" s="36">
        <f t="shared" si="62"/>
        <v>202.72727272727272</v>
      </c>
      <c r="AC282" s="36">
        <f t="shared" si="63"/>
        <v>218</v>
      </c>
      <c r="AD282" s="36">
        <f t="shared" si="64"/>
        <v>15.27272727272728</v>
      </c>
      <c r="AE282" s="36">
        <v>4.7</v>
      </c>
      <c r="AF282" s="36">
        <f t="shared" si="65"/>
        <v>222.7</v>
      </c>
      <c r="AG282" s="36"/>
      <c r="AH282" s="36">
        <f t="shared" si="66"/>
        <v>222.7</v>
      </c>
      <c r="AI282" s="36"/>
      <c r="AJ282" s="36">
        <f t="shared" si="67"/>
        <v>222.7</v>
      </c>
      <c r="AK282" s="9"/>
      <c r="AL282" s="9"/>
      <c r="AM282" s="9"/>
      <c r="AN282" s="9"/>
      <c r="AO282" s="9"/>
      <c r="AP282" s="9"/>
      <c r="AQ282" s="9"/>
      <c r="AR282" s="10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0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10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10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10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10"/>
      <c r="GC282" s="9"/>
      <c r="GD282" s="9"/>
    </row>
    <row r="283" spans="1:186" s="2" customFormat="1" ht="16.95" customHeight="1">
      <c r="A283" s="14" t="s">
        <v>279</v>
      </c>
      <c r="B283" s="36">
        <v>2497</v>
      </c>
      <c r="C283" s="36">
        <v>3805.5</v>
      </c>
      <c r="D283" s="4">
        <f t="shared" si="58"/>
        <v>1.2324028834601521</v>
      </c>
      <c r="E283" s="11">
        <v>10</v>
      </c>
      <c r="F283" s="5" t="s">
        <v>370</v>
      </c>
      <c r="G283" s="5" t="s">
        <v>370</v>
      </c>
      <c r="H283" s="5" t="s">
        <v>370</v>
      </c>
      <c r="I283" s="5" t="s">
        <v>370</v>
      </c>
      <c r="J283" s="5" t="s">
        <v>370</v>
      </c>
      <c r="K283" s="5" t="s">
        <v>370</v>
      </c>
      <c r="L283" s="5" t="s">
        <v>370</v>
      </c>
      <c r="M283" s="5" t="s">
        <v>370</v>
      </c>
      <c r="N283" s="36">
        <v>219.3</v>
      </c>
      <c r="O283" s="36">
        <v>494.9</v>
      </c>
      <c r="P283" s="4">
        <f t="shared" si="59"/>
        <v>1.3</v>
      </c>
      <c r="Q283" s="11">
        <v>20</v>
      </c>
      <c r="R283" s="36">
        <v>0</v>
      </c>
      <c r="S283" s="36">
        <v>0</v>
      </c>
      <c r="T283" s="4">
        <f t="shared" si="60"/>
        <v>1</v>
      </c>
      <c r="U283" s="11">
        <v>25</v>
      </c>
      <c r="V283" s="36">
        <v>0.1</v>
      </c>
      <c r="W283" s="36">
        <v>0</v>
      </c>
      <c r="X283" s="4">
        <f t="shared" si="61"/>
        <v>0</v>
      </c>
      <c r="Y283" s="11">
        <v>25</v>
      </c>
      <c r="Z283" s="45">
        <f t="shared" si="68"/>
        <v>0.79155036043251903</v>
      </c>
      <c r="AA283" s="46">
        <v>2999</v>
      </c>
      <c r="AB283" s="36">
        <f t="shared" si="62"/>
        <v>272.63636363636363</v>
      </c>
      <c r="AC283" s="36">
        <f t="shared" si="63"/>
        <v>215.8</v>
      </c>
      <c r="AD283" s="36">
        <f t="shared" si="64"/>
        <v>-56.836363636363615</v>
      </c>
      <c r="AE283" s="36">
        <v>-4.5999999999999996</v>
      </c>
      <c r="AF283" s="36">
        <f t="shared" si="65"/>
        <v>211.2</v>
      </c>
      <c r="AG283" s="36"/>
      <c r="AH283" s="36">
        <f t="shared" si="66"/>
        <v>211.2</v>
      </c>
      <c r="AI283" s="36"/>
      <c r="AJ283" s="36">
        <f t="shared" si="67"/>
        <v>211.2</v>
      </c>
      <c r="AK283" s="9"/>
      <c r="AL283" s="9"/>
      <c r="AM283" s="9"/>
      <c r="AN283" s="9"/>
      <c r="AO283" s="9"/>
      <c r="AP283" s="9"/>
      <c r="AQ283" s="9"/>
      <c r="AR283" s="10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0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10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10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10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10"/>
      <c r="GC283" s="9"/>
      <c r="GD283" s="9"/>
    </row>
    <row r="284" spans="1:186" s="2" customFormat="1" ht="16.95" customHeight="1">
      <c r="A284" s="14" t="s">
        <v>280</v>
      </c>
      <c r="B284" s="36">
        <v>44228</v>
      </c>
      <c r="C284" s="36">
        <v>56705.4</v>
      </c>
      <c r="D284" s="4">
        <f t="shared" si="58"/>
        <v>1.2082115402007778</v>
      </c>
      <c r="E284" s="11">
        <v>10</v>
      </c>
      <c r="F284" s="5" t="s">
        <v>370</v>
      </c>
      <c r="G284" s="5" t="s">
        <v>370</v>
      </c>
      <c r="H284" s="5" t="s">
        <v>370</v>
      </c>
      <c r="I284" s="5" t="s">
        <v>370</v>
      </c>
      <c r="J284" s="5" t="s">
        <v>370</v>
      </c>
      <c r="K284" s="5" t="s">
        <v>370</v>
      </c>
      <c r="L284" s="5" t="s">
        <v>370</v>
      </c>
      <c r="M284" s="5" t="s">
        <v>370</v>
      </c>
      <c r="N284" s="36">
        <v>561.1</v>
      </c>
      <c r="O284" s="36">
        <v>581</v>
      </c>
      <c r="P284" s="4">
        <f t="shared" si="59"/>
        <v>1.0354660488326501</v>
      </c>
      <c r="Q284" s="11">
        <v>20</v>
      </c>
      <c r="R284" s="36">
        <v>10</v>
      </c>
      <c r="S284" s="36">
        <v>5.3</v>
      </c>
      <c r="T284" s="4">
        <f t="shared" si="60"/>
        <v>0.53</v>
      </c>
      <c r="U284" s="11">
        <v>5</v>
      </c>
      <c r="V284" s="36">
        <v>1.5</v>
      </c>
      <c r="W284" s="36">
        <v>1.4</v>
      </c>
      <c r="X284" s="4">
        <f t="shared" si="61"/>
        <v>0.93333333333333324</v>
      </c>
      <c r="Y284" s="11">
        <v>45</v>
      </c>
      <c r="Z284" s="45">
        <f t="shared" si="68"/>
        <v>0.96801795473325958</v>
      </c>
      <c r="AA284" s="46">
        <v>3820</v>
      </c>
      <c r="AB284" s="36">
        <f t="shared" si="62"/>
        <v>347.27272727272725</v>
      </c>
      <c r="AC284" s="36">
        <f t="shared" si="63"/>
        <v>336.2</v>
      </c>
      <c r="AD284" s="36">
        <f t="shared" si="64"/>
        <v>-11.072727272727263</v>
      </c>
      <c r="AE284" s="36">
        <v>-1.4</v>
      </c>
      <c r="AF284" s="36">
        <f t="shared" si="65"/>
        <v>334.8</v>
      </c>
      <c r="AG284" s="36"/>
      <c r="AH284" s="36">
        <f t="shared" si="66"/>
        <v>334.8</v>
      </c>
      <c r="AI284" s="36"/>
      <c r="AJ284" s="36">
        <f t="shared" si="67"/>
        <v>334.8</v>
      </c>
      <c r="AK284" s="9"/>
      <c r="AL284" s="9"/>
      <c r="AM284" s="9"/>
      <c r="AN284" s="9"/>
      <c r="AO284" s="9"/>
      <c r="AP284" s="9"/>
      <c r="AQ284" s="9"/>
      <c r="AR284" s="10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10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10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10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10"/>
      <c r="GC284" s="9"/>
      <c r="GD284" s="9"/>
    </row>
    <row r="285" spans="1:186" s="2" customFormat="1" ht="16.95" customHeight="1">
      <c r="A285" s="14" t="s">
        <v>281</v>
      </c>
      <c r="B285" s="36">
        <v>46952</v>
      </c>
      <c r="C285" s="36">
        <v>46213.2</v>
      </c>
      <c r="D285" s="4">
        <f t="shared" si="58"/>
        <v>0.9842647810529902</v>
      </c>
      <c r="E285" s="11">
        <v>10</v>
      </c>
      <c r="F285" s="5" t="s">
        <v>370</v>
      </c>
      <c r="G285" s="5" t="s">
        <v>370</v>
      </c>
      <c r="H285" s="5" t="s">
        <v>370</v>
      </c>
      <c r="I285" s="5" t="s">
        <v>370</v>
      </c>
      <c r="J285" s="5" t="s">
        <v>370</v>
      </c>
      <c r="K285" s="5" t="s">
        <v>370</v>
      </c>
      <c r="L285" s="5" t="s">
        <v>370</v>
      </c>
      <c r="M285" s="5" t="s">
        <v>370</v>
      </c>
      <c r="N285" s="36">
        <v>3768.6</v>
      </c>
      <c r="O285" s="36">
        <v>3387</v>
      </c>
      <c r="P285" s="4">
        <f t="shared" si="59"/>
        <v>0.89874223849705459</v>
      </c>
      <c r="Q285" s="11">
        <v>20</v>
      </c>
      <c r="R285" s="36">
        <v>0</v>
      </c>
      <c r="S285" s="36">
        <v>0</v>
      </c>
      <c r="T285" s="4">
        <f t="shared" si="60"/>
        <v>1</v>
      </c>
      <c r="U285" s="11">
        <v>10</v>
      </c>
      <c r="V285" s="36">
        <v>0.1</v>
      </c>
      <c r="W285" s="36">
        <v>0.9</v>
      </c>
      <c r="X285" s="4">
        <f t="shared" si="61"/>
        <v>1.3</v>
      </c>
      <c r="Y285" s="11">
        <v>40</v>
      </c>
      <c r="Z285" s="45">
        <f t="shared" si="68"/>
        <v>1.1227186572558874</v>
      </c>
      <c r="AA285" s="46">
        <v>0</v>
      </c>
      <c r="AB285" s="36">
        <f t="shared" si="62"/>
        <v>0</v>
      </c>
      <c r="AC285" s="36">
        <f t="shared" si="63"/>
        <v>0</v>
      </c>
      <c r="AD285" s="36">
        <f t="shared" si="64"/>
        <v>0</v>
      </c>
      <c r="AE285" s="36">
        <v>0</v>
      </c>
      <c r="AF285" s="36">
        <f t="shared" si="65"/>
        <v>0</v>
      </c>
      <c r="AG285" s="36"/>
      <c r="AH285" s="36">
        <f t="shared" si="66"/>
        <v>0</v>
      </c>
      <c r="AI285" s="36"/>
      <c r="AJ285" s="36">
        <f t="shared" si="67"/>
        <v>0</v>
      </c>
      <c r="AK285" s="9"/>
      <c r="AL285" s="9"/>
      <c r="AM285" s="9"/>
      <c r="AN285" s="9"/>
      <c r="AO285" s="9"/>
      <c r="AP285" s="9"/>
      <c r="AQ285" s="9"/>
      <c r="AR285" s="10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10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10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10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10"/>
      <c r="GC285" s="9"/>
      <c r="GD285" s="9"/>
    </row>
    <row r="286" spans="1:186" s="2" customFormat="1" ht="16.95" customHeight="1">
      <c r="A286" s="14" t="s">
        <v>169</v>
      </c>
      <c r="B286" s="36">
        <v>0</v>
      </c>
      <c r="C286" s="36">
        <v>0</v>
      </c>
      <c r="D286" s="4">
        <f t="shared" si="58"/>
        <v>0</v>
      </c>
      <c r="E286" s="11">
        <v>0</v>
      </c>
      <c r="F286" s="5" t="s">
        <v>370</v>
      </c>
      <c r="G286" s="5" t="s">
        <v>370</v>
      </c>
      <c r="H286" s="5" t="s">
        <v>370</v>
      </c>
      <c r="I286" s="5" t="s">
        <v>370</v>
      </c>
      <c r="J286" s="5" t="s">
        <v>370</v>
      </c>
      <c r="K286" s="5" t="s">
        <v>370</v>
      </c>
      <c r="L286" s="5" t="s">
        <v>370</v>
      </c>
      <c r="M286" s="5" t="s">
        <v>370</v>
      </c>
      <c r="N286" s="36">
        <v>138.19999999999999</v>
      </c>
      <c r="O286" s="36">
        <v>57.2</v>
      </c>
      <c r="P286" s="4">
        <f t="shared" si="59"/>
        <v>0.4138929088277859</v>
      </c>
      <c r="Q286" s="11">
        <v>20</v>
      </c>
      <c r="R286" s="36">
        <v>96</v>
      </c>
      <c r="S286" s="36">
        <v>100.1</v>
      </c>
      <c r="T286" s="4">
        <f t="shared" si="60"/>
        <v>1.0427083333333333</v>
      </c>
      <c r="U286" s="11">
        <v>25</v>
      </c>
      <c r="V286" s="36">
        <v>2.5</v>
      </c>
      <c r="W286" s="36">
        <v>2.5</v>
      </c>
      <c r="X286" s="4">
        <f t="shared" si="61"/>
        <v>1</v>
      </c>
      <c r="Y286" s="11">
        <v>25</v>
      </c>
      <c r="Z286" s="45">
        <f t="shared" si="68"/>
        <v>0.84779380728412934</v>
      </c>
      <c r="AA286" s="46">
        <v>1179</v>
      </c>
      <c r="AB286" s="36">
        <f t="shared" si="62"/>
        <v>107.18181818181819</v>
      </c>
      <c r="AC286" s="36">
        <f t="shared" si="63"/>
        <v>90.9</v>
      </c>
      <c r="AD286" s="36">
        <f t="shared" si="64"/>
        <v>-16.281818181818181</v>
      </c>
      <c r="AE286" s="36">
        <v>3.3</v>
      </c>
      <c r="AF286" s="36">
        <f t="shared" si="65"/>
        <v>94.2</v>
      </c>
      <c r="AG286" s="36"/>
      <c r="AH286" s="36">
        <f t="shared" si="66"/>
        <v>94.2</v>
      </c>
      <c r="AI286" s="36"/>
      <c r="AJ286" s="36">
        <f t="shared" si="67"/>
        <v>94.2</v>
      </c>
      <c r="AK286" s="9"/>
      <c r="AL286" s="9"/>
      <c r="AM286" s="9"/>
      <c r="AN286" s="9"/>
      <c r="AO286" s="9"/>
      <c r="AP286" s="9"/>
      <c r="AQ286" s="9"/>
      <c r="AR286" s="10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0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10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10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10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10"/>
      <c r="GC286" s="9"/>
      <c r="GD286" s="9"/>
    </row>
    <row r="287" spans="1:186" s="2" customFormat="1" ht="16.95" customHeight="1">
      <c r="A287" s="18" t="s">
        <v>282</v>
      </c>
      <c r="B287" s="6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9"/>
      <c r="AL287" s="9"/>
      <c r="AM287" s="9"/>
      <c r="AN287" s="9"/>
      <c r="AO287" s="9"/>
      <c r="AP287" s="9"/>
      <c r="AQ287" s="9"/>
      <c r="AR287" s="10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0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10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10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10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10"/>
      <c r="GC287" s="9"/>
      <c r="GD287" s="9"/>
    </row>
    <row r="288" spans="1:186" s="2" customFormat="1" ht="16.95" customHeight="1">
      <c r="A288" s="47" t="s">
        <v>72</v>
      </c>
      <c r="B288" s="36">
        <v>81638</v>
      </c>
      <c r="C288" s="36">
        <v>86392</v>
      </c>
      <c r="D288" s="4">
        <f t="shared" si="58"/>
        <v>1.0582326857590827</v>
      </c>
      <c r="E288" s="11">
        <v>10</v>
      </c>
      <c r="F288" s="5" t="s">
        <v>370</v>
      </c>
      <c r="G288" s="5" t="s">
        <v>370</v>
      </c>
      <c r="H288" s="5" t="s">
        <v>370</v>
      </c>
      <c r="I288" s="5" t="s">
        <v>370</v>
      </c>
      <c r="J288" s="5" t="s">
        <v>370</v>
      </c>
      <c r="K288" s="5" t="s">
        <v>370</v>
      </c>
      <c r="L288" s="5" t="s">
        <v>370</v>
      </c>
      <c r="M288" s="5" t="s">
        <v>370</v>
      </c>
      <c r="N288" s="36">
        <v>529.9</v>
      </c>
      <c r="O288" s="36">
        <v>207.1</v>
      </c>
      <c r="P288" s="4">
        <f t="shared" si="59"/>
        <v>0.39082845819966033</v>
      </c>
      <c r="Q288" s="11">
        <v>20</v>
      </c>
      <c r="R288" s="36">
        <v>0</v>
      </c>
      <c r="S288" s="36">
        <v>0</v>
      </c>
      <c r="T288" s="4">
        <f t="shared" si="60"/>
        <v>1</v>
      </c>
      <c r="U288" s="11">
        <v>5</v>
      </c>
      <c r="V288" s="36">
        <v>1270</v>
      </c>
      <c r="W288" s="36">
        <v>935.6</v>
      </c>
      <c r="X288" s="4">
        <f t="shared" si="61"/>
        <v>0.73669291338582676</v>
      </c>
      <c r="Y288" s="11">
        <v>45</v>
      </c>
      <c r="Z288" s="45">
        <f t="shared" si="68"/>
        <v>0.70687596404932795</v>
      </c>
      <c r="AA288" s="46">
        <v>1472</v>
      </c>
      <c r="AB288" s="36">
        <f t="shared" si="62"/>
        <v>133.81818181818181</v>
      </c>
      <c r="AC288" s="36">
        <f t="shared" si="63"/>
        <v>94.6</v>
      </c>
      <c r="AD288" s="36">
        <f t="shared" si="64"/>
        <v>-39.218181818181819</v>
      </c>
      <c r="AE288" s="36">
        <v>0</v>
      </c>
      <c r="AF288" s="36">
        <f t="shared" si="65"/>
        <v>94.6</v>
      </c>
      <c r="AG288" s="36"/>
      <c r="AH288" s="36">
        <f t="shared" si="66"/>
        <v>94.6</v>
      </c>
      <c r="AI288" s="36"/>
      <c r="AJ288" s="36">
        <f t="shared" si="67"/>
        <v>94.6</v>
      </c>
      <c r="AK288" s="9"/>
      <c r="AL288" s="9"/>
      <c r="AM288" s="9"/>
      <c r="AN288" s="9"/>
      <c r="AO288" s="9"/>
      <c r="AP288" s="9"/>
      <c r="AQ288" s="9"/>
      <c r="AR288" s="10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0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10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10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10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10"/>
      <c r="GC288" s="9"/>
      <c r="GD288" s="9"/>
    </row>
    <row r="289" spans="1:186" s="2" customFormat="1" ht="16.95" customHeight="1">
      <c r="A289" s="47" t="s">
        <v>283</v>
      </c>
      <c r="B289" s="36">
        <v>13</v>
      </c>
      <c r="C289" s="36">
        <v>0</v>
      </c>
      <c r="D289" s="4">
        <f t="shared" si="58"/>
        <v>0</v>
      </c>
      <c r="E289" s="11">
        <v>10</v>
      </c>
      <c r="F289" s="5" t="s">
        <v>370</v>
      </c>
      <c r="G289" s="5" t="s">
        <v>370</v>
      </c>
      <c r="H289" s="5" t="s">
        <v>370</v>
      </c>
      <c r="I289" s="5" t="s">
        <v>370</v>
      </c>
      <c r="J289" s="5" t="s">
        <v>370</v>
      </c>
      <c r="K289" s="5" t="s">
        <v>370</v>
      </c>
      <c r="L289" s="5" t="s">
        <v>370</v>
      </c>
      <c r="M289" s="5" t="s">
        <v>370</v>
      </c>
      <c r="N289" s="36">
        <v>100.1</v>
      </c>
      <c r="O289" s="36">
        <v>52.6</v>
      </c>
      <c r="P289" s="4">
        <f t="shared" si="59"/>
        <v>0.52547452547452556</v>
      </c>
      <c r="Q289" s="11">
        <v>20</v>
      </c>
      <c r="R289" s="36">
        <v>0</v>
      </c>
      <c r="S289" s="36">
        <v>0</v>
      </c>
      <c r="T289" s="4">
        <f t="shared" si="60"/>
        <v>1</v>
      </c>
      <c r="U289" s="11">
        <v>20</v>
      </c>
      <c r="V289" s="36">
        <v>0</v>
      </c>
      <c r="W289" s="36">
        <v>0</v>
      </c>
      <c r="X289" s="4">
        <f t="shared" si="61"/>
        <v>1</v>
      </c>
      <c r="Y289" s="11">
        <v>30</v>
      </c>
      <c r="Z289" s="45">
        <f t="shared" si="68"/>
        <v>0.75636863136863142</v>
      </c>
      <c r="AA289" s="46">
        <v>1136</v>
      </c>
      <c r="AB289" s="36">
        <f t="shared" si="62"/>
        <v>103.27272727272727</v>
      </c>
      <c r="AC289" s="36">
        <f t="shared" si="63"/>
        <v>78.099999999999994</v>
      </c>
      <c r="AD289" s="36">
        <f t="shared" si="64"/>
        <v>-25.172727272727272</v>
      </c>
      <c r="AE289" s="36">
        <v>-10.199999999999999</v>
      </c>
      <c r="AF289" s="36">
        <f t="shared" si="65"/>
        <v>67.900000000000006</v>
      </c>
      <c r="AG289" s="36"/>
      <c r="AH289" s="36">
        <f t="shared" si="66"/>
        <v>67.900000000000006</v>
      </c>
      <c r="AI289" s="36"/>
      <c r="AJ289" s="36">
        <f t="shared" si="67"/>
        <v>67.900000000000006</v>
      </c>
      <c r="AK289" s="9"/>
      <c r="AL289" s="9"/>
      <c r="AM289" s="9"/>
      <c r="AN289" s="9"/>
      <c r="AO289" s="9"/>
      <c r="AP289" s="9"/>
      <c r="AQ289" s="9"/>
      <c r="AR289" s="10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0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10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10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10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10"/>
      <c r="GC289" s="9"/>
      <c r="GD289" s="9"/>
    </row>
    <row r="290" spans="1:186" s="2" customFormat="1" ht="16.95" customHeight="1">
      <c r="A290" s="47" t="s">
        <v>284</v>
      </c>
      <c r="B290" s="36">
        <v>0</v>
      </c>
      <c r="C290" s="36">
        <v>0</v>
      </c>
      <c r="D290" s="4">
        <f t="shared" si="58"/>
        <v>0</v>
      </c>
      <c r="E290" s="11">
        <v>0</v>
      </c>
      <c r="F290" s="5" t="s">
        <v>370</v>
      </c>
      <c r="G290" s="5" t="s">
        <v>370</v>
      </c>
      <c r="H290" s="5" t="s">
        <v>370</v>
      </c>
      <c r="I290" s="5" t="s">
        <v>370</v>
      </c>
      <c r="J290" s="5" t="s">
        <v>370</v>
      </c>
      <c r="K290" s="5" t="s">
        <v>370</v>
      </c>
      <c r="L290" s="5" t="s">
        <v>370</v>
      </c>
      <c r="M290" s="5" t="s">
        <v>370</v>
      </c>
      <c r="N290" s="36">
        <v>98</v>
      </c>
      <c r="O290" s="36">
        <v>58.4</v>
      </c>
      <c r="P290" s="4">
        <f t="shared" si="59"/>
        <v>0.59591836734693882</v>
      </c>
      <c r="Q290" s="11">
        <v>20</v>
      </c>
      <c r="R290" s="36">
        <v>0</v>
      </c>
      <c r="S290" s="36">
        <v>0</v>
      </c>
      <c r="T290" s="4">
        <f t="shared" si="60"/>
        <v>1</v>
      </c>
      <c r="U290" s="11">
        <v>25</v>
      </c>
      <c r="V290" s="36">
        <v>0</v>
      </c>
      <c r="W290" s="36">
        <v>0</v>
      </c>
      <c r="X290" s="4">
        <f t="shared" si="61"/>
        <v>1</v>
      </c>
      <c r="Y290" s="11">
        <v>25</v>
      </c>
      <c r="Z290" s="45">
        <f t="shared" si="68"/>
        <v>0.88454810495626823</v>
      </c>
      <c r="AA290" s="46">
        <v>777</v>
      </c>
      <c r="AB290" s="36">
        <f t="shared" si="62"/>
        <v>70.63636363636364</v>
      </c>
      <c r="AC290" s="36">
        <f t="shared" si="63"/>
        <v>62.5</v>
      </c>
      <c r="AD290" s="36">
        <f t="shared" si="64"/>
        <v>-8.1363636363636402</v>
      </c>
      <c r="AE290" s="36">
        <v>-0.8</v>
      </c>
      <c r="AF290" s="36">
        <f t="shared" si="65"/>
        <v>61.7</v>
      </c>
      <c r="AG290" s="36"/>
      <c r="AH290" s="36">
        <f t="shared" si="66"/>
        <v>61.7</v>
      </c>
      <c r="AI290" s="36"/>
      <c r="AJ290" s="36">
        <f t="shared" si="67"/>
        <v>61.7</v>
      </c>
      <c r="AK290" s="9"/>
      <c r="AL290" s="9"/>
      <c r="AM290" s="9"/>
      <c r="AN290" s="9"/>
      <c r="AO290" s="9"/>
      <c r="AP290" s="9"/>
      <c r="AQ290" s="9"/>
      <c r="AR290" s="10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0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10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10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10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10"/>
      <c r="GC290" s="9"/>
      <c r="GD290" s="9"/>
    </row>
    <row r="291" spans="1:186" s="2" customFormat="1" ht="16.95" customHeight="1">
      <c r="A291" s="47" t="s">
        <v>53</v>
      </c>
      <c r="B291" s="36">
        <v>1094875</v>
      </c>
      <c r="C291" s="36">
        <v>534595.1</v>
      </c>
      <c r="D291" s="4">
        <f t="shared" si="58"/>
        <v>0.48827044183125923</v>
      </c>
      <c r="E291" s="11">
        <v>10</v>
      </c>
      <c r="F291" s="5" t="s">
        <v>370</v>
      </c>
      <c r="G291" s="5" t="s">
        <v>370</v>
      </c>
      <c r="H291" s="5" t="s">
        <v>370</v>
      </c>
      <c r="I291" s="5" t="s">
        <v>370</v>
      </c>
      <c r="J291" s="5" t="s">
        <v>370</v>
      </c>
      <c r="K291" s="5" t="s">
        <v>370</v>
      </c>
      <c r="L291" s="5" t="s">
        <v>370</v>
      </c>
      <c r="M291" s="5" t="s">
        <v>370</v>
      </c>
      <c r="N291" s="36">
        <v>3453.7</v>
      </c>
      <c r="O291" s="36">
        <v>2643.5</v>
      </c>
      <c r="P291" s="4">
        <f t="shared" si="59"/>
        <v>0.76541100848365529</v>
      </c>
      <c r="Q291" s="11">
        <v>20</v>
      </c>
      <c r="R291" s="36">
        <v>310</v>
      </c>
      <c r="S291" s="36">
        <v>298.5</v>
      </c>
      <c r="T291" s="4">
        <f t="shared" si="60"/>
        <v>0.9629032258064516</v>
      </c>
      <c r="U291" s="11">
        <v>35</v>
      </c>
      <c r="V291" s="36">
        <v>0</v>
      </c>
      <c r="W291" s="36">
        <v>5</v>
      </c>
      <c r="X291" s="4">
        <f t="shared" si="61"/>
        <v>1</v>
      </c>
      <c r="Y291" s="11">
        <v>15</v>
      </c>
      <c r="Z291" s="45">
        <f t="shared" si="68"/>
        <v>0.86115671864014376</v>
      </c>
      <c r="AA291" s="46">
        <v>76</v>
      </c>
      <c r="AB291" s="36">
        <f t="shared" si="62"/>
        <v>6.9090909090909092</v>
      </c>
      <c r="AC291" s="36">
        <f t="shared" si="63"/>
        <v>5.9</v>
      </c>
      <c r="AD291" s="36">
        <f t="shared" si="64"/>
        <v>-1.0090909090909088</v>
      </c>
      <c r="AE291" s="36">
        <v>0.2</v>
      </c>
      <c r="AF291" s="36">
        <f t="shared" si="65"/>
        <v>6.1</v>
      </c>
      <c r="AG291" s="36"/>
      <c r="AH291" s="36">
        <f t="shared" si="66"/>
        <v>6.1</v>
      </c>
      <c r="AI291" s="36"/>
      <c r="AJ291" s="36">
        <f t="shared" si="67"/>
        <v>6.1</v>
      </c>
      <c r="AK291" s="9"/>
      <c r="AL291" s="9"/>
      <c r="AM291" s="9"/>
      <c r="AN291" s="9"/>
      <c r="AO291" s="9"/>
      <c r="AP291" s="9"/>
      <c r="AQ291" s="9"/>
      <c r="AR291" s="10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0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10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10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10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10"/>
      <c r="GC291" s="9"/>
      <c r="GD291" s="9"/>
    </row>
    <row r="292" spans="1:186" s="2" customFormat="1" ht="16.95" customHeight="1">
      <c r="A292" s="47" t="s">
        <v>285</v>
      </c>
      <c r="B292" s="36">
        <v>265</v>
      </c>
      <c r="C292" s="36">
        <v>238.2</v>
      </c>
      <c r="D292" s="4">
        <f t="shared" si="58"/>
        <v>0.89886792452830189</v>
      </c>
      <c r="E292" s="11">
        <v>10</v>
      </c>
      <c r="F292" s="5" t="s">
        <v>370</v>
      </c>
      <c r="G292" s="5" t="s">
        <v>370</v>
      </c>
      <c r="H292" s="5" t="s">
        <v>370</v>
      </c>
      <c r="I292" s="5" t="s">
        <v>370</v>
      </c>
      <c r="J292" s="5" t="s">
        <v>370</v>
      </c>
      <c r="K292" s="5" t="s">
        <v>370</v>
      </c>
      <c r="L292" s="5" t="s">
        <v>370</v>
      </c>
      <c r="M292" s="5" t="s">
        <v>370</v>
      </c>
      <c r="N292" s="36">
        <v>126.6</v>
      </c>
      <c r="O292" s="36">
        <v>316.3</v>
      </c>
      <c r="P292" s="4">
        <f t="shared" si="59"/>
        <v>1.3</v>
      </c>
      <c r="Q292" s="11">
        <v>20</v>
      </c>
      <c r="R292" s="36">
        <v>3</v>
      </c>
      <c r="S292" s="36">
        <v>4.5999999999999996</v>
      </c>
      <c r="T292" s="4">
        <f t="shared" si="60"/>
        <v>1.2333333333333334</v>
      </c>
      <c r="U292" s="11">
        <v>35</v>
      </c>
      <c r="V292" s="36">
        <v>0</v>
      </c>
      <c r="W292" s="36">
        <v>0</v>
      </c>
      <c r="X292" s="4">
        <f t="shared" si="61"/>
        <v>1</v>
      </c>
      <c r="Y292" s="11">
        <v>15</v>
      </c>
      <c r="Z292" s="45">
        <f t="shared" si="68"/>
        <v>1.1644418238993712</v>
      </c>
      <c r="AA292" s="46">
        <v>2042</v>
      </c>
      <c r="AB292" s="36">
        <f t="shared" si="62"/>
        <v>185.63636363636363</v>
      </c>
      <c r="AC292" s="36">
        <f t="shared" si="63"/>
        <v>216.2</v>
      </c>
      <c r="AD292" s="36">
        <f t="shared" si="64"/>
        <v>30.563636363636363</v>
      </c>
      <c r="AE292" s="36">
        <v>-5.8</v>
      </c>
      <c r="AF292" s="36">
        <f t="shared" si="65"/>
        <v>210.4</v>
      </c>
      <c r="AG292" s="36"/>
      <c r="AH292" s="36">
        <f t="shared" si="66"/>
        <v>210.4</v>
      </c>
      <c r="AI292" s="36"/>
      <c r="AJ292" s="36">
        <f t="shared" si="67"/>
        <v>210.4</v>
      </c>
      <c r="AK292" s="9"/>
      <c r="AL292" s="9"/>
      <c r="AM292" s="9"/>
      <c r="AN292" s="9"/>
      <c r="AO292" s="9"/>
      <c r="AP292" s="9"/>
      <c r="AQ292" s="9"/>
      <c r="AR292" s="10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0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10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10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10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10"/>
      <c r="GC292" s="9"/>
      <c r="GD292" s="9"/>
    </row>
    <row r="293" spans="1:186" s="2" customFormat="1" ht="16.95" customHeight="1">
      <c r="A293" s="47" t="s">
        <v>286</v>
      </c>
      <c r="B293" s="36">
        <v>0</v>
      </c>
      <c r="C293" s="36">
        <v>0</v>
      </c>
      <c r="D293" s="4">
        <f t="shared" si="58"/>
        <v>0</v>
      </c>
      <c r="E293" s="11">
        <v>0</v>
      </c>
      <c r="F293" s="5" t="s">
        <v>370</v>
      </c>
      <c r="G293" s="5" t="s">
        <v>370</v>
      </c>
      <c r="H293" s="5" t="s">
        <v>370</v>
      </c>
      <c r="I293" s="5" t="s">
        <v>370</v>
      </c>
      <c r="J293" s="5" t="s">
        <v>370</v>
      </c>
      <c r="K293" s="5" t="s">
        <v>370</v>
      </c>
      <c r="L293" s="5" t="s">
        <v>370</v>
      </c>
      <c r="M293" s="5" t="s">
        <v>370</v>
      </c>
      <c r="N293" s="36">
        <v>113.8</v>
      </c>
      <c r="O293" s="36">
        <v>433</v>
      </c>
      <c r="P293" s="4">
        <f t="shared" si="59"/>
        <v>1.3</v>
      </c>
      <c r="Q293" s="11">
        <v>20</v>
      </c>
      <c r="R293" s="36">
        <v>123</v>
      </c>
      <c r="S293" s="36">
        <v>166</v>
      </c>
      <c r="T293" s="4">
        <f t="shared" si="60"/>
        <v>1.2149593495934958</v>
      </c>
      <c r="U293" s="11">
        <v>30</v>
      </c>
      <c r="V293" s="36">
        <v>0</v>
      </c>
      <c r="W293" s="36">
        <v>0</v>
      </c>
      <c r="X293" s="4">
        <f t="shared" si="61"/>
        <v>1</v>
      </c>
      <c r="Y293" s="11">
        <v>20</v>
      </c>
      <c r="Z293" s="45">
        <f t="shared" si="68"/>
        <v>1.1778397212543552</v>
      </c>
      <c r="AA293" s="46">
        <v>2555</v>
      </c>
      <c r="AB293" s="36">
        <f t="shared" si="62"/>
        <v>232.27272727272728</v>
      </c>
      <c r="AC293" s="36">
        <f t="shared" si="63"/>
        <v>273.60000000000002</v>
      </c>
      <c r="AD293" s="36">
        <f t="shared" si="64"/>
        <v>41.327272727272742</v>
      </c>
      <c r="AE293" s="36">
        <v>-3.7</v>
      </c>
      <c r="AF293" s="36">
        <f t="shared" si="65"/>
        <v>269.89999999999998</v>
      </c>
      <c r="AG293" s="36"/>
      <c r="AH293" s="36">
        <f t="shared" si="66"/>
        <v>269.89999999999998</v>
      </c>
      <c r="AI293" s="36"/>
      <c r="AJ293" s="36">
        <f t="shared" si="67"/>
        <v>269.89999999999998</v>
      </c>
      <c r="AK293" s="9"/>
      <c r="AL293" s="9"/>
      <c r="AM293" s="9"/>
      <c r="AN293" s="9"/>
      <c r="AO293" s="9"/>
      <c r="AP293" s="9"/>
      <c r="AQ293" s="9"/>
      <c r="AR293" s="10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0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10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10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10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10"/>
      <c r="GC293" s="9"/>
      <c r="GD293" s="9"/>
    </row>
    <row r="294" spans="1:186" s="2" customFormat="1" ht="16.95" customHeight="1">
      <c r="A294" s="47" t="s">
        <v>287</v>
      </c>
      <c r="B294" s="36">
        <v>0</v>
      </c>
      <c r="C294" s="36">
        <v>223.4</v>
      </c>
      <c r="D294" s="4">
        <f t="shared" si="58"/>
        <v>0</v>
      </c>
      <c r="E294" s="11">
        <v>0</v>
      </c>
      <c r="F294" s="5" t="s">
        <v>370</v>
      </c>
      <c r="G294" s="5" t="s">
        <v>370</v>
      </c>
      <c r="H294" s="5" t="s">
        <v>370</v>
      </c>
      <c r="I294" s="5" t="s">
        <v>370</v>
      </c>
      <c r="J294" s="5" t="s">
        <v>370</v>
      </c>
      <c r="K294" s="5" t="s">
        <v>370</v>
      </c>
      <c r="L294" s="5" t="s">
        <v>370</v>
      </c>
      <c r="M294" s="5" t="s">
        <v>370</v>
      </c>
      <c r="N294" s="36">
        <v>613.6</v>
      </c>
      <c r="O294" s="36">
        <v>487.9</v>
      </c>
      <c r="P294" s="4">
        <f t="shared" si="59"/>
        <v>0.79514341590612769</v>
      </c>
      <c r="Q294" s="11">
        <v>20</v>
      </c>
      <c r="R294" s="36">
        <v>0</v>
      </c>
      <c r="S294" s="36">
        <v>0</v>
      </c>
      <c r="T294" s="4">
        <f t="shared" si="60"/>
        <v>1</v>
      </c>
      <c r="U294" s="11">
        <v>35</v>
      </c>
      <c r="V294" s="36">
        <v>0</v>
      </c>
      <c r="W294" s="36">
        <v>0</v>
      </c>
      <c r="X294" s="4">
        <f t="shared" si="61"/>
        <v>1</v>
      </c>
      <c r="Y294" s="11">
        <v>15</v>
      </c>
      <c r="Z294" s="45">
        <f t="shared" si="68"/>
        <v>0.94146954740175082</v>
      </c>
      <c r="AA294" s="46">
        <v>749</v>
      </c>
      <c r="AB294" s="36">
        <f t="shared" si="62"/>
        <v>68.090909090909093</v>
      </c>
      <c r="AC294" s="36">
        <f t="shared" si="63"/>
        <v>64.099999999999994</v>
      </c>
      <c r="AD294" s="36">
        <f t="shared" si="64"/>
        <v>-3.9909090909090992</v>
      </c>
      <c r="AE294" s="36">
        <v>11.8</v>
      </c>
      <c r="AF294" s="36">
        <f t="shared" si="65"/>
        <v>75.900000000000006</v>
      </c>
      <c r="AG294" s="36"/>
      <c r="AH294" s="36">
        <f t="shared" si="66"/>
        <v>75.900000000000006</v>
      </c>
      <c r="AI294" s="36"/>
      <c r="AJ294" s="36">
        <f t="shared" si="67"/>
        <v>75.900000000000006</v>
      </c>
      <c r="AK294" s="9"/>
      <c r="AL294" s="9"/>
      <c r="AM294" s="9"/>
      <c r="AN294" s="9"/>
      <c r="AO294" s="9"/>
      <c r="AP294" s="9"/>
      <c r="AQ294" s="9"/>
      <c r="AR294" s="10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0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10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10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10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10"/>
      <c r="GC294" s="9"/>
      <c r="GD294" s="9"/>
    </row>
    <row r="295" spans="1:186" s="2" customFormat="1" ht="16.95" customHeight="1">
      <c r="A295" s="47" t="s">
        <v>288</v>
      </c>
      <c r="B295" s="36">
        <v>0</v>
      </c>
      <c r="C295" s="36">
        <v>0</v>
      </c>
      <c r="D295" s="4">
        <f t="shared" si="58"/>
        <v>0</v>
      </c>
      <c r="E295" s="11">
        <v>0</v>
      </c>
      <c r="F295" s="5" t="s">
        <v>370</v>
      </c>
      <c r="G295" s="5" t="s">
        <v>370</v>
      </c>
      <c r="H295" s="5" t="s">
        <v>370</v>
      </c>
      <c r="I295" s="5" t="s">
        <v>370</v>
      </c>
      <c r="J295" s="5" t="s">
        <v>370</v>
      </c>
      <c r="K295" s="5" t="s">
        <v>370</v>
      </c>
      <c r="L295" s="5" t="s">
        <v>370</v>
      </c>
      <c r="M295" s="5" t="s">
        <v>370</v>
      </c>
      <c r="N295" s="36">
        <v>286.39999999999998</v>
      </c>
      <c r="O295" s="36">
        <v>181.7</v>
      </c>
      <c r="P295" s="4">
        <f t="shared" si="59"/>
        <v>0.63442737430167595</v>
      </c>
      <c r="Q295" s="11">
        <v>20</v>
      </c>
      <c r="R295" s="36">
        <v>143</v>
      </c>
      <c r="S295" s="36">
        <v>153.1</v>
      </c>
      <c r="T295" s="4">
        <f t="shared" si="60"/>
        <v>1.0706293706293706</v>
      </c>
      <c r="U295" s="11">
        <v>40</v>
      </c>
      <c r="V295" s="36">
        <v>0</v>
      </c>
      <c r="W295" s="36">
        <v>0</v>
      </c>
      <c r="X295" s="4">
        <f t="shared" si="61"/>
        <v>1</v>
      </c>
      <c r="Y295" s="11">
        <v>10</v>
      </c>
      <c r="Z295" s="45">
        <f t="shared" si="68"/>
        <v>0.93591031873154773</v>
      </c>
      <c r="AA295" s="46">
        <v>2332</v>
      </c>
      <c r="AB295" s="36">
        <f t="shared" si="62"/>
        <v>212</v>
      </c>
      <c r="AC295" s="36">
        <f t="shared" si="63"/>
        <v>198.4</v>
      </c>
      <c r="AD295" s="36">
        <f t="shared" si="64"/>
        <v>-13.599999999999994</v>
      </c>
      <c r="AE295" s="36">
        <v>86.5</v>
      </c>
      <c r="AF295" s="36">
        <f t="shared" si="65"/>
        <v>284.89999999999998</v>
      </c>
      <c r="AG295" s="36"/>
      <c r="AH295" s="36">
        <f t="shared" si="66"/>
        <v>284.89999999999998</v>
      </c>
      <c r="AI295" s="36"/>
      <c r="AJ295" s="36">
        <f t="shared" si="67"/>
        <v>284.89999999999998</v>
      </c>
      <c r="AK295" s="9"/>
      <c r="AL295" s="9"/>
      <c r="AM295" s="9"/>
      <c r="AN295" s="9"/>
      <c r="AO295" s="9"/>
      <c r="AP295" s="9"/>
      <c r="AQ295" s="9"/>
      <c r="AR295" s="10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0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10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10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10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10"/>
      <c r="GC295" s="9"/>
      <c r="GD295" s="9"/>
    </row>
    <row r="296" spans="1:186" s="2" customFormat="1" ht="16.95" customHeight="1">
      <c r="A296" s="47" t="s">
        <v>289</v>
      </c>
      <c r="B296" s="36">
        <v>0</v>
      </c>
      <c r="C296" s="36">
        <v>0</v>
      </c>
      <c r="D296" s="4">
        <f t="shared" si="58"/>
        <v>0</v>
      </c>
      <c r="E296" s="11">
        <v>0</v>
      </c>
      <c r="F296" s="5" t="s">
        <v>370</v>
      </c>
      <c r="G296" s="5" t="s">
        <v>370</v>
      </c>
      <c r="H296" s="5" t="s">
        <v>370</v>
      </c>
      <c r="I296" s="5" t="s">
        <v>370</v>
      </c>
      <c r="J296" s="5" t="s">
        <v>370</v>
      </c>
      <c r="K296" s="5" t="s">
        <v>370</v>
      </c>
      <c r="L296" s="5" t="s">
        <v>370</v>
      </c>
      <c r="M296" s="5" t="s">
        <v>370</v>
      </c>
      <c r="N296" s="36">
        <v>80</v>
      </c>
      <c r="O296" s="36">
        <v>14.1</v>
      </c>
      <c r="P296" s="4">
        <f t="shared" si="59"/>
        <v>0.17624999999999999</v>
      </c>
      <c r="Q296" s="11">
        <v>20</v>
      </c>
      <c r="R296" s="36">
        <v>0</v>
      </c>
      <c r="S296" s="36">
        <v>0</v>
      </c>
      <c r="T296" s="4">
        <f t="shared" si="60"/>
        <v>1</v>
      </c>
      <c r="U296" s="11">
        <v>40</v>
      </c>
      <c r="V296" s="36">
        <v>0</v>
      </c>
      <c r="W296" s="36">
        <v>0</v>
      </c>
      <c r="X296" s="4">
        <f t="shared" si="61"/>
        <v>1</v>
      </c>
      <c r="Y296" s="11">
        <v>10</v>
      </c>
      <c r="Z296" s="45">
        <f t="shared" si="68"/>
        <v>0.76464285714285707</v>
      </c>
      <c r="AA296" s="46">
        <v>675</v>
      </c>
      <c r="AB296" s="36">
        <f t="shared" si="62"/>
        <v>61.363636363636367</v>
      </c>
      <c r="AC296" s="36">
        <f t="shared" si="63"/>
        <v>46.9</v>
      </c>
      <c r="AD296" s="36">
        <f t="shared" si="64"/>
        <v>-14.463636363636368</v>
      </c>
      <c r="AE296" s="36">
        <v>10</v>
      </c>
      <c r="AF296" s="36">
        <f t="shared" si="65"/>
        <v>56.9</v>
      </c>
      <c r="AG296" s="36"/>
      <c r="AH296" s="36">
        <f t="shared" si="66"/>
        <v>56.9</v>
      </c>
      <c r="AI296" s="36"/>
      <c r="AJ296" s="36">
        <f t="shared" si="67"/>
        <v>56.9</v>
      </c>
      <c r="AK296" s="9"/>
      <c r="AL296" s="9"/>
      <c r="AM296" s="9"/>
      <c r="AN296" s="9"/>
      <c r="AO296" s="9"/>
      <c r="AP296" s="9"/>
      <c r="AQ296" s="9"/>
      <c r="AR296" s="10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10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10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10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10"/>
      <c r="GC296" s="9"/>
      <c r="GD296" s="9"/>
    </row>
    <row r="297" spans="1:186" s="2" customFormat="1" ht="16.95" customHeight="1">
      <c r="A297" s="47" t="s">
        <v>290</v>
      </c>
      <c r="B297" s="36">
        <v>779</v>
      </c>
      <c r="C297" s="36">
        <v>400</v>
      </c>
      <c r="D297" s="4">
        <f t="shared" si="58"/>
        <v>0.51347881899871628</v>
      </c>
      <c r="E297" s="11">
        <v>10</v>
      </c>
      <c r="F297" s="5" t="s">
        <v>370</v>
      </c>
      <c r="G297" s="5" t="s">
        <v>370</v>
      </c>
      <c r="H297" s="5" t="s">
        <v>370</v>
      </c>
      <c r="I297" s="5" t="s">
        <v>370</v>
      </c>
      <c r="J297" s="5" t="s">
        <v>370</v>
      </c>
      <c r="K297" s="5" t="s">
        <v>370</v>
      </c>
      <c r="L297" s="5" t="s">
        <v>370</v>
      </c>
      <c r="M297" s="5" t="s">
        <v>370</v>
      </c>
      <c r="N297" s="36">
        <v>583.20000000000005</v>
      </c>
      <c r="O297" s="36">
        <v>655.9</v>
      </c>
      <c r="P297" s="4">
        <f t="shared" si="59"/>
        <v>1.1246570644718792</v>
      </c>
      <c r="Q297" s="11">
        <v>20</v>
      </c>
      <c r="R297" s="36">
        <v>250</v>
      </c>
      <c r="S297" s="36">
        <v>262.3</v>
      </c>
      <c r="T297" s="4">
        <f t="shared" si="60"/>
        <v>1.0492000000000001</v>
      </c>
      <c r="U297" s="11">
        <v>35</v>
      </c>
      <c r="V297" s="36">
        <v>0</v>
      </c>
      <c r="W297" s="36">
        <v>0</v>
      </c>
      <c r="X297" s="4">
        <f t="shared" si="61"/>
        <v>1</v>
      </c>
      <c r="Y297" s="11">
        <v>15</v>
      </c>
      <c r="Z297" s="45">
        <f t="shared" si="68"/>
        <v>0.99187411849280926</v>
      </c>
      <c r="AA297" s="46">
        <v>1025</v>
      </c>
      <c r="AB297" s="36">
        <f t="shared" si="62"/>
        <v>93.181818181818187</v>
      </c>
      <c r="AC297" s="36">
        <f t="shared" si="63"/>
        <v>92.4</v>
      </c>
      <c r="AD297" s="36">
        <f t="shared" si="64"/>
        <v>-0.7818181818181813</v>
      </c>
      <c r="AE297" s="36">
        <v>7.5</v>
      </c>
      <c r="AF297" s="36">
        <f t="shared" si="65"/>
        <v>99.9</v>
      </c>
      <c r="AG297" s="36"/>
      <c r="AH297" s="36">
        <f t="shared" si="66"/>
        <v>99.9</v>
      </c>
      <c r="AI297" s="36"/>
      <c r="AJ297" s="36">
        <f t="shared" si="67"/>
        <v>99.9</v>
      </c>
      <c r="AK297" s="9"/>
      <c r="AL297" s="9"/>
      <c r="AM297" s="9"/>
      <c r="AN297" s="9"/>
      <c r="AO297" s="9"/>
      <c r="AP297" s="9"/>
      <c r="AQ297" s="9"/>
      <c r="AR297" s="10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10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10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10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10"/>
      <c r="GC297" s="9"/>
      <c r="GD297" s="9"/>
    </row>
    <row r="298" spans="1:186" s="2" customFormat="1" ht="16.95" customHeight="1">
      <c r="A298" s="47" t="s">
        <v>291</v>
      </c>
      <c r="B298" s="36">
        <v>0</v>
      </c>
      <c r="C298" s="36">
        <v>0</v>
      </c>
      <c r="D298" s="4">
        <f t="shared" si="58"/>
        <v>0</v>
      </c>
      <c r="E298" s="11">
        <v>0</v>
      </c>
      <c r="F298" s="5" t="s">
        <v>370</v>
      </c>
      <c r="G298" s="5" t="s">
        <v>370</v>
      </c>
      <c r="H298" s="5" t="s">
        <v>370</v>
      </c>
      <c r="I298" s="5" t="s">
        <v>370</v>
      </c>
      <c r="J298" s="5" t="s">
        <v>370</v>
      </c>
      <c r="K298" s="5" t="s">
        <v>370</v>
      </c>
      <c r="L298" s="5" t="s">
        <v>370</v>
      </c>
      <c r="M298" s="5" t="s">
        <v>370</v>
      </c>
      <c r="N298" s="36">
        <v>470</v>
      </c>
      <c r="O298" s="36">
        <v>135.5</v>
      </c>
      <c r="P298" s="4">
        <f t="shared" si="59"/>
        <v>0.28829787234042553</v>
      </c>
      <c r="Q298" s="11">
        <v>20</v>
      </c>
      <c r="R298" s="36">
        <v>21</v>
      </c>
      <c r="S298" s="36">
        <v>52.2</v>
      </c>
      <c r="T298" s="4">
        <f t="shared" si="60"/>
        <v>1.3</v>
      </c>
      <c r="U298" s="11">
        <v>40</v>
      </c>
      <c r="V298" s="36">
        <v>0</v>
      </c>
      <c r="W298" s="36">
        <v>0</v>
      </c>
      <c r="X298" s="4">
        <f t="shared" si="61"/>
        <v>1</v>
      </c>
      <c r="Y298" s="11">
        <v>10</v>
      </c>
      <c r="Z298" s="45">
        <f t="shared" si="68"/>
        <v>0.96808510638297873</v>
      </c>
      <c r="AA298" s="46">
        <v>2768</v>
      </c>
      <c r="AB298" s="36">
        <f t="shared" si="62"/>
        <v>251.63636363636363</v>
      </c>
      <c r="AC298" s="36">
        <f t="shared" si="63"/>
        <v>243.6</v>
      </c>
      <c r="AD298" s="36">
        <f t="shared" si="64"/>
        <v>-8.0363636363636317</v>
      </c>
      <c r="AE298" s="36">
        <v>-19.5</v>
      </c>
      <c r="AF298" s="36">
        <f t="shared" si="65"/>
        <v>224.1</v>
      </c>
      <c r="AG298" s="36"/>
      <c r="AH298" s="36">
        <f t="shared" si="66"/>
        <v>224.1</v>
      </c>
      <c r="AI298" s="36"/>
      <c r="AJ298" s="36">
        <f t="shared" si="67"/>
        <v>224.1</v>
      </c>
      <c r="AK298" s="9"/>
      <c r="AL298" s="9"/>
      <c r="AM298" s="9"/>
      <c r="AN298" s="9"/>
      <c r="AO298" s="9"/>
      <c r="AP298" s="9"/>
      <c r="AQ298" s="9"/>
      <c r="AR298" s="10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0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10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10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10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10"/>
      <c r="GC298" s="9"/>
      <c r="GD298" s="9"/>
    </row>
    <row r="299" spans="1:186" s="2" customFormat="1" ht="16.95" customHeight="1">
      <c r="A299" s="47" t="s">
        <v>292</v>
      </c>
      <c r="B299" s="36">
        <v>865</v>
      </c>
      <c r="C299" s="36">
        <v>111</v>
      </c>
      <c r="D299" s="4">
        <f t="shared" si="58"/>
        <v>0.12832369942196531</v>
      </c>
      <c r="E299" s="11">
        <v>10</v>
      </c>
      <c r="F299" s="5" t="s">
        <v>370</v>
      </c>
      <c r="G299" s="5" t="s">
        <v>370</v>
      </c>
      <c r="H299" s="5" t="s">
        <v>370</v>
      </c>
      <c r="I299" s="5" t="s">
        <v>370</v>
      </c>
      <c r="J299" s="5" t="s">
        <v>370</v>
      </c>
      <c r="K299" s="5" t="s">
        <v>370</v>
      </c>
      <c r="L299" s="5" t="s">
        <v>370</v>
      </c>
      <c r="M299" s="5" t="s">
        <v>370</v>
      </c>
      <c r="N299" s="36">
        <v>510.3</v>
      </c>
      <c r="O299" s="36">
        <v>551.29999999999995</v>
      </c>
      <c r="P299" s="4">
        <f t="shared" si="59"/>
        <v>1.0803448951597099</v>
      </c>
      <c r="Q299" s="11">
        <v>20</v>
      </c>
      <c r="R299" s="36">
        <v>230</v>
      </c>
      <c r="S299" s="36">
        <v>242</v>
      </c>
      <c r="T299" s="4">
        <f t="shared" si="60"/>
        <v>1.0521739130434782</v>
      </c>
      <c r="U299" s="11">
        <v>30</v>
      </c>
      <c r="V299" s="36">
        <v>0</v>
      </c>
      <c r="W299" s="36">
        <v>0</v>
      </c>
      <c r="X299" s="4">
        <f t="shared" si="61"/>
        <v>1</v>
      </c>
      <c r="Y299" s="11">
        <v>20</v>
      </c>
      <c r="Z299" s="45">
        <f t="shared" si="68"/>
        <v>0.93069190360897736</v>
      </c>
      <c r="AA299" s="46">
        <v>588</v>
      </c>
      <c r="AB299" s="36">
        <f t="shared" si="62"/>
        <v>53.454545454545453</v>
      </c>
      <c r="AC299" s="36">
        <f t="shared" si="63"/>
        <v>49.7</v>
      </c>
      <c r="AD299" s="36">
        <f t="shared" si="64"/>
        <v>-3.7545454545454504</v>
      </c>
      <c r="AE299" s="36">
        <v>-5.0999999999999996</v>
      </c>
      <c r="AF299" s="36">
        <f t="shared" si="65"/>
        <v>44.6</v>
      </c>
      <c r="AG299" s="36"/>
      <c r="AH299" s="36">
        <f t="shared" si="66"/>
        <v>44.6</v>
      </c>
      <c r="AI299" s="36"/>
      <c r="AJ299" s="36">
        <f t="shared" si="67"/>
        <v>44.6</v>
      </c>
      <c r="AK299" s="9"/>
      <c r="AL299" s="9"/>
      <c r="AM299" s="9"/>
      <c r="AN299" s="9"/>
      <c r="AO299" s="9"/>
      <c r="AP299" s="9"/>
      <c r="AQ299" s="9"/>
      <c r="AR299" s="10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0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10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10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10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10"/>
      <c r="GC299" s="9"/>
      <c r="GD299" s="9"/>
    </row>
    <row r="300" spans="1:186" s="2" customFormat="1" ht="16.95" customHeight="1">
      <c r="A300" s="47" t="s">
        <v>293</v>
      </c>
      <c r="B300" s="36">
        <v>862</v>
      </c>
      <c r="C300" s="36">
        <v>349</v>
      </c>
      <c r="D300" s="4">
        <f t="shared" si="58"/>
        <v>0.40487238979118328</v>
      </c>
      <c r="E300" s="11">
        <v>10</v>
      </c>
      <c r="F300" s="5" t="s">
        <v>370</v>
      </c>
      <c r="G300" s="5" t="s">
        <v>370</v>
      </c>
      <c r="H300" s="5" t="s">
        <v>370</v>
      </c>
      <c r="I300" s="5" t="s">
        <v>370</v>
      </c>
      <c r="J300" s="5" t="s">
        <v>370</v>
      </c>
      <c r="K300" s="5" t="s">
        <v>370</v>
      </c>
      <c r="L300" s="5" t="s">
        <v>370</v>
      </c>
      <c r="M300" s="5" t="s">
        <v>370</v>
      </c>
      <c r="N300" s="36">
        <v>146.9</v>
      </c>
      <c r="O300" s="36">
        <v>58.3</v>
      </c>
      <c r="P300" s="4">
        <f t="shared" si="59"/>
        <v>0.39686861810755614</v>
      </c>
      <c r="Q300" s="11">
        <v>20</v>
      </c>
      <c r="R300" s="36">
        <v>19</v>
      </c>
      <c r="S300" s="36">
        <v>16.100000000000001</v>
      </c>
      <c r="T300" s="4">
        <f t="shared" si="60"/>
        <v>0.84736842105263166</v>
      </c>
      <c r="U300" s="11">
        <v>30</v>
      </c>
      <c r="V300" s="36">
        <v>0</v>
      </c>
      <c r="W300" s="36">
        <v>0</v>
      </c>
      <c r="X300" s="4">
        <f t="shared" si="61"/>
        <v>1</v>
      </c>
      <c r="Y300" s="11">
        <v>20</v>
      </c>
      <c r="Z300" s="45">
        <f t="shared" si="68"/>
        <v>0.71758936114552374</v>
      </c>
      <c r="AA300" s="46">
        <v>1007</v>
      </c>
      <c r="AB300" s="36">
        <f t="shared" si="62"/>
        <v>91.545454545454547</v>
      </c>
      <c r="AC300" s="36">
        <f t="shared" si="63"/>
        <v>65.7</v>
      </c>
      <c r="AD300" s="36">
        <f t="shared" si="64"/>
        <v>-25.845454545454544</v>
      </c>
      <c r="AE300" s="36">
        <v>-4.5</v>
      </c>
      <c r="AF300" s="36">
        <f t="shared" si="65"/>
        <v>61.2</v>
      </c>
      <c r="AG300" s="36"/>
      <c r="AH300" s="36">
        <f t="shared" si="66"/>
        <v>61.2</v>
      </c>
      <c r="AI300" s="36"/>
      <c r="AJ300" s="36">
        <f t="shared" si="67"/>
        <v>61.2</v>
      </c>
      <c r="AK300" s="9"/>
      <c r="AL300" s="9"/>
      <c r="AM300" s="9"/>
      <c r="AN300" s="9"/>
      <c r="AO300" s="9"/>
      <c r="AP300" s="9"/>
      <c r="AQ300" s="9"/>
      <c r="AR300" s="10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0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10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10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10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10"/>
      <c r="GC300" s="9"/>
      <c r="GD300" s="9"/>
    </row>
    <row r="301" spans="1:186" s="2" customFormat="1" ht="16.95" customHeight="1">
      <c r="A301" s="47" t="s">
        <v>294</v>
      </c>
      <c r="B301" s="36">
        <v>0</v>
      </c>
      <c r="C301" s="36">
        <v>0</v>
      </c>
      <c r="D301" s="4">
        <f t="shared" si="58"/>
        <v>0</v>
      </c>
      <c r="E301" s="11">
        <v>0</v>
      </c>
      <c r="F301" s="5" t="s">
        <v>370</v>
      </c>
      <c r="G301" s="5" t="s">
        <v>370</v>
      </c>
      <c r="H301" s="5" t="s">
        <v>370</v>
      </c>
      <c r="I301" s="5" t="s">
        <v>370</v>
      </c>
      <c r="J301" s="5" t="s">
        <v>370</v>
      </c>
      <c r="K301" s="5" t="s">
        <v>370</v>
      </c>
      <c r="L301" s="5" t="s">
        <v>370</v>
      </c>
      <c r="M301" s="5" t="s">
        <v>370</v>
      </c>
      <c r="N301" s="36">
        <v>252.8</v>
      </c>
      <c r="O301" s="36">
        <v>369.5</v>
      </c>
      <c r="P301" s="4">
        <f t="shared" si="59"/>
        <v>1.2261629746835443</v>
      </c>
      <c r="Q301" s="11">
        <v>20</v>
      </c>
      <c r="R301" s="36">
        <v>0</v>
      </c>
      <c r="S301" s="36">
        <v>0</v>
      </c>
      <c r="T301" s="4">
        <f t="shared" si="60"/>
        <v>1</v>
      </c>
      <c r="U301" s="11">
        <v>20</v>
      </c>
      <c r="V301" s="36">
        <v>0</v>
      </c>
      <c r="W301" s="36">
        <v>0</v>
      </c>
      <c r="X301" s="4">
        <f t="shared" si="61"/>
        <v>1</v>
      </c>
      <c r="Y301" s="11">
        <v>30</v>
      </c>
      <c r="Z301" s="45">
        <f t="shared" si="68"/>
        <v>1.0646179927667268</v>
      </c>
      <c r="AA301" s="46">
        <v>44</v>
      </c>
      <c r="AB301" s="36">
        <f t="shared" si="62"/>
        <v>4</v>
      </c>
      <c r="AC301" s="36">
        <f t="shared" si="63"/>
        <v>4.3</v>
      </c>
      <c r="AD301" s="36">
        <f t="shared" si="64"/>
        <v>0.29999999999999982</v>
      </c>
      <c r="AE301" s="36">
        <v>-0.5</v>
      </c>
      <c r="AF301" s="36">
        <f t="shared" si="65"/>
        <v>3.8</v>
      </c>
      <c r="AG301" s="36"/>
      <c r="AH301" s="36">
        <f t="shared" si="66"/>
        <v>3.8</v>
      </c>
      <c r="AI301" s="36"/>
      <c r="AJ301" s="36">
        <f t="shared" si="67"/>
        <v>3.8</v>
      </c>
      <c r="AK301" s="9"/>
      <c r="AL301" s="9"/>
      <c r="AM301" s="9"/>
      <c r="AN301" s="9"/>
      <c r="AO301" s="9"/>
      <c r="AP301" s="9"/>
      <c r="AQ301" s="9"/>
      <c r="AR301" s="10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0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10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10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10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10"/>
      <c r="GC301" s="9"/>
      <c r="GD301" s="9"/>
    </row>
    <row r="302" spans="1:186" s="2" customFormat="1" ht="16.95" customHeight="1">
      <c r="A302" s="47" t="s">
        <v>295</v>
      </c>
      <c r="B302" s="36">
        <v>4009</v>
      </c>
      <c r="C302" s="36">
        <v>8938.5</v>
      </c>
      <c r="D302" s="4">
        <f t="shared" si="58"/>
        <v>1.3</v>
      </c>
      <c r="E302" s="11">
        <v>10</v>
      </c>
      <c r="F302" s="5" t="s">
        <v>370</v>
      </c>
      <c r="G302" s="5" t="s">
        <v>370</v>
      </c>
      <c r="H302" s="5" t="s">
        <v>370</v>
      </c>
      <c r="I302" s="5" t="s">
        <v>370</v>
      </c>
      <c r="J302" s="5" t="s">
        <v>370</v>
      </c>
      <c r="K302" s="5" t="s">
        <v>370</v>
      </c>
      <c r="L302" s="5" t="s">
        <v>370</v>
      </c>
      <c r="M302" s="5" t="s">
        <v>370</v>
      </c>
      <c r="N302" s="36">
        <v>628.1</v>
      </c>
      <c r="O302" s="36">
        <v>1293.4000000000001</v>
      </c>
      <c r="P302" s="4">
        <f t="shared" si="59"/>
        <v>1.2859226237860213</v>
      </c>
      <c r="Q302" s="11">
        <v>20</v>
      </c>
      <c r="R302" s="36">
        <v>0</v>
      </c>
      <c r="S302" s="36">
        <v>0</v>
      </c>
      <c r="T302" s="4">
        <f t="shared" si="60"/>
        <v>1</v>
      </c>
      <c r="U302" s="11">
        <v>20</v>
      </c>
      <c r="V302" s="36">
        <v>0</v>
      </c>
      <c r="W302" s="36">
        <v>0</v>
      </c>
      <c r="X302" s="4">
        <f t="shared" si="61"/>
        <v>1</v>
      </c>
      <c r="Y302" s="11">
        <v>30</v>
      </c>
      <c r="Z302" s="45">
        <f t="shared" si="68"/>
        <v>1.1089806559465054</v>
      </c>
      <c r="AA302" s="46">
        <v>150</v>
      </c>
      <c r="AB302" s="36">
        <f t="shared" si="62"/>
        <v>13.636363636363637</v>
      </c>
      <c r="AC302" s="36">
        <f t="shared" si="63"/>
        <v>15.1</v>
      </c>
      <c r="AD302" s="36">
        <f t="shared" si="64"/>
        <v>1.463636363636363</v>
      </c>
      <c r="AE302" s="36">
        <v>-0.2</v>
      </c>
      <c r="AF302" s="36">
        <f t="shared" si="65"/>
        <v>14.9</v>
      </c>
      <c r="AG302" s="36"/>
      <c r="AH302" s="36">
        <f t="shared" si="66"/>
        <v>14.9</v>
      </c>
      <c r="AI302" s="36"/>
      <c r="AJ302" s="36">
        <f t="shared" si="67"/>
        <v>14.9</v>
      </c>
      <c r="AK302" s="9"/>
      <c r="AL302" s="9"/>
      <c r="AM302" s="9"/>
      <c r="AN302" s="9"/>
      <c r="AO302" s="9"/>
      <c r="AP302" s="9"/>
      <c r="AQ302" s="9"/>
      <c r="AR302" s="10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10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10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10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10"/>
      <c r="GC302" s="9"/>
      <c r="GD302" s="9"/>
    </row>
    <row r="303" spans="1:186" s="2" customFormat="1" ht="16.95" customHeight="1">
      <c r="A303" s="47" t="s">
        <v>296</v>
      </c>
      <c r="B303" s="36">
        <v>104210</v>
      </c>
      <c r="C303" s="36">
        <v>88381</v>
      </c>
      <c r="D303" s="4">
        <f t="shared" ref="D303:D366" si="69">IF(E303=0,0,IF(B303=0,1,IF(C303&lt;0,0,IF(C303/B303&gt;1.2,IF((C303/B303-1.2)*0.1+1.2&gt;1.3,1.3,(C303/B303-1.2)*0.1+1.2),C303/B303))))</f>
        <v>0.84810478840802228</v>
      </c>
      <c r="E303" s="11">
        <v>10</v>
      </c>
      <c r="F303" s="5" t="s">
        <v>370</v>
      </c>
      <c r="G303" s="5" t="s">
        <v>370</v>
      </c>
      <c r="H303" s="5" t="s">
        <v>370</v>
      </c>
      <c r="I303" s="5" t="s">
        <v>370</v>
      </c>
      <c r="J303" s="5" t="s">
        <v>370</v>
      </c>
      <c r="K303" s="5" t="s">
        <v>370</v>
      </c>
      <c r="L303" s="5" t="s">
        <v>370</v>
      </c>
      <c r="M303" s="5" t="s">
        <v>370</v>
      </c>
      <c r="N303" s="36">
        <v>3568.8</v>
      </c>
      <c r="O303" s="36">
        <v>2092.3000000000002</v>
      </c>
      <c r="P303" s="4">
        <f t="shared" ref="P303:P366" si="70">IF(Q303=0,0,IF(N303=0,1,IF(O303&lt;0,0,IF(O303/N303&gt;1.2,IF((O303/N303-1.2)*0.1+1.2&gt;1.3,1.3,(O303/N303-1.2)*0.1+1.2),O303/N303))))</f>
        <v>0.58627549876709262</v>
      </c>
      <c r="Q303" s="11">
        <v>20</v>
      </c>
      <c r="R303" s="36">
        <v>0</v>
      </c>
      <c r="S303" s="36">
        <v>0</v>
      </c>
      <c r="T303" s="4">
        <f t="shared" ref="T303:T366" si="71">IF(U303=0,0,IF(R303=0,1,IF(S303&lt;0,0,IF(S303/R303&gt;1.2,IF((S303/R303-1.2)*0.1+1.2&gt;1.3,1.3,(S303/R303-1.2)*0.1+1.2),S303/R303))))</f>
        <v>1</v>
      </c>
      <c r="U303" s="11">
        <v>40</v>
      </c>
      <c r="V303" s="36">
        <v>0</v>
      </c>
      <c r="W303" s="36">
        <v>0</v>
      </c>
      <c r="X303" s="4">
        <f t="shared" ref="X303:X366" si="72">IF(Y303=0,0,IF(V303=0,1,IF(W303&lt;0,0,IF(W303/V303&gt;1.2,IF((W303/V303-1.2)*0.1+1.2&gt;1.3,1.3,(W303/V303-1.2)*0.1+1.2),W303/V303))))</f>
        <v>1</v>
      </c>
      <c r="Y303" s="11">
        <v>10</v>
      </c>
      <c r="Z303" s="45">
        <f t="shared" si="68"/>
        <v>0.87758197324277598</v>
      </c>
      <c r="AA303" s="46">
        <v>25</v>
      </c>
      <c r="AB303" s="36">
        <f t="shared" ref="AB303:AB366" si="73">AA303/11</f>
        <v>2.2727272727272729</v>
      </c>
      <c r="AC303" s="36">
        <f t="shared" ref="AC303:AC366" si="74">ROUND(Z303*AB303,1)</f>
        <v>2</v>
      </c>
      <c r="AD303" s="36">
        <f t="shared" ref="AD303:AD366" si="75">AC303-AB303</f>
        <v>-0.27272727272727293</v>
      </c>
      <c r="AE303" s="36">
        <v>0.4</v>
      </c>
      <c r="AF303" s="36">
        <f t="shared" ref="AF303:AF366" si="76">IF((AC303+AE303)&gt;0,ROUND(AC303+AE303,1),0)</f>
        <v>2.4</v>
      </c>
      <c r="AG303" s="36"/>
      <c r="AH303" s="36">
        <f t="shared" ref="AH303:AH366" si="77">IF((AF303-AG303)&gt;0,ROUND(AF303-AG303,1),0)</f>
        <v>2.4</v>
      </c>
      <c r="AI303" s="36"/>
      <c r="AJ303" s="36">
        <f t="shared" ref="AJ303:AJ366" si="78">IF((AH303-AI303)&gt;0,ROUND(AH303-AI303,1),0)</f>
        <v>2.4</v>
      </c>
      <c r="AK303" s="9"/>
      <c r="AL303" s="9"/>
      <c r="AM303" s="9"/>
      <c r="AN303" s="9"/>
      <c r="AO303" s="9"/>
      <c r="AP303" s="9"/>
      <c r="AQ303" s="9"/>
      <c r="AR303" s="10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10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10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10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10"/>
      <c r="GC303" s="9"/>
      <c r="GD303" s="9"/>
    </row>
    <row r="304" spans="1:186" s="2" customFormat="1" ht="16.95" customHeight="1">
      <c r="A304" s="47" t="s">
        <v>297</v>
      </c>
      <c r="B304" s="36">
        <v>3435</v>
      </c>
      <c r="C304" s="36">
        <v>3883.9</v>
      </c>
      <c r="D304" s="4">
        <f t="shared" si="69"/>
        <v>1.1306841339155751</v>
      </c>
      <c r="E304" s="11">
        <v>10</v>
      </c>
      <c r="F304" s="5" t="s">
        <v>370</v>
      </c>
      <c r="G304" s="5" t="s">
        <v>370</v>
      </c>
      <c r="H304" s="5" t="s">
        <v>370</v>
      </c>
      <c r="I304" s="5" t="s">
        <v>370</v>
      </c>
      <c r="J304" s="5" t="s">
        <v>370</v>
      </c>
      <c r="K304" s="5" t="s">
        <v>370</v>
      </c>
      <c r="L304" s="5" t="s">
        <v>370</v>
      </c>
      <c r="M304" s="5" t="s">
        <v>370</v>
      </c>
      <c r="N304" s="36">
        <v>1174.8</v>
      </c>
      <c r="O304" s="36">
        <v>285.3</v>
      </c>
      <c r="P304" s="4">
        <f t="shared" si="70"/>
        <v>0.24284984678243107</v>
      </c>
      <c r="Q304" s="11">
        <v>20</v>
      </c>
      <c r="R304" s="36">
        <v>0</v>
      </c>
      <c r="S304" s="36">
        <v>0</v>
      </c>
      <c r="T304" s="4">
        <f t="shared" si="71"/>
        <v>1</v>
      </c>
      <c r="U304" s="11">
        <v>10</v>
      </c>
      <c r="V304" s="36">
        <v>0</v>
      </c>
      <c r="W304" s="36">
        <v>0</v>
      </c>
      <c r="X304" s="4">
        <f t="shared" si="72"/>
        <v>1</v>
      </c>
      <c r="Y304" s="11">
        <v>40</v>
      </c>
      <c r="Z304" s="45">
        <f t="shared" ref="Z304:Z367" si="79">(D304*E304+P304*Q304+T304*U304+X304*Y304)/(E304+Q304+U304+Y304)</f>
        <v>0.82704797843505473</v>
      </c>
      <c r="AA304" s="46">
        <v>20</v>
      </c>
      <c r="AB304" s="36">
        <f t="shared" si="73"/>
        <v>1.8181818181818181</v>
      </c>
      <c r="AC304" s="36">
        <f t="shared" si="74"/>
        <v>1.5</v>
      </c>
      <c r="AD304" s="36">
        <f t="shared" si="75"/>
        <v>-0.31818181818181812</v>
      </c>
      <c r="AE304" s="36">
        <v>0</v>
      </c>
      <c r="AF304" s="36">
        <f t="shared" si="76"/>
        <v>1.5</v>
      </c>
      <c r="AG304" s="36"/>
      <c r="AH304" s="36">
        <f t="shared" si="77"/>
        <v>1.5</v>
      </c>
      <c r="AI304" s="36"/>
      <c r="AJ304" s="36">
        <f t="shared" si="78"/>
        <v>1.5</v>
      </c>
      <c r="AK304" s="9"/>
      <c r="AL304" s="9"/>
      <c r="AM304" s="9"/>
      <c r="AN304" s="9"/>
      <c r="AO304" s="9"/>
      <c r="AP304" s="9"/>
      <c r="AQ304" s="9"/>
      <c r="AR304" s="10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0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10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10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10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10"/>
      <c r="GC304" s="9"/>
      <c r="GD304" s="9"/>
    </row>
    <row r="305" spans="1:186" s="2" customFormat="1" ht="16.95" customHeight="1">
      <c r="A305" s="47" t="s">
        <v>298</v>
      </c>
      <c r="B305" s="36">
        <v>0</v>
      </c>
      <c r="C305" s="36">
        <v>0</v>
      </c>
      <c r="D305" s="4">
        <f t="shared" si="69"/>
        <v>0</v>
      </c>
      <c r="E305" s="11">
        <v>0</v>
      </c>
      <c r="F305" s="5" t="s">
        <v>370</v>
      </c>
      <c r="G305" s="5" t="s">
        <v>370</v>
      </c>
      <c r="H305" s="5" t="s">
        <v>370</v>
      </c>
      <c r="I305" s="5" t="s">
        <v>370</v>
      </c>
      <c r="J305" s="5" t="s">
        <v>370</v>
      </c>
      <c r="K305" s="5" t="s">
        <v>370</v>
      </c>
      <c r="L305" s="5" t="s">
        <v>370</v>
      </c>
      <c r="M305" s="5" t="s">
        <v>370</v>
      </c>
      <c r="N305" s="36">
        <v>80.3</v>
      </c>
      <c r="O305" s="36">
        <v>77.099999999999994</v>
      </c>
      <c r="P305" s="4">
        <f t="shared" si="70"/>
        <v>0.96014943960149435</v>
      </c>
      <c r="Q305" s="11">
        <v>20</v>
      </c>
      <c r="R305" s="36">
        <v>0</v>
      </c>
      <c r="S305" s="36">
        <v>0</v>
      </c>
      <c r="T305" s="4">
        <f t="shared" si="71"/>
        <v>1</v>
      </c>
      <c r="U305" s="11">
        <v>30</v>
      </c>
      <c r="V305" s="36">
        <v>0</v>
      </c>
      <c r="W305" s="36">
        <v>0</v>
      </c>
      <c r="X305" s="4">
        <f t="shared" si="72"/>
        <v>1</v>
      </c>
      <c r="Y305" s="11">
        <v>20</v>
      </c>
      <c r="Z305" s="45">
        <f t="shared" si="79"/>
        <v>0.98861412560042694</v>
      </c>
      <c r="AA305" s="46">
        <v>716</v>
      </c>
      <c r="AB305" s="36">
        <f t="shared" si="73"/>
        <v>65.090909090909093</v>
      </c>
      <c r="AC305" s="36">
        <f t="shared" si="74"/>
        <v>64.3</v>
      </c>
      <c r="AD305" s="36">
        <f t="shared" si="75"/>
        <v>-0.79090909090909634</v>
      </c>
      <c r="AE305" s="36">
        <v>10.8</v>
      </c>
      <c r="AF305" s="36">
        <f t="shared" si="76"/>
        <v>75.099999999999994</v>
      </c>
      <c r="AG305" s="36"/>
      <c r="AH305" s="36">
        <f t="shared" si="77"/>
        <v>75.099999999999994</v>
      </c>
      <c r="AI305" s="36"/>
      <c r="AJ305" s="36">
        <f t="shared" si="78"/>
        <v>75.099999999999994</v>
      </c>
      <c r="AK305" s="9"/>
      <c r="AL305" s="9"/>
      <c r="AM305" s="9"/>
      <c r="AN305" s="9"/>
      <c r="AO305" s="9"/>
      <c r="AP305" s="9"/>
      <c r="AQ305" s="9"/>
      <c r="AR305" s="10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0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10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10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10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10"/>
      <c r="GC305" s="9"/>
      <c r="GD305" s="9"/>
    </row>
    <row r="306" spans="1:186" s="2" customFormat="1" ht="16.95" customHeight="1">
      <c r="A306" s="47" t="s">
        <v>299</v>
      </c>
      <c r="B306" s="36">
        <v>530</v>
      </c>
      <c r="C306" s="36">
        <v>915.8</v>
      </c>
      <c r="D306" s="4">
        <f t="shared" si="69"/>
        <v>1.2527924528301886</v>
      </c>
      <c r="E306" s="11">
        <v>10</v>
      </c>
      <c r="F306" s="5" t="s">
        <v>370</v>
      </c>
      <c r="G306" s="5" t="s">
        <v>370</v>
      </c>
      <c r="H306" s="5" t="s">
        <v>370</v>
      </c>
      <c r="I306" s="5" t="s">
        <v>370</v>
      </c>
      <c r="J306" s="5" t="s">
        <v>370</v>
      </c>
      <c r="K306" s="5" t="s">
        <v>370</v>
      </c>
      <c r="L306" s="5" t="s">
        <v>370</v>
      </c>
      <c r="M306" s="5" t="s">
        <v>370</v>
      </c>
      <c r="N306" s="36">
        <v>567.29999999999995</v>
      </c>
      <c r="O306" s="36">
        <v>177.3</v>
      </c>
      <c r="P306" s="4">
        <f t="shared" si="70"/>
        <v>0.31253305129561082</v>
      </c>
      <c r="Q306" s="11">
        <v>20</v>
      </c>
      <c r="R306" s="36">
        <v>0</v>
      </c>
      <c r="S306" s="36">
        <v>0</v>
      </c>
      <c r="T306" s="4">
        <f t="shared" si="71"/>
        <v>1</v>
      </c>
      <c r="U306" s="11">
        <v>35</v>
      </c>
      <c r="V306" s="36">
        <v>0</v>
      </c>
      <c r="W306" s="36">
        <v>0</v>
      </c>
      <c r="X306" s="4">
        <f t="shared" si="72"/>
        <v>1</v>
      </c>
      <c r="Y306" s="11">
        <v>15</v>
      </c>
      <c r="Z306" s="45">
        <f t="shared" si="79"/>
        <v>0.85973231942767625</v>
      </c>
      <c r="AA306" s="46">
        <v>2482</v>
      </c>
      <c r="AB306" s="36">
        <f t="shared" si="73"/>
        <v>225.63636363636363</v>
      </c>
      <c r="AC306" s="36">
        <f t="shared" si="74"/>
        <v>194</v>
      </c>
      <c r="AD306" s="36">
        <f t="shared" si="75"/>
        <v>-31.636363636363626</v>
      </c>
      <c r="AE306" s="36">
        <v>47.3</v>
      </c>
      <c r="AF306" s="36">
        <f t="shared" si="76"/>
        <v>241.3</v>
      </c>
      <c r="AG306" s="36"/>
      <c r="AH306" s="36">
        <f t="shared" si="77"/>
        <v>241.3</v>
      </c>
      <c r="AI306" s="36"/>
      <c r="AJ306" s="36">
        <f t="shared" si="78"/>
        <v>241.3</v>
      </c>
      <c r="AK306" s="9"/>
      <c r="AL306" s="9"/>
      <c r="AM306" s="9"/>
      <c r="AN306" s="9"/>
      <c r="AO306" s="9"/>
      <c r="AP306" s="9"/>
      <c r="AQ306" s="9"/>
      <c r="AR306" s="10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0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10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10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10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10"/>
      <c r="GC306" s="9"/>
      <c r="GD306" s="9"/>
    </row>
    <row r="307" spans="1:186" s="2" customFormat="1" ht="16.95" customHeight="1">
      <c r="A307" s="47" t="s">
        <v>300</v>
      </c>
      <c r="B307" s="36">
        <v>6715</v>
      </c>
      <c r="C307" s="36">
        <v>5979</v>
      </c>
      <c r="D307" s="4">
        <f t="shared" si="69"/>
        <v>0.89039463886820547</v>
      </c>
      <c r="E307" s="11">
        <v>10</v>
      </c>
      <c r="F307" s="5" t="s">
        <v>370</v>
      </c>
      <c r="G307" s="5" t="s">
        <v>370</v>
      </c>
      <c r="H307" s="5" t="s">
        <v>370</v>
      </c>
      <c r="I307" s="5" t="s">
        <v>370</v>
      </c>
      <c r="J307" s="5" t="s">
        <v>370</v>
      </c>
      <c r="K307" s="5" t="s">
        <v>370</v>
      </c>
      <c r="L307" s="5" t="s">
        <v>370</v>
      </c>
      <c r="M307" s="5" t="s">
        <v>370</v>
      </c>
      <c r="N307" s="36">
        <v>170</v>
      </c>
      <c r="O307" s="36">
        <v>79.400000000000006</v>
      </c>
      <c r="P307" s="4">
        <f t="shared" si="70"/>
        <v>0.4670588235294118</v>
      </c>
      <c r="Q307" s="11">
        <v>20</v>
      </c>
      <c r="R307" s="36">
        <v>0</v>
      </c>
      <c r="S307" s="36">
        <v>39.5</v>
      </c>
      <c r="T307" s="4">
        <f t="shared" si="71"/>
        <v>1</v>
      </c>
      <c r="U307" s="11">
        <v>20</v>
      </c>
      <c r="V307" s="36">
        <v>0</v>
      </c>
      <c r="W307" s="36">
        <v>0</v>
      </c>
      <c r="X307" s="4">
        <f t="shared" si="72"/>
        <v>1</v>
      </c>
      <c r="Y307" s="11">
        <v>30</v>
      </c>
      <c r="Z307" s="45">
        <f t="shared" si="79"/>
        <v>0.85306403574087852</v>
      </c>
      <c r="AA307" s="46">
        <v>2665</v>
      </c>
      <c r="AB307" s="36">
        <f t="shared" si="73"/>
        <v>242.27272727272728</v>
      </c>
      <c r="AC307" s="36">
        <f t="shared" si="74"/>
        <v>206.7</v>
      </c>
      <c r="AD307" s="36">
        <f t="shared" si="75"/>
        <v>-35.572727272727292</v>
      </c>
      <c r="AE307" s="36">
        <v>-28</v>
      </c>
      <c r="AF307" s="36">
        <f t="shared" si="76"/>
        <v>178.7</v>
      </c>
      <c r="AG307" s="36"/>
      <c r="AH307" s="36">
        <f t="shared" si="77"/>
        <v>178.7</v>
      </c>
      <c r="AI307" s="36"/>
      <c r="AJ307" s="36">
        <f t="shared" si="78"/>
        <v>178.7</v>
      </c>
      <c r="AK307" s="9"/>
      <c r="AL307" s="9"/>
      <c r="AM307" s="9"/>
      <c r="AN307" s="9"/>
      <c r="AO307" s="9"/>
      <c r="AP307" s="9"/>
      <c r="AQ307" s="9"/>
      <c r="AR307" s="10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0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10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10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10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10"/>
      <c r="GC307" s="9"/>
      <c r="GD307" s="9"/>
    </row>
    <row r="308" spans="1:186" s="2" customFormat="1" ht="16.95" customHeight="1">
      <c r="A308" s="47" t="s">
        <v>301</v>
      </c>
      <c r="B308" s="36">
        <v>74605</v>
      </c>
      <c r="C308" s="36">
        <v>84636.4</v>
      </c>
      <c r="D308" s="4">
        <f t="shared" si="69"/>
        <v>1.13446015682595</v>
      </c>
      <c r="E308" s="11">
        <v>10</v>
      </c>
      <c r="F308" s="5" t="s">
        <v>370</v>
      </c>
      <c r="G308" s="5" t="s">
        <v>370</v>
      </c>
      <c r="H308" s="5" t="s">
        <v>370</v>
      </c>
      <c r="I308" s="5" t="s">
        <v>370</v>
      </c>
      <c r="J308" s="5" t="s">
        <v>370</v>
      </c>
      <c r="K308" s="5" t="s">
        <v>370</v>
      </c>
      <c r="L308" s="5" t="s">
        <v>370</v>
      </c>
      <c r="M308" s="5" t="s">
        <v>370</v>
      </c>
      <c r="N308" s="36">
        <v>2614.6</v>
      </c>
      <c r="O308" s="36">
        <v>2533.4</v>
      </c>
      <c r="P308" s="4">
        <f t="shared" si="70"/>
        <v>0.9689436242637498</v>
      </c>
      <c r="Q308" s="11">
        <v>20</v>
      </c>
      <c r="R308" s="36">
        <v>0</v>
      </c>
      <c r="S308" s="36">
        <v>0</v>
      </c>
      <c r="T308" s="4">
        <f t="shared" si="71"/>
        <v>1</v>
      </c>
      <c r="U308" s="11">
        <v>40</v>
      </c>
      <c r="V308" s="36">
        <v>0</v>
      </c>
      <c r="W308" s="36">
        <v>0</v>
      </c>
      <c r="X308" s="4">
        <f t="shared" si="72"/>
        <v>1</v>
      </c>
      <c r="Y308" s="11">
        <v>10</v>
      </c>
      <c r="Z308" s="45">
        <f t="shared" si="79"/>
        <v>1.0090434256691811</v>
      </c>
      <c r="AA308" s="46">
        <v>68</v>
      </c>
      <c r="AB308" s="36">
        <f t="shared" si="73"/>
        <v>6.1818181818181817</v>
      </c>
      <c r="AC308" s="36">
        <f t="shared" si="74"/>
        <v>6.2</v>
      </c>
      <c r="AD308" s="36">
        <f t="shared" si="75"/>
        <v>1.8181818181818521E-2</v>
      </c>
      <c r="AE308" s="36">
        <v>-1.1000000000000001</v>
      </c>
      <c r="AF308" s="36">
        <f t="shared" si="76"/>
        <v>5.0999999999999996</v>
      </c>
      <c r="AG308" s="36"/>
      <c r="AH308" s="36">
        <f t="shared" si="77"/>
        <v>5.0999999999999996</v>
      </c>
      <c r="AI308" s="36"/>
      <c r="AJ308" s="36">
        <f t="shared" si="78"/>
        <v>5.0999999999999996</v>
      </c>
      <c r="AK308" s="9"/>
      <c r="AL308" s="9"/>
      <c r="AM308" s="9"/>
      <c r="AN308" s="9"/>
      <c r="AO308" s="9"/>
      <c r="AP308" s="9"/>
      <c r="AQ308" s="9"/>
      <c r="AR308" s="10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0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10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10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10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10"/>
      <c r="GC308" s="9"/>
      <c r="GD308" s="9"/>
    </row>
    <row r="309" spans="1:186" s="2" customFormat="1" ht="16.95" customHeight="1">
      <c r="A309" s="47" t="s">
        <v>302</v>
      </c>
      <c r="B309" s="36">
        <v>15500</v>
      </c>
      <c r="C309" s="36">
        <v>23470</v>
      </c>
      <c r="D309" s="4">
        <f t="shared" si="69"/>
        <v>1.2314193548387096</v>
      </c>
      <c r="E309" s="11">
        <v>10</v>
      </c>
      <c r="F309" s="5" t="s">
        <v>370</v>
      </c>
      <c r="G309" s="5" t="s">
        <v>370</v>
      </c>
      <c r="H309" s="5" t="s">
        <v>370</v>
      </c>
      <c r="I309" s="5" t="s">
        <v>370</v>
      </c>
      <c r="J309" s="5" t="s">
        <v>370</v>
      </c>
      <c r="K309" s="5" t="s">
        <v>370</v>
      </c>
      <c r="L309" s="5" t="s">
        <v>370</v>
      </c>
      <c r="M309" s="5" t="s">
        <v>370</v>
      </c>
      <c r="N309" s="36">
        <v>456.2</v>
      </c>
      <c r="O309" s="36">
        <v>532</v>
      </c>
      <c r="P309" s="4">
        <f t="shared" si="70"/>
        <v>1.166155195089873</v>
      </c>
      <c r="Q309" s="11">
        <v>20</v>
      </c>
      <c r="R309" s="36">
        <v>111</v>
      </c>
      <c r="S309" s="36">
        <v>128.30000000000001</v>
      </c>
      <c r="T309" s="4">
        <f t="shared" si="71"/>
        <v>1.155855855855856</v>
      </c>
      <c r="U309" s="11">
        <v>30</v>
      </c>
      <c r="V309" s="36">
        <v>0</v>
      </c>
      <c r="W309" s="36">
        <v>0</v>
      </c>
      <c r="X309" s="4">
        <f t="shared" si="72"/>
        <v>1</v>
      </c>
      <c r="Y309" s="11">
        <v>20</v>
      </c>
      <c r="Z309" s="45">
        <f t="shared" si="79"/>
        <v>1.1289121640732529</v>
      </c>
      <c r="AA309" s="46">
        <v>1656</v>
      </c>
      <c r="AB309" s="36">
        <f t="shared" si="73"/>
        <v>150.54545454545453</v>
      </c>
      <c r="AC309" s="36">
        <f t="shared" si="74"/>
        <v>170</v>
      </c>
      <c r="AD309" s="36">
        <f t="shared" si="75"/>
        <v>19.454545454545467</v>
      </c>
      <c r="AE309" s="36">
        <v>-11.9</v>
      </c>
      <c r="AF309" s="36">
        <f t="shared" si="76"/>
        <v>158.1</v>
      </c>
      <c r="AG309" s="36"/>
      <c r="AH309" s="36">
        <f t="shared" si="77"/>
        <v>158.1</v>
      </c>
      <c r="AI309" s="36"/>
      <c r="AJ309" s="36">
        <f t="shared" si="78"/>
        <v>158.1</v>
      </c>
      <c r="AK309" s="9"/>
      <c r="AL309" s="9"/>
      <c r="AM309" s="9"/>
      <c r="AN309" s="9"/>
      <c r="AO309" s="9"/>
      <c r="AP309" s="9"/>
      <c r="AQ309" s="9"/>
      <c r="AR309" s="10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0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10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10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10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10"/>
      <c r="GC309" s="9"/>
      <c r="GD309" s="9"/>
    </row>
    <row r="310" spans="1:186" s="2" customFormat="1" ht="16.95" customHeight="1">
      <c r="A310" s="47" t="s">
        <v>303</v>
      </c>
      <c r="B310" s="36">
        <v>21294</v>
      </c>
      <c r="C310" s="36">
        <v>21305.9</v>
      </c>
      <c r="D310" s="4">
        <f t="shared" si="69"/>
        <v>1.0005588428665353</v>
      </c>
      <c r="E310" s="11">
        <v>10</v>
      </c>
      <c r="F310" s="5" t="s">
        <v>370</v>
      </c>
      <c r="G310" s="5" t="s">
        <v>370</v>
      </c>
      <c r="H310" s="5" t="s">
        <v>370</v>
      </c>
      <c r="I310" s="5" t="s">
        <v>370</v>
      </c>
      <c r="J310" s="5" t="s">
        <v>370</v>
      </c>
      <c r="K310" s="5" t="s">
        <v>370</v>
      </c>
      <c r="L310" s="5" t="s">
        <v>370</v>
      </c>
      <c r="M310" s="5" t="s">
        <v>370</v>
      </c>
      <c r="N310" s="36">
        <v>200.8</v>
      </c>
      <c r="O310" s="36">
        <v>215.5</v>
      </c>
      <c r="P310" s="4">
        <f t="shared" si="70"/>
        <v>1.0732071713147411</v>
      </c>
      <c r="Q310" s="11">
        <v>20</v>
      </c>
      <c r="R310" s="36">
        <v>150</v>
      </c>
      <c r="S310" s="36">
        <v>191.8</v>
      </c>
      <c r="T310" s="4">
        <f t="shared" si="71"/>
        <v>1.2078666666666666</v>
      </c>
      <c r="U310" s="11">
        <v>30</v>
      </c>
      <c r="V310" s="36">
        <v>0</v>
      </c>
      <c r="W310" s="36">
        <v>0</v>
      </c>
      <c r="X310" s="4">
        <f t="shared" si="72"/>
        <v>1</v>
      </c>
      <c r="Y310" s="11">
        <v>20</v>
      </c>
      <c r="Z310" s="45">
        <f t="shared" si="79"/>
        <v>1.096321648187002</v>
      </c>
      <c r="AA310" s="46">
        <v>2131</v>
      </c>
      <c r="AB310" s="36">
        <f t="shared" si="73"/>
        <v>193.72727272727272</v>
      </c>
      <c r="AC310" s="36">
        <f t="shared" si="74"/>
        <v>212.4</v>
      </c>
      <c r="AD310" s="36">
        <f t="shared" si="75"/>
        <v>18.672727272727286</v>
      </c>
      <c r="AE310" s="36">
        <v>7.8</v>
      </c>
      <c r="AF310" s="36">
        <f t="shared" si="76"/>
        <v>220.2</v>
      </c>
      <c r="AG310" s="36"/>
      <c r="AH310" s="36">
        <f t="shared" si="77"/>
        <v>220.2</v>
      </c>
      <c r="AI310" s="36"/>
      <c r="AJ310" s="36">
        <f t="shared" si="78"/>
        <v>220.2</v>
      </c>
      <c r="AK310" s="9"/>
      <c r="AL310" s="9"/>
      <c r="AM310" s="9"/>
      <c r="AN310" s="9"/>
      <c r="AO310" s="9"/>
      <c r="AP310" s="9"/>
      <c r="AQ310" s="9"/>
      <c r="AR310" s="10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0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10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10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10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10"/>
      <c r="GC310" s="9"/>
      <c r="GD310" s="9"/>
    </row>
    <row r="311" spans="1:186" s="2" customFormat="1" ht="16.95" customHeight="1">
      <c r="A311" s="47" t="s">
        <v>304</v>
      </c>
      <c r="B311" s="36">
        <v>71378</v>
      </c>
      <c r="C311" s="36">
        <v>60073.7</v>
      </c>
      <c r="D311" s="4">
        <f t="shared" si="69"/>
        <v>0.84162767239205349</v>
      </c>
      <c r="E311" s="11">
        <v>10</v>
      </c>
      <c r="F311" s="5" t="s">
        <v>370</v>
      </c>
      <c r="G311" s="5" t="s">
        <v>370</v>
      </c>
      <c r="H311" s="5" t="s">
        <v>370</v>
      </c>
      <c r="I311" s="5" t="s">
        <v>370</v>
      </c>
      <c r="J311" s="5" t="s">
        <v>370</v>
      </c>
      <c r="K311" s="5" t="s">
        <v>370</v>
      </c>
      <c r="L311" s="5" t="s">
        <v>370</v>
      </c>
      <c r="M311" s="5" t="s">
        <v>370</v>
      </c>
      <c r="N311" s="36">
        <v>2878.4</v>
      </c>
      <c r="O311" s="36">
        <v>1331.5</v>
      </c>
      <c r="P311" s="4">
        <f t="shared" si="70"/>
        <v>0.46258337965536406</v>
      </c>
      <c r="Q311" s="11">
        <v>20</v>
      </c>
      <c r="R311" s="36">
        <v>3</v>
      </c>
      <c r="S311" s="36">
        <v>1.4</v>
      </c>
      <c r="T311" s="4">
        <f t="shared" si="71"/>
        <v>0.46666666666666662</v>
      </c>
      <c r="U311" s="11">
        <v>35</v>
      </c>
      <c r="V311" s="36">
        <v>0</v>
      </c>
      <c r="W311" s="36">
        <v>0</v>
      </c>
      <c r="X311" s="4">
        <f t="shared" si="72"/>
        <v>1</v>
      </c>
      <c r="Y311" s="11">
        <v>15</v>
      </c>
      <c r="Z311" s="45">
        <f t="shared" si="79"/>
        <v>0.61251597062951435</v>
      </c>
      <c r="AA311" s="46">
        <v>409</v>
      </c>
      <c r="AB311" s="36">
        <f t="shared" si="73"/>
        <v>37.18181818181818</v>
      </c>
      <c r="AC311" s="36">
        <f t="shared" si="74"/>
        <v>22.8</v>
      </c>
      <c r="AD311" s="36">
        <f t="shared" si="75"/>
        <v>-14.381818181818179</v>
      </c>
      <c r="AE311" s="36">
        <v>5.5</v>
      </c>
      <c r="AF311" s="36">
        <f t="shared" si="76"/>
        <v>28.3</v>
      </c>
      <c r="AG311" s="36"/>
      <c r="AH311" s="36">
        <f t="shared" si="77"/>
        <v>28.3</v>
      </c>
      <c r="AI311" s="36"/>
      <c r="AJ311" s="36">
        <f t="shared" si="78"/>
        <v>28.3</v>
      </c>
      <c r="AK311" s="9"/>
      <c r="AL311" s="9"/>
      <c r="AM311" s="9"/>
      <c r="AN311" s="9"/>
      <c r="AO311" s="9"/>
      <c r="AP311" s="9"/>
      <c r="AQ311" s="9"/>
      <c r="AR311" s="10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0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10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10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10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10"/>
      <c r="GC311" s="9"/>
      <c r="GD311" s="9"/>
    </row>
    <row r="312" spans="1:186" s="2" customFormat="1" ht="16.95" customHeight="1">
      <c r="A312" s="18" t="s">
        <v>305</v>
      </c>
      <c r="B312" s="6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9"/>
      <c r="AL312" s="9"/>
      <c r="AM312" s="9"/>
      <c r="AN312" s="9"/>
      <c r="AO312" s="9"/>
      <c r="AP312" s="9"/>
      <c r="AQ312" s="9"/>
      <c r="AR312" s="10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0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10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10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10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10"/>
      <c r="GC312" s="9"/>
      <c r="GD312" s="9"/>
    </row>
    <row r="313" spans="1:186" s="2" customFormat="1" ht="16.95" customHeight="1">
      <c r="A313" s="47" t="s">
        <v>306</v>
      </c>
      <c r="B313" s="36">
        <v>1514</v>
      </c>
      <c r="C313" s="36">
        <v>1606</v>
      </c>
      <c r="D313" s="4">
        <f t="shared" si="69"/>
        <v>1.0607661822985468</v>
      </c>
      <c r="E313" s="11">
        <v>10</v>
      </c>
      <c r="F313" s="5" t="s">
        <v>370</v>
      </c>
      <c r="G313" s="5" t="s">
        <v>370</v>
      </c>
      <c r="H313" s="5" t="s">
        <v>370</v>
      </c>
      <c r="I313" s="5" t="s">
        <v>370</v>
      </c>
      <c r="J313" s="5" t="s">
        <v>370</v>
      </c>
      <c r="K313" s="5" t="s">
        <v>370</v>
      </c>
      <c r="L313" s="5" t="s">
        <v>370</v>
      </c>
      <c r="M313" s="5" t="s">
        <v>370</v>
      </c>
      <c r="N313" s="36">
        <v>374.4</v>
      </c>
      <c r="O313" s="36">
        <v>1459.6</v>
      </c>
      <c r="P313" s="4">
        <f t="shared" si="70"/>
        <v>1.3</v>
      </c>
      <c r="Q313" s="11">
        <v>20</v>
      </c>
      <c r="R313" s="36">
        <v>0</v>
      </c>
      <c r="S313" s="36">
        <v>0</v>
      </c>
      <c r="T313" s="4">
        <f t="shared" si="71"/>
        <v>1</v>
      </c>
      <c r="U313" s="11">
        <v>20</v>
      </c>
      <c r="V313" s="36">
        <v>0</v>
      </c>
      <c r="W313" s="36">
        <v>0</v>
      </c>
      <c r="X313" s="4">
        <f t="shared" si="72"/>
        <v>1</v>
      </c>
      <c r="Y313" s="11">
        <v>30</v>
      </c>
      <c r="Z313" s="45">
        <f t="shared" si="79"/>
        <v>1.0825957727873186</v>
      </c>
      <c r="AA313" s="46">
        <v>1142</v>
      </c>
      <c r="AB313" s="36">
        <f t="shared" si="73"/>
        <v>103.81818181818181</v>
      </c>
      <c r="AC313" s="36">
        <f t="shared" si="74"/>
        <v>112.4</v>
      </c>
      <c r="AD313" s="36">
        <f t="shared" si="75"/>
        <v>8.5818181818181927</v>
      </c>
      <c r="AE313" s="36">
        <v>-0.7</v>
      </c>
      <c r="AF313" s="36">
        <f t="shared" si="76"/>
        <v>111.7</v>
      </c>
      <c r="AG313" s="36"/>
      <c r="AH313" s="36">
        <f t="shared" si="77"/>
        <v>111.7</v>
      </c>
      <c r="AI313" s="36"/>
      <c r="AJ313" s="36">
        <f t="shared" si="78"/>
        <v>111.7</v>
      </c>
      <c r="AK313" s="9"/>
      <c r="AL313" s="9"/>
      <c r="AM313" s="9"/>
      <c r="AN313" s="9"/>
      <c r="AO313" s="9"/>
      <c r="AP313" s="9"/>
      <c r="AQ313" s="9"/>
      <c r="AR313" s="10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0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10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10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10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10"/>
      <c r="GC313" s="9"/>
      <c r="GD313" s="9"/>
    </row>
    <row r="314" spans="1:186" s="2" customFormat="1" ht="16.95" customHeight="1">
      <c r="A314" s="47" t="s">
        <v>307</v>
      </c>
      <c r="B314" s="36">
        <v>17551</v>
      </c>
      <c r="C314" s="36">
        <v>8216.7000000000007</v>
      </c>
      <c r="D314" s="4">
        <f t="shared" si="69"/>
        <v>0.46816135832716088</v>
      </c>
      <c r="E314" s="11">
        <v>10</v>
      </c>
      <c r="F314" s="5" t="s">
        <v>370</v>
      </c>
      <c r="G314" s="5" t="s">
        <v>370</v>
      </c>
      <c r="H314" s="5" t="s">
        <v>370</v>
      </c>
      <c r="I314" s="5" t="s">
        <v>370</v>
      </c>
      <c r="J314" s="5" t="s">
        <v>370</v>
      </c>
      <c r="K314" s="5" t="s">
        <v>370</v>
      </c>
      <c r="L314" s="5" t="s">
        <v>370</v>
      </c>
      <c r="M314" s="5" t="s">
        <v>370</v>
      </c>
      <c r="N314" s="36">
        <v>1191</v>
      </c>
      <c r="O314" s="36">
        <v>860</v>
      </c>
      <c r="P314" s="4">
        <f t="shared" si="70"/>
        <v>0.72208228379513018</v>
      </c>
      <c r="Q314" s="11">
        <v>20</v>
      </c>
      <c r="R314" s="36">
        <v>38</v>
      </c>
      <c r="S314" s="36">
        <v>45</v>
      </c>
      <c r="T314" s="4">
        <f t="shared" si="71"/>
        <v>1.1842105263157894</v>
      </c>
      <c r="U314" s="11">
        <v>15</v>
      </c>
      <c r="V314" s="36">
        <v>5</v>
      </c>
      <c r="W314" s="36">
        <v>4.5</v>
      </c>
      <c r="X314" s="4">
        <f t="shared" si="72"/>
        <v>0.9</v>
      </c>
      <c r="Y314" s="11">
        <v>35</v>
      </c>
      <c r="Z314" s="45">
        <f t="shared" si="79"/>
        <v>0.85483021442388818</v>
      </c>
      <c r="AA314" s="46">
        <v>87</v>
      </c>
      <c r="AB314" s="36">
        <f t="shared" si="73"/>
        <v>7.9090909090909092</v>
      </c>
      <c r="AC314" s="36">
        <f t="shared" si="74"/>
        <v>6.8</v>
      </c>
      <c r="AD314" s="36">
        <f t="shared" si="75"/>
        <v>-1.1090909090909093</v>
      </c>
      <c r="AE314" s="36">
        <v>-0.2</v>
      </c>
      <c r="AF314" s="36">
        <f t="shared" si="76"/>
        <v>6.6</v>
      </c>
      <c r="AG314" s="36"/>
      <c r="AH314" s="36">
        <f t="shared" si="77"/>
        <v>6.6</v>
      </c>
      <c r="AI314" s="36"/>
      <c r="AJ314" s="36">
        <f t="shared" si="78"/>
        <v>6.6</v>
      </c>
      <c r="AK314" s="9"/>
      <c r="AL314" s="9"/>
      <c r="AM314" s="9"/>
      <c r="AN314" s="9"/>
      <c r="AO314" s="9"/>
      <c r="AP314" s="9"/>
      <c r="AQ314" s="9"/>
      <c r="AR314" s="10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0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10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10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10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10"/>
      <c r="GC314" s="9"/>
      <c r="GD314" s="9"/>
    </row>
    <row r="315" spans="1:186" s="2" customFormat="1" ht="16.95" customHeight="1">
      <c r="A315" s="47" t="s">
        <v>308</v>
      </c>
      <c r="B315" s="36">
        <v>542</v>
      </c>
      <c r="C315" s="36">
        <v>448</v>
      </c>
      <c r="D315" s="4">
        <f t="shared" si="69"/>
        <v>0.82656826568265684</v>
      </c>
      <c r="E315" s="11">
        <v>10</v>
      </c>
      <c r="F315" s="5" t="s">
        <v>370</v>
      </c>
      <c r="G315" s="5" t="s">
        <v>370</v>
      </c>
      <c r="H315" s="5" t="s">
        <v>370</v>
      </c>
      <c r="I315" s="5" t="s">
        <v>370</v>
      </c>
      <c r="J315" s="5" t="s">
        <v>370</v>
      </c>
      <c r="K315" s="5" t="s">
        <v>370</v>
      </c>
      <c r="L315" s="5" t="s">
        <v>370</v>
      </c>
      <c r="M315" s="5" t="s">
        <v>370</v>
      </c>
      <c r="N315" s="36">
        <v>439.2</v>
      </c>
      <c r="O315" s="36">
        <v>227.5</v>
      </c>
      <c r="P315" s="4">
        <f t="shared" si="70"/>
        <v>0.5179872495446266</v>
      </c>
      <c r="Q315" s="11">
        <v>20</v>
      </c>
      <c r="R315" s="36">
        <v>0</v>
      </c>
      <c r="S315" s="36">
        <v>0.4</v>
      </c>
      <c r="T315" s="4">
        <f t="shared" si="71"/>
        <v>1</v>
      </c>
      <c r="U315" s="11">
        <v>10</v>
      </c>
      <c r="V315" s="36">
        <v>5</v>
      </c>
      <c r="W315" s="36">
        <v>5.8</v>
      </c>
      <c r="X315" s="4">
        <f t="shared" si="72"/>
        <v>1.1599999999999999</v>
      </c>
      <c r="Y315" s="11">
        <v>40</v>
      </c>
      <c r="Z315" s="45">
        <f t="shared" si="79"/>
        <v>0.93781784559648873</v>
      </c>
      <c r="AA315" s="46">
        <v>60</v>
      </c>
      <c r="AB315" s="36">
        <f t="shared" si="73"/>
        <v>5.4545454545454541</v>
      </c>
      <c r="AC315" s="36">
        <f t="shared" si="74"/>
        <v>5.0999999999999996</v>
      </c>
      <c r="AD315" s="36">
        <f t="shared" si="75"/>
        <v>-0.3545454545454545</v>
      </c>
      <c r="AE315" s="36">
        <v>0</v>
      </c>
      <c r="AF315" s="36">
        <f t="shared" si="76"/>
        <v>5.0999999999999996</v>
      </c>
      <c r="AG315" s="36">
        <f>MIN(AF315,2.7)</f>
        <v>2.7</v>
      </c>
      <c r="AH315" s="36">
        <f t="shared" si="77"/>
        <v>2.4</v>
      </c>
      <c r="AI315" s="36"/>
      <c r="AJ315" s="36">
        <f t="shared" si="78"/>
        <v>2.4</v>
      </c>
      <c r="AK315" s="9"/>
      <c r="AL315" s="9"/>
      <c r="AM315" s="9"/>
      <c r="AN315" s="9"/>
      <c r="AO315" s="9"/>
      <c r="AP315" s="9"/>
      <c r="AQ315" s="9"/>
      <c r="AR315" s="10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0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10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10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10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10"/>
      <c r="GC315" s="9"/>
      <c r="GD315" s="9"/>
    </row>
    <row r="316" spans="1:186" s="2" customFormat="1" ht="16.95" customHeight="1">
      <c r="A316" s="47" t="s">
        <v>309</v>
      </c>
      <c r="B316" s="36">
        <v>455</v>
      </c>
      <c r="C316" s="36">
        <v>588</v>
      </c>
      <c r="D316" s="4">
        <f t="shared" si="69"/>
        <v>1.2092307692307691</v>
      </c>
      <c r="E316" s="11">
        <v>10</v>
      </c>
      <c r="F316" s="5" t="s">
        <v>370</v>
      </c>
      <c r="G316" s="5" t="s">
        <v>370</v>
      </c>
      <c r="H316" s="5" t="s">
        <v>370</v>
      </c>
      <c r="I316" s="5" t="s">
        <v>370</v>
      </c>
      <c r="J316" s="5" t="s">
        <v>370</v>
      </c>
      <c r="K316" s="5" t="s">
        <v>370</v>
      </c>
      <c r="L316" s="5" t="s">
        <v>370</v>
      </c>
      <c r="M316" s="5" t="s">
        <v>370</v>
      </c>
      <c r="N316" s="36">
        <v>12.9</v>
      </c>
      <c r="O316" s="36">
        <v>50</v>
      </c>
      <c r="P316" s="4">
        <f t="shared" si="70"/>
        <v>1.3</v>
      </c>
      <c r="Q316" s="11">
        <v>20</v>
      </c>
      <c r="R316" s="36">
        <v>43</v>
      </c>
      <c r="S316" s="36">
        <v>51</v>
      </c>
      <c r="T316" s="4">
        <f t="shared" si="71"/>
        <v>1.1860465116279071</v>
      </c>
      <c r="U316" s="11">
        <v>20</v>
      </c>
      <c r="V316" s="36">
        <v>2</v>
      </c>
      <c r="W316" s="36">
        <v>2</v>
      </c>
      <c r="X316" s="4">
        <f t="shared" si="72"/>
        <v>1</v>
      </c>
      <c r="Y316" s="11">
        <v>30</v>
      </c>
      <c r="Z316" s="45">
        <f t="shared" si="79"/>
        <v>1.147665474060823</v>
      </c>
      <c r="AA316" s="46">
        <v>1391</v>
      </c>
      <c r="AB316" s="36">
        <f t="shared" si="73"/>
        <v>126.45454545454545</v>
      </c>
      <c r="AC316" s="36">
        <f t="shared" si="74"/>
        <v>145.1</v>
      </c>
      <c r="AD316" s="36">
        <f t="shared" si="75"/>
        <v>18.645454545454541</v>
      </c>
      <c r="AE316" s="36">
        <v>-10.5</v>
      </c>
      <c r="AF316" s="36">
        <f t="shared" si="76"/>
        <v>134.6</v>
      </c>
      <c r="AG316" s="36"/>
      <c r="AH316" s="36">
        <f t="shared" si="77"/>
        <v>134.6</v>
      </c>
      <c r="AI316" s="36"/>
      <c r="AJ316" s="36">
        <f t="shared" si="78"/>
        <v>134.6</v>
      </c>
      <c r="AK316" s="9"/>
      <c r="AL316" s="9"/>
      <c r="AM316" s="9"/>
      <c r="AN316" s="9"/>
      <c r="AO316" s="9"/>
      <c r="AP316" s="9"/>
      <c r="AQ316" s="9"/>
      <c r="AR316" s="10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0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10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10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10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10"/>
      <c r="GC316" s="9"/>
      <c r="GD316" s="9"/>
    </row>
    <row r="317" spans="1:186" s="2" customFormat="1" ht="16.95" customHeight="1">
      <c r="A317" s="47" t="s">
        <v>310</v>
      </c>
      <c r="B317" s="36">
        <v>0</v>
      </c>
      <c r="C317" s="36">
        <v>0</v>
      </c>
      <c r="D317" s="4">
        <f t="shared" si="69"/>
        <v>0</v>
      </c>
      <c r="E317" s="11">
        <v>0</v>
      </c>
      <c r="F317" s="5" t="s">
        <v>370</v>
      </c>
      <c r="G317" s="5" t="s">
        <v>370</v>
      </c>
      <c r="H317" s="5" t="s">
        <v>370</v>
      </c>
      <c r="I317" s="5" t="s">
        <v>370</v>
      </c>
      <c r="J317" s="5" t="s">
        <v>370</v>
      </c>
      <c r="K317" s="5" t="s">
        <v>370</v>
      </c>
      <c r="L317" s="5" t="s">
        <v>370</v>
      </c>
      <c r="M317" s="5" t="s">
        <v>370</v>
      </c>
      <c r="N317" s="36">
        <v>259.2</v>
      </c>
      <c r="O317" s="36">
        <v>210.6</v>
      </c>
      <c r="P317" s="4">
        <f t="shared" si="70"/>
        <v>0.8125</v>
      </c>
      <c r="Q317" s="11">
        <v>20</v>
      </c>
      <c r="R317" s="36">
        <v>16</v>
      </c>
      <c r="S317" s="36">
        <v>22.7</v>
      </c>
      <c r="T317" s="4">
        <f t="shared" si="71"/>
        <v>1.221875</v>
      </c>
      <c r="U317" s="11">
        <v>20</v>
      </c>
      <c r="V317" s="36">
        <v>0</v>
      </c>
      <c r="W317" s="36">
        <v>3.7</v>
      </c>
      <c r="X317" s="4">
        <f t="shared" si="72"/>
        <v>1</v>
      </c>
      <c r="Y317" s="11">
        <v>30</v>
      </c>
      <c r="Z317" s="45">
        <f t="shared" si="79"/>
        <v>1.0098214285714286</v>
      </c>
      <c r="AA317" s="46">
        <v>1341</v>
      </c>
      <c r="AB317" s="36">
        <f t="shared" si="73"/>
        <v>121.90909090909091</v>
      </c>
      <c r="AC317" s="36">
        <f t="shared" si="74"/>
        <v>123.1</v>
      </c>
      <c r="AD317" s="36">
        <f t="shared" si="75"/>
        <v>1.1909090909090878</v>
      </c>
      <c r="AE317" s="36">
        <v>-3</v>
      </c>
      <c r="AF317" s="36">
        <f t="shared" si="76"/>
        <v>120.1</v>
      </c>
      <c r="AG317" s="36"/>
      <c r="AH317" s="36">
        <f t="shared" si="77"/>
        <v>120.1</v>
      </c>
      <c r="AI317" s="36"/>
      <c r="AJ317" s="36">
        <f t="shared" si="78"/>
        <v>120.1</v>
      </c>
      <c r="AK317" s="9"/>
      <c r="AL317" s="9"/>
      <c r="AM317" s="9"/>
      <c r="AN317" s="9"/>
      <c r="AO317" s="9"/>
      <c r="AP317" s="9"/>
      <c r="AQ317" s="9"/>
      <c r="AR317" s="10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0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10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10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10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10"/>
      <c r="GC317" s="9"/>
      <c r="GD317" s="9"/>
    </row>
    <row r="318" spans="1:186" s="2" customFormat="1" ht="16.95" customHeight="1">
      <c r="A318" s="47" t="s">
        <v>311</v>
      </c>
      <c r="B318" s="36">
        <v>9700</v>
      </c>
      <c r="C318" s="36">
        <v>17751.5</v>
      </c>
      <c r="D318" s="4">
        <f t="shared" si="69"/>
        <v>1.2630051546391752</v>
      </c>
      <c r="E318" s="11">
        <v>10</v>
      </c>
      <c r="F318" s="5" t="s">
        <v>370</v>
      </c>
      <c r="G318" s="5" t="s">
        <v>370</v>
      </c>
      <c r="H318" s="5" t="s">
        <v>370</v>
      </c>
      <c r="I318" s="5" t="s">
        <v>370</v>
      </c>
      <c r="J318" s="5" t="s">
        <v>370</v>
      </c>
      <c r="K318" s="5" t="s">
        <v>370</v>
      </c>
      <c r="L318" s="5" t="s">
        <v>370</v>
      </c>
      <c r="M318" s="5" t="s">
        <v>370</v>
      </c>
      <c r="N318" s="36">
        <v>270.60000000000002</v>
      </c>
      <c r="O318" s="36">
        <v>322.8</v>
      </c>
      <c r="P318" s="4">
        <f t="shared" si="70"/>
        <v>1.1929046563192904</v>
      </c>
      <c r="Q318" s="11">
        <v>20</v>
      </c>
      <c r="R318" s="36">
        <v>21</v>
      </c>
      <c r="S318" s="36">
        <v>24.3</v>
      </c>
      <c r="T318" s="4">
        <f t="shared" si="71"/>
        <v>1.1571428571428573</v>
      </c>
      <c r="U318" s="11">
        <v>20</v>
      </c>
      <c r="V318" s="36">
        <v>4</v>
      </c>
      <c r="W318" s="36">
        <v>6.5</v>
      </c>
      <c r="X318" s="4">
        <f t="shared" si="72"/>
        <v>1.2424999999999999</v>
      </c>
      <c r="Y318" s="11">
        <v>30</v>
      </c>
      <c r="Z318" s="45">
        <f t="shared" si="79"/>
        <v>1.211325022695434</v>
      </c>
      <c r="AA318" s="46">
        <v>1013</v>
      </c>
      <c r="AB318" s="36">
        <f t="shared" si="73"/>
        <v>92.090909090909093</v>
      </c>
      <c r="AC318" s="36">
        <f t="shared" si="74"/>
        <v>111.6</v>
      </c>
      <c r="AD318" s="36">
        <f t="shared" si="75"/>
        <v>19.509090909090901</v>
      </c>
      <c r="AE318" s="36">
        <v>-3.2</v>
      </c>
      <c r="AF318" s="36">
        <f t="shared" si="76"/>
        <v>108.4</v>
      </c>
      <c r="AG318" s="36"/>
      <c r="AH318" s="36">
        <f t="shared" si="77"/>
        <v>108.4</v>
      </c>
      <c r="AI318" s="36"/>
      <c r="AJ318" s="36">
        <f t="shared" si="78"/>
        <v>108.4</v>
      </c>
      <c r="AK318" s="9"/>
      <c r="AL318" s="9"/>
      <c r="AM318" s="9"/>
      <c r="AN318" s="9"/>
      <c r="AO318" s="9"/>
      <c r="AP318" s="9"/>
      <c r="AQ318" s="9"/>
      <c r="AR318" s="10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0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10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10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10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10"/>
      <c r="GC318" s="9"/>
      <c r="GD318" s="9"/>
    </row>
    <row r="319" spans="1:186" s="2" customFormat="1" ht="16.95" customHeight="1">
      <c r="A319" s="47" t="s">
        <v>312</v>
      </c>
      <c r="B319" s="36">
        <v>3865</v>
      </c>
      <c r="C319" s="36">
        <v>3405.5</v>
      </c>
      <c r="D319" s="4">
        <f t="shared" si="69"/>
        <v>0.88111254851228982</v>
      </c>
      <c r="E319" s="11">
        <v>10</v>
      </c>
      <c r="F319" s="5" t="s">
        <v>370</v>
      </c>
      <c r="G319" s="5" t="s">
        <v>370</v>
      </c>
      <c r="H319" s="5" t="s">
        <v>370</v>
      </c>
      <c r="I319" s="5" t="s">
        <v>370</v>
      </c>
      <c r="J319" s="5" t="s">
        <v>370</v>
      </c>
      <c r="K319" s="5" t="s">
        <v>370</v>
      </c>
      <c r="L319" s="5" t="s">
        <v>370</v>
      </c>
      <c r="M319" s="5" t="s">
        <v>370</v>
      </c>
      <c r="N319" s="36">
        <v>115</v>
      </c>
      <c r="O319" s="36">
        <v>525.29999999999995</v>
      </c>
      <c r="P319" s="4">
        <f t="shared" si="70"/>
        <v>1.3</v>
      </c>
      <c r="Q319" s="11">
        <v>20</v>
      </c>
      <c r="R319" s="36">
        <v>0</v>
      </c>
      <c r="S319" s="36">
        <v>0</v>
      </c>
      <c r="T319" s="4">
        <f t="shared" si="71"/>
        <v>1</v>
      </c>
      <c r="U319" s="11">
        <v>20</v>
      </c>
      <c r="V319" s="36">
        <v>0</v>
      </c>
      <c r="W319" s="36">
        <v>0</v>
      </c>
      <c r="X319" s="4">
        <f t="shared" si="72"/>
        <v>1</v>
      </c>
      <c r="Y319" s="11">
        <v>30</v>
      </c>
      <c r="Z319" s="45">
        <f t="shared" si="79"/>
        <v>1.0601390685640362</v>
      </c>
      <c r="AA319" s="46">
        <v>1909</v>
      </c>
      <c r="AB319" s="36">
        <f t="shared" si="73"/>
        <v>173.54545454545453</v>
      </c>
      <c r="AC319" s="36">
        <f t="shared" si="74"/>
        <v>184</v>
      </c>
      <c r="AD319" s="36">
        <f t="shared" si="75"/>
        <v>10.454545454545467</v>
      </c>
      <c r="AE319" s="36">
        <v>32.6</v>
      </c>
      <c r="AF319" s="36">
        <f t="shared" si="76"/>
        <v>216.6</v>
      </c>
      <c r="AG319" s="36"/>
      <c r="AH319" s="36">
        <f t="shared" si="77"/>
        <v>216.6</v>
      </c>
      <c r="AI319" s="36"/>
      <c r="AJ319" s="36">
        <f t="shared" si="78"/>
        <v>216.6</v>
      </c>
      <c r="AK319" s="9"/>
      <c r="AL319" s="9"/>
      <c r="AM319" s="9"/>
      <c r="AN319" s="9"/>
      <c r="AO319" s="9"/>
      <c r="AP319" s="9"/>
      <c r="AQ319" s="9"/>
      <c r="AR319" s="10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10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10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10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10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10"/>
      <c r="GC319" s="9"/>
      <c r="GD319" s="9"/>
    </row>
    <row r="320" spans="1:186" s="2" customFormat="1" ht="16.95" customHeight="1">
      <c r="A320" s="47" t="s">
        <v>313</v>
      </c>
      <c r="B320" s="36">
        <v>1800</v>
      </c>
      <c r="C320" s="36">
        <v>1931</v>
      </c>
      <c r="D320" s="4">
        <f t="shared" si="69"/>
        <v>1.0727777777777778</v>
      </c>
      <c r="E320" s="11">
        <v>10</v>
      </c>
      <c r="F320" s="5" t="s">
        <v>370</v>
      </c>
      <c r="G320" s="5" t="s">
        <v>370</v>
      </c>
      <c r="H320" s="5" t="s">
        <v>370</v>
      </c>
      <c r="I320" s="5" t="s">
        <v>370</v>
      </c>
      <c r="J320" s="5" t="s">
        <v>370</v>
      </c>
      <c r="K320" s="5" t="s">
        <v>370</v>
      </c>
      <c r="L320" s="5" t="s">
        <v>370</v>
      </c>
      <c r="M320" s="5" t="s">
        <v>370</v>
      </c>
      <c r="N320" s="36">
        <v>140</v>
      </c>
      <c r="O320" s="36">
        <v>69</v>
      </c>
      <c r="P320" s="4">
        <f t="shared" si="70"/>
        <v>0.49285714285714288</v>
      </c>
      <c r="Q320" s="11">
        <v>20</v>
      </c>
      <c r="R320" s="36">
        <v>25</v>
      </c>
      <c r="S320" s="36">
        <v>24.6</v>
      </c>
      <c r="T320" s="4">
        <f t="shared" si="71"/>
        <v>0.9840000000000001</v>
      </c>
      <c r="U320" s="11">
        <v>30</v>
      </c>
      <c r="V320" s="36">
        <v>0.2</v>
      </c>
      <c r="W320" s="36">
        <v>0</v>
      </c>
      <c r="X320" s="4">
        <f t="shared" si="72"/>
        <v>0</v>
      </c>
      <c r="Y320" s="11">
        <v>20</v>
      </c>
      <c r="Z320" s="45">
        <f t="shared" si="79"/>
        <v>0.62631150793650803</v>
      </c>
      <c r="AA320" s="46">
        <v>316</v>
      </c>
      <c r="AB320" s="36">
        <f t="shared" si="73"/>
        <v>28.727272727272727</v>
      </c>
      <c r="AC320" s="36">
        <f t="shared" si="74"/>
        <v>18</v>
      </c>
      <c r="AD320" s="36">
        <f t="shared" si="75"/>
        <v>-10.727272727272727</v>
      </c>
      <c r="AE320" s="36">
        <v>2.1</v>
      </c>
      <c r="AF320" s="36">
        <f t="shared" si="76"/>
        <v>20.100000000000001</v>
      </c>
      <c r="AG320" s="36"/>
      <c r="AH320" s="36">
        <f t="shared" si="77"/>
        <v>20.100000000000001</v>
      </c>
      <c r="AI320" s="36"/>
      <c r="AJ320" s="36">
        <f t="shared" si="78"/>
        <v>20.100000000000001</v>
      </c>
      <c r="AK320" s="9"/>
      <c r="AL320" s="9"/>
      <c r="AM320" s="9"/>
      <c r="AN320" s="9"/>
      <c r="AO320" s="9"/>
      <c r="AP320" s="9"/>
      <c r="AQ320" s="9"/>
      <c r="AR320" s="10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10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10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10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10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10"/>
      <c r="GC320" s="9"/>
      <c r="GD320" s="9"/>
    </row>
    <row r="321" spans="1:186" s="2" customFormat="1" ht="16.95" customHeight="1">
      <c r="A321" s="47" t="s">
        <v>314</v>
      </c>
      <c r="B321" s="36">
        <v>0</v>
      </c>
      <c r="C321" s="36">
        <v>0</v>
      </c>
      <c r="D321" s="4">
        <f t="shared" si="69"/>
        <v>0</v>
      </c>
      <c r="E321" s="11">
        <v>0</v>
      </c>
      <c r="F321" s="5" t="s">
        <v>370</v>
      </c>
      <c r="G321" s="5" t="s">
        <v>370</v>
      </c>
      <c r="H321" s="5" t="s">
        <v>370</v>
      </c>
      <c r="I321" s="5" t="s">
        <v>370</v>
      </c>
      <c r="J321" s="5" t="s">
        <v>370</v>
      </c>
      <c r="K321" s="5" t="s">
        <v>370</v>
      </c>
      <c r="L321" s="5" t="s">
        <v>370</v>
      </c>
      <c r="M321" s="5" t="s">
        <v>370</v>
      </c>
      <c r="N321" s="36">
        <v>363.5</v>
      </c>
      <c r="O321" s="36">
        <v>200.9</v>
      </c>
      <c r="P321" s="4">
        <f t="shared" si="70"/>
        <v>0.55268225584594222</v>
      </c>
      <c r="Q321" s="11">
        <v>20</v>
      </c>
      <c r="R321" s="36">
        <v>25</v>
      </c>
      <c r="S321" s="36">
        <v>24.6</v>
      </c>
      <c r="T321" s="4">
        <f t="shared" si="71"/>
        <v>0.9840000000000001</v>
      </c>
      <c r="U321" s="11">
        <v>10</v>
      </c>
      <c r="V321" s="36">
        <v>0</v>
      </c>
      <c r="W321" s="36">
        <v>0</v>
      </c>
      <c r="X321" s="4">
        <f t="shared" si="72"/>
        <v>1</v>
      </c>
      <c r="Y321" s="11">
        <v>40</v>
      </c>
      <c r="Z321" s="45">
        <f t="shared" si="79"/>
        <v>0.86990921595598358</v>
      </c>
      <c r="AA321" s="46">
        <v>343</v>
      </c>
      <c r="AB321" s="36">
        <f t="shared" si="73"/>
        <v>31.181818181818183</v>
      </c>
      <c r="AC321" s="36">
        <f t="shared" si="74"/>
        <v>27.1</v>
      </c>
      <c r="AD321" s="36">
        <f t="shared" si="75"/>
        <v>-4.081818181818182</v>
      </c>
      <c r="AE321" s="36">
        <v>-1.4</v>
      </c>
      <c r="AF321" s="36">
        <f t="shared" si="76"/>
        <v>25.7</v>
      </c>
      <c r="AG321" s="36"/>
      <c r="AH321" s="36">
        <f t="shared" si="77"/>
        <v>25.7</v>
      </c>
      <c r="AI321" s="36"/>
      <c r="AJ321" s="36">
        <f t="shared" si="78"/>
        <v>25.7</v>
      </c>
      <c r="AK321" s="9"/>
      <c r="AL321" s="9"/>
      <c r="AM321" s="9"/>
      <c r="AN321" s="9"/>
      <c r="AO321" s="9"/>
      <c r="AP321" s="9"/>
      <c r="AQ321" s="9"/>
      <c r="AR321" s="10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10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10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10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10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10"/>
      <c r="GC321" s="9"/>
      <c r="GD321" s="9"/>
    </row>
    <row r="322" spans="1:186" s="2" customFormat="1" ht="16.95" customHeight="1">
      <c r="A322" s="47" t="s">
        <v>315</v>
      </c>
      <c r="B322" s="36">
        <v>0</v>
      </c>
      <c r="C322" s="36">
        <v>0</v>
      </c>
      <c r="D322" s="4">
        <f t="shared" si="69"/>
        <v>0</v>
      </c>
      <c r="E322" s="11">
        <v>0</v>
      </c>
      <c r="F322" s="5" t="s">
        <v>370</v>
      </c>
      <c r="G322" s="5" t="s">
        <v>370</v>
      </c>
      <c r="H322" s="5" t="s">
        <v>370</v>
      </c>
      <c r="I322" s="5" t="s">
        <v>370</v>
      </c>
      <c r="J322" s="5" t="s">
        <v>370</v>
      </c>
      <c r="K322" s="5" t="s">
        <v>370</v>
      </c>
      <c r="L322" s="5" t="s">
        <v>370</v>
      </c>
      <c r="M322" s="5" t="s">
        <v>370</v>
      </c>
      <c r="N322" s="36">
        <v>185.8</v>
      </c>
      <c r="O322" s="36">
        <v>340.8</v>
      </c>
      <c r="P322" s="4">
        <f t="shared" si="70"/>
        <v>1.2634230355220666</v>
      </c>
      <c r="Q322" s="11">
        <v>20</v>
      </c>
      <c r="R322" s="36">
        <v>120</v>
      </c>
      <c r="S322" s="36">
        <v>135.4</v>
      </c>
      <c r="T322" s="4">
        <f t="shared" si="71"/>
        <v>1.1283333333333334</v>
      </c>
      <c r="U322" s="11">
        <v>40</v>
      </c>
      <c r="V322" s="36">
        <v>0</v>
      </c>
      <c r="W322" s="36">
        <v>0</v>
      </c>
      <c r="X322" s="4">
        <f t="shared" si="72"/>
        <v>1</v>
      </c>
      <c r="Y322" s="11">
        <v>10</v>
      </c>
      <c r="Z322" s="45">
        <f t="shared" si="79"/>
        <v>1.1485970577682096</v>
      </c>
      <c r="AA322" s="46">
        <v>140</v>
      </c>
      <c r="AB322" s="36">
        <f t="shared" si="73"/>
        <v>12.727272727272727</v>
      </c>
      <c r="AC322" s="36">
        <f t="shared" si="74"/>
        <v>14.6</v>
      </c>
      <c r="AD322" s="36">
        <f t="shared" si="75"/>
        <v>1.872727272727273</v>
      </c>
      <c r="AE322" s="36">
        <v>0</v>
      </c>
      <c r="AF322" s="36">
        <f t="shared" si="76"/>
        <v>14.6</v>
      </c>
      <c r="AG322" s="36"/>
      <c r="AH322" s="36">
        <f t="shared" si="77"/>
        <v>14.6</v>
      </c>
      <c r="AI322" s="36"/>
      <c r="AJ322" s="36">
        <f t="shared" si="78"/>
        <v>14.6</v>
      </c>
      <c r="AK322" s="9"/>
      <c r="AL322" s="9"/>
      <c r="AM322" s="9"/>
      <c r="AN322" s="9"/>
      <c r="AO322" s="9"/>
      <c r="AP322" s="9"/>
      <c r="AQ322" s="9"/>
      <c r="AR322" s="10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10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10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10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10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10"/>
      <c r="GC322" s="9"/>
      <c r="GD322" s="9"/>
    </row>
    <row r="323" spans="1:186" s="2" customFormat="1" ht="16.95" customHeight="1">
      <c r="A323" s="47" t="s">
        <v>316</v>
      </c>
      <c r="B323" s="36">
        <v>70</v>
      </c>
      <c r="C323" s="36">
        <v>73</v>
      </c>
      <c r="D323" s="4">
        <f t="shared" si="69"/>
        <v>1.0428571428571429</v>
      </c>
      <c r="E323" s="11">
        <v>10</v>
      </c>
      <c r="F323" s="5" t="s">
        <v>370</v>
      </c>
      <c r="G323" s="5" t="s">
        <v>370</v>
      </c>
      <c r="H323" s="5" t="s">
        <v>370</v>
      </c>
      <c r="I323" s="5" t="s">
        <v>370</v>
      </c>
      <c r="J323" s="5" t="s">
        <v>370</v>
      </c>
      <c r="K323" s="5" t="s">
        <v>370</v>
      </c>
      <c r="L323" s="5" t="s">
        <v>370</v>
      </c>
      <c r="M323" s="5" t="s">
        <v>370</v>
      </c>
      <c r="N323" s="36">
        <v>89.6</v>
      </c>
      <c r="O323" s="36">
        <v>95.1</v>
      </c>
      <c r="P323" s="4">
        <f t="shared" si="70"/>
        <v>1.0613839285714286</v>
      </c>
      <c r="Q323" s="11">
        <v>20</v>
      </c>
      <c r="R323" s="36">
        <v>0</v>
      </c>
      <c r="S323" s="36">
        <v>0.6</v>
      </c>
      <c r="T323" s="4">
        <f t="shared" si="71"/>
        <v>1</v>
      </c>
      <c r="U323" s="11">
        <v>15</v>
      </c>
      <c r="V323" s="36">
        <v>0.2</v>
      </c>
      <c r="W323" s="36">
        <v>0.6</v>
      </c>
      <c r="X323" s="4">
        <f t="shared" si="72"/>
        <v>1.3</v>
      </c>
      <c r="Y323" s="11">
        <v>35</v>
      </c>
      <c r="Z323" s="45">
        <f t="shared" si="79"/>
        <v>1.1519531249999999</v>
      </c>
      <c r="AA323" s="46">
        <v>1444</v>
      </c>
      <c r="AB323" s="36">
        <f t="shared" si="73"/>
        <v>131.27272727272728</v>
      </c>
      <c r="AC323" s="36">
        <f t="shared" si="74"/>
        <v>151.19999999999999</v>
      </c>
      <c r="AD323" s="36">
        <f t="shared" si="75"/>
        <v>19.927272727272708</v>
      </c>
      <c r="AE323" s="36">
        <v>-0.9</v>
      </c>
      <c r="AF323" s="36">
        <f t="shared" si="76"/>
        <v>150.30000000000001</v>
      </c>
      <c r="AG323" s="36"/>
      <c r="AH323" s="36">
        <f t="shared" si="77"/>
        <v>150.30000000000001</v>
      </c>
      <c r="AI323" s="36"/>
      <c r="AJ323" s="36">
        <f t="shared" si="78"/>
        <v>150.30000000000001</v>
      </c>
      <c r="AK323" s="9"/>
      <c r="AL323" s="9"/>
      <c r="AM323" s="9"/>
      <c r="AN323" s="9"/>
      <c r="AO323" s="9"/>
      <c r="AP323" s="9"/>
      <c r="AQ323" s="9"/>
      <c r="AR323" s="10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10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10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10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10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10"/>
      <c r="GC323" s="9"/>
      <c r="GD323" s="9"/>
    </row>
    <row r="324" spans="1:186" s="2" customFormat="1" ht="16.95" customHeight="1">
      <c r="A324" s="47" t="s">
        <v>317</v>
      </c>
      <c r="B324" s="36">
        <v>1000</v>
      </c>
      <c r="C324" s="36">
        <v>1085.5</v>
      </c>
      <c r="D324" s="4">
        <f t="shared" si="69"/>
        <v>1.0854999999999999</v>
      </c>
      <c r="E324" s="11">
        <v>10</v>
      </c>
      <c r="F324" s="5" t="s">
        <v>370</v>
      </c>
      <c r="G324" s="5" t="s">
        <v>370</v>
      </c>
      <c r="H324" s="5" t="s">
        <v>370</v>
      </c>
      <c r="I324" s="5" t="s">
        <v>370</v>
      </c>
      <c r="J324" s="5" t="s">
        <v>370</v>
      </c>
      <c r="K324" s="5" t="s">
        <v>370</v>
      </c>
      <c r="L324" s="5" t="s">
        <v>370</v>
      </c>
      <c r="M324" s="5" t="s">
        <v>370</v>
      </c>
      <c r="N324" s="36">
        <v>359</v>
      </c>
      <c r="O324" s="36">
        <v>265.8</v>
      </c>
      <c r="P324" s="4">
        <f t="shared" si="70"/>
        <v>0.74038997214484681</v>
      </c>
      <c r="Q324" s="11">
        <v>20</v>
      </c>
      <c r="R324" s="36">
        <v>11</v>
      </c>
      <c r="S324" s="36">
        <v>13</v>
      </c>
      <c r="T324" s="4">
        <f t="shared" si="71"/>
        <v>1.1818181818181819</v>
      </c>
      <c r="U324" s="11">
        <v>20</v>
      </c>
      <c r="V324" s="36">
        <v>0</v>
      </c>
      <c r="W324" s="36">
        <v>0</v>
      </c>
      <c r="X324" s="4">
        <f t="shared" si="72"/>
        <v>1</v>
      </c>
      <c r="Y324" s="11">
        <v>30</v>
      </c>
      <c r="Z324" s="45">
        <f t="shared" si="79"/>
        <v>0.99123953849075708</v>
      </c>
      <c r="AA324" s="46">
        <v>1896</v>
      </c>
      <c r="AB324" s="36">
        <f t="shared" si="73"/>
        <v>172.36363636363637</v>
      </c>
      <c r="AC324" s="36">
        <f t="shared" si="74"/>
        <v>170.9</v>
      </c>
      <c r="AD324" s="36">
        <f t="shared" si="75"/>
        <v>-1.4636363636363683</v>
      </c>
      <c r="AE324" s="36">
        <v>16.8</v>
      </c>
      <c r="AF324" s="36">
        <f t="shared" si="76"/>
        <v>187.7</v>
      </c>
      <c r="AG324" s="36"/>
      <c r="AH324" s="36">
        <f t="shared" si="77"/>
        <v>187.7</v>
      </c>
      <c r="AI324" s="36"/>
      <c r="AJ324" s="36">
        <f t="shared" si="78"/>
        <v>187.7</v>
      </c>
      <c r="AK324" s="9"/>
      <c r="AL324" s="9"/>
      <c r="AM324" s="9"/>
      <c r="AN324" s="9"/>
      <c r="AO324" s="9"/>
      <c r="AP324" s="9"/>
      <c r="AQ324" s="9"/>
      <c r="AR324" s="10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10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10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10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10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10"/>
      <c r="GC324" s="9"/>
      <c r="GD324" s="9"/>
    </row>
    <row r="325" spans="1:186" s="2" customFormat="1" ht="16.95" customHeight="1">
      <c r="A325" s="47" t="s">
        <v>318</v>
      </c>
      <c r="B325" s="36">
        <v>0</v>
      </c>
      <c r="C325" s="36">
        <v>0</v>
      </c>
      <c r="D325" s="4">
        <f t="shared" si="69"/>
        <v>0</v>
      </c>
      <c r="E325" s="11">
        <v>0</v>
      </c>
      <c r="F325" s="5" t="s">
        <v>370</v>
      </c>
      <c r="G325" s="5" t="s">
        <v>370</v>
      </c>
      <c r="H325" s="5" t="s">
        <v>370</v>
      </c>
      <c r="I325" s="5" t="s">
        <v>370</v>
      </c>
      <c r="J325" s="5" t="s">
        <v>370</v>
      </c>
      <c r="K325" s="5" t="s">
        <v>370</v>
      </c>
      <c r="L325" s="5" t="s">
        <v>370</v>
      </c>
      <c r="M325" s="5" t="s">
        <v>370</v>
      </c>
      <c r="N325" s="36">
        <v>821.3</v>
      </c>
      <c r="O325" s="36">
        <v>70.599999999999994</v>
      </c>
      <c r="P325" s="4">
        <f t="shared" si="70"/>
        <v>8.596128089614026E-2</v>
      </c>
      <c r="Q325" s="11">
        <v>20</v>
      </c>
      <c r="R325" s="36">
        <v>0</v>
      </c>
      <c r="S325" s="36">
        <v>0</v>
      </c>
      <c r="T325" s="4">
        <f t="shared" si="71"/>
        <v>1</v>
      </c>
      <c r="U325" s="11">
        <v>20</v>
      </c>
      <c r="V325" s="36">
        <v>0</v>
      </c>
      <c r="W325" s="36">
        <v>0</v>
      </c>
      <c r="X325" s="4">
        <f t="shared" si="72"/>
        <v>1</v>
      </c>
      <c r="Y325" s="11">
        <v>30</v>
      </c>
      <c r="Z325" s="45">
        <f t="shared" si="79"/>
        <v>0.73884608025604004</v>
      </c>
      <c r="AA325" s="46">
        <v>1358</v>
      </c>
      <c r="AB325" s="36">
        <f t="shared" si="73"/>
        <v>123.45454545454545</v>
      </c>
      <c r="AC325" s="36">
        <f t="shared" si="74"/>
        <v>91.2</v>
      </c>
      <c r="AD325" s="36">
        <f t="shared" si="75"/>
        <v>-32.25454545454545</v>
      </c>
      <c r="AE325" s="36">
        <v>-0.9</v>
      </c>
      <c r="AF325" s="36">
        <f t="shared" si="76"/>
        <v>90.3</v>
      </c>
      <c r="AG325" s="36"/>
      <c r="AH325" s="36">
        <f t="shared" si="77"/>
        <v>90.3</v>
      </c>
      <c r="AI325" s="36"/>
      <c r="AJ325" s="36">
        <f t="shared" si="78"/>
        <v>90.3</v>
      </c>
      <c r="AK325" s="9"/>
      <c r="AL325" s="9"/>
      <c r="AM325" s="9"/>
      <c r="AN325" s="9"/>
      <c r="AO325" s="9"/>
      <c r="AP325" s="9"/>
      <c r="AQ325" s="9"/>
      <c r="AR325" s="10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10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10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10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10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10"/>
      <c r="GC325" s="9"/>
      <c r="GD325" s="9"/>
    </row>
    <row r="326" spans="1:186" s="2" customFormat="1" ht="16.95" customHeight="1">
      <c r="A326" s="47" t="s">
        <v>319</v>
      </c>
      <c r="B326" s="36">
        <v>6100</v>
      </c>
      <c r="C326" s="36">
        <v>3817</v>
      </c>
      <c r="D326" s="4">
        <f t="shared" si="69"/>
        <v>0.62573770491803282</v>
      </c>
      <c r="E326" s="11">
        <v>10</v>
      </c>
      <c r="F326" s="5" t="s">
        <v>370</v>
      </c>
      <c r="G326" s="5" t="s">
        <v>370</v>
      </c>
      <c r="H326" s="5" t="s">
        <v>370</v>
      </c>
      <c r="I326" s="5" t="s">
        <v>370</v>
      </c>
      <c r="J326" s="5" t="s">
        <v>370</v>
      </c>
      <c r="K326" s="5" t="s">
        <v>370</v>
      </c>
      <c r="L326" s="5" t="s">
        <v>370</v>
      </c>
      <c r="M326" s="5" t="s">
        <v>370</v>
      </c>
      <c r="N326" s="36">
        <v>155.19999999999999</v>
      </c>
      <c r="O326" s="36">
        <v>141.19999999999999</v>
      </c>
      <c r="P326" s="4">
        <f t="shared" si="70"/>
        <v>0.90979381443298968</v>
      </c>
      <c r="Q326" s="11">
        <v>20</v>
      </c>
      <c r="R326" s="36">
        <v>280</v>
      </c>
      <c r="S326" s="36">
        <v>290.89999999999998</v>
      </c>
      <c r="T326" s="4">
        <f t="shared" si="71"/>
        <v>1.0389285714285714</v>
      </c>
      <c r="U326" s="11">
        <v>40</v>
      </c>
      <c r="V326" s="36">
        <v>0.3</v>
      </c>
      <c r="W326" s="36">
        <v>0.8</v>
      </c>
      <c r="X326" s="4">
        <f t="shared" si="72"/>
        <v>1.3</v>
      </c>
      <c r="Y326" s="11">
        <v>10</v>
      </c>
      <c r="Z326" s="45">
        <f t="shared" si="79"/>
        <v>0.98762995243728713</v>
      </c>
      <c r="AA326" s="46">
        <v>2524</v>
      </c>
      <c r="AB326" s="36">
        <f t="shared" si="73"/>
        <v>229.45454545454547</v>
      </c>
      <c r="AC326" s="36">
        <f t="shared" si="74"/>
        <v>226.6</v>
      </c>
      <c r="AD326" s="36">
        <f t="shared" si="75"/>
        <v>-2.8545454545454731</v>
      </c>
      <c r="AE326" s="36">
        <v>-1.5</v>
      </c>
      <c r="AF326" s="36">
        <f t="shared" si="76"/>
        <v>225.1</v>
      </c>
      <c r="AG326" s="36"/>
      <c r="AH326" s="36">
        <f t="shared" si="77"/>
        <v>225.1</v>
      </c>
      <c r="AI326" s="36"/>
      <c r="AJ326" s="36">
        <f t="shared" si="78"/>
        <v>225.1</v>
      </c>
      <c r="AK326" s="9"/>
      <c r="AL326" s="9"/>
      <c r="AM326" s="9"/>
      <c r="AN326" s="9"/>
      <c r="AO326" s="9"/>
      <c r="AP326" s="9"/>
      <c r="AQ326" s="9"/>
      <c r="AR326" s="10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10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10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10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10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10"/>
      <c r="GC326" s="9"/>
      <c r="GD326" s="9"/>
    </row>
    <row r="327" spans="1:186" s="2" customFormat="1" ht="16.95" customHeight="1">
      <c r="A327" s="47" t="s">
        <v>320</v>
      </c>
      <c r="B327" s="36">
        <v>0</v>
      </c>
      <c r="C327" s="36">
        <v>0</v>
      </c>
      <c r="D327" s="4">
        <f t="shared" si="69"/>
        <v>0</v>
      </c>
      <c r="E327" s="11">
        <v>0</v>
      </c>
      <c r="F327" s="5" t="s">
        <v>370</v>
      </c>
      <c r="G327" s="5" t="s">
        <v>370</v>
      </c>
      <c r="H327" s="5" t="s">
        <v>370</v>
      </c>
      <c r="I327" s="5" t="s">
        <v>370</v>
      </c>
      <c r="J327" s="5" t="s">
        <v>370</v>
      </c>
      <c r="K327" s="5" t="s">
        <v>370</v>
      </c>
      <c r="L327" s="5" t="s">
        <v>370</v>
      </c>
      <c r="M327" s="5" t="s">
        <v>370</v>
      </c>
      <c r="N327" s="36">
        <v>101.1</v>
      </c>
      <c r="O327" s="36">
        <v>86.8</v>
      </c>
      <c r="P327" s="4">
        <f t="shared" si="70"/>
        <v>0.85855588526211679</v>
      </c>
      <c r="Q327" s="11">
        <v>20</v>
      </c>
      <c r="R327" s="36">
        <v>0</v>
      </c>
      <c r="S327" s="36">
        <v>0</v>
      </c>
      <c r="T327" s="4">
        <f t="shared" si="71"/>
        <v>1</v>
      </c>
      <c r="U327" s="11">
        <v>25</v>
      </c>
      <c r="V327" s="36">
        <v>0</v>
      </c>
      <c r="W327" s="36">
        <v>0</v>
      </c>
      <c r="X327" s="4">
        <f t="shared" si="72"/>
        <v>1</v>
      </c>
      <c r="Y327" s="11">
        <v>25</v>
      </c>
      <c r="Z327" s="45">
        <f t="shared" si="79"/>
        <v>0.95958739578917629</v>
      </c>
      <c r="AA327" s="46">
        <v>377</v>
      </c>
      <c r="AB327" s="36">
        <f t="shared" si="73"/>
        <v>34.272727272727273</v>
      </c>
      <c r="AC327" s="36">
        <f t="shared" si="74"/>
        <v>32.9</v>
      </c>
      <c r="AD327" s="36">
        <f t="shared" si="75"/>
        <v>-1.3727272727272748</v>
      </c>
      <c r="AE327" s="36">
        <v>0</v>
      </c>
      <c r="AF327" s="36">
        <f t="shared" si="76"/>
        <v>32.9</v>
      </c>
      <c r="AG327" s="36">
        <f>MIN(AF327,17.1)</f>
        <v>17.100000000000001</v>
      </c>
      <c r="AH327" s="36">
        <f t="shared" si="77"/>
        <v>15.8</v>
      </c>
      <c r="AI327" s="36"/>
      <c r="AJ327" s="36">
        <f t="shared" si="78"/>
        <v>15.8</v>
      </c>
      <c r="AK327" s="9"/>
      <c r="AL327" s="9"/>
      <c r="AM327" s="9"/>
      <c r="AN327" s="9"/>
      <c r="AO327" s="9"/>
      <c r="AP327" s="9"/>
      <c r="AQ327" s="9"/>
      <c r="AR327" s="10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10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10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10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10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10"/>
      <c r="GC327" s="9"/>
      <c r="GD327" s="9"/>
    </row>
    <row r="328" spans="1:186" s="2" customFormat="1" ht="16.95" customHeight="1">
      <c r="A328" s="18" t="s">
        <v>321</v>
      </c>
      <c r="B328" s="6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9"/>
      <c r="AL328" s="9"/>
      <c r="AM328" s="9"/>
      <c r="AN328" s="9"/>
      <c r="AO328" s="9"/>
      <c r="AP328" s="9"/>
      <c r="AQ328" s="9"/>
      <c r="AR328" s="10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10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10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10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10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10"/>
      <c r="GC328" s="9"/>
      <c r="GD328" s="9"/>
    </row>
    <row r="329" spans="1:186" s="2" customFormat="1" ht="16.95" customHeight="1">
      <c r="A329" s="14" t="s">
        <v>322</v>
      </c>
      <c r="B329" s="36">
        <v>57</v>
      </c>
      <c r="C329" s="36">
        <v>65.400000000000006</v>
      </c>
      <c r="D329" s="4">
        <f t="shared" si="69"/>
        <v>1.1473684210526316</v>
      </c>
      <c r="E329" s="11">
        <v>10</v>
      </c>
      <c r="F329" s="5" t="s">
        <v>370</v>
      </c>
      <c r="G329" s="5" t="s">
        <v>370</v>
      </c>
      <c r="H329" s="5" t="s">
        <v>370</v>
      </c>
      <c r="I329" s="5" t="s">
        <v>370</v>
      </c>
      <c r="J329" s="5" t="s">
        <v>370</v>
      </c>
      <c r="K329" s="5" t="s">
        <v>370</v>
      </c>
      <c r="L329" s="5" t="s">
        <v>370</v>
      </c>
      <c r="M329" s="5" t="s">
        <v>370</v>
      </c>
      <c r="N329" s="36">
        <v>49.5</v>
      </c>
      <c r="O329" s="36">
        <v>19.5</v>
      </c>
      <c r="P329" s="4">
        <f t="shared" si="70"/>
        <v>0.39393939393939392</v>
      </c>
      <c r="Q329" s="11">
        <v>20</v>
      </c>
      <c r="R329" s="36">
        <v>2</v>
      </c>
      <c r="S329" s="36">
        <v>2.1</v>
      </c>
      <c r="T329" s="4">
        <f t="shared" si="71"/>
        <v>1.05</v>
      </c>
      <c r="U329" s="11">
        <v>30</v>
      </c>
      <c r="V329" s="36">
        <v>2</v>
      </c>
      <c r="W329" s="36">
        <v>2.1</v>
      </c>
      <c r="X329" s="4">
        <f t="shared" si="72"/>
        <v>1.05</v>
      </c>
      <c r="Y329" s="11">
        <v>20</v>
      </c>
      <c r="Z329" s="45">
        <f t="shared" si="79"/>
        <v>0.8981559011164274</v>
      </c>
      <c r="AA329" s="46">
        <v>2170</v>
      </c>
      <c r="AB329" s="36">
        <f t="shared" si="73"/>
        <v>197.27272727272728</v>
      </c>
      <c r="AC329" s="36">
        <f t="shared" si="74"/>
        <v>177.2</v>
      </c>
      <c r="AD329" s="36">
        <f t="shared" si="75"/>
        <v>-20.072727272727292</v>
      </c>
      <c r="AE329" s="36">
        <v>-1.7</v>
      </c>
      <c r="AF329" s="36">
        <f t="shared" si="76"/>
        <v>175.5</v>
      </c>
      <c r="AG329" s="36"/>
      <c r="AH329" s="36">
        <f t="shared" si="77"/>
        <v>175.5</v>
      </c>
      <c r="AI329" s="36"/>
      <c r="AJ329" s="36">
        <f t="shared" si="78"/>
        <v>175.5</v>
      </c>
      <c r="AK329" s="9"/>
      <c r="AL329" s="9"/>
      <c r="AM329" s="9"/>
      <c r="AN329" s="9"/>
      <c r="AO329" s="9"/>
      <c r="AP329" s="9"/>
      <c r="AQ329" s="9"/>
      <c r="AR329" s="10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10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10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10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10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10"/>
      <c r="GC329" s="9"/>
      <c r="GD329" s="9"/>
    </row>
    <row r="330" spans="1:186" s="2" customFormat="1" ht="16.95" customHeight="1">
      <c r="A330" s="14" t="s">
        <v>323</v>
      </c>
      <c r="B330" s="36">
        <v>65</v>
      </c>
      <c r="C330" s="36">
        <v>66.099999999999994</v>
      </c>
      <c r="D330" s="4">
        <f t="shared" si="69"/>
        <v>1.0169230769230768</v>
      </c>
      <c r="E330" s="11">
        <v>10</v>
      </c>
      <c r="F330" s="5" t="s">
        <v>370</v>
      </c>
      <c r="G330" s="5" t="s">
        <v>370</v>
      </c>
      <c r="H330" s="5" t="s">
        <v>370</v>
      </c>
      <c r="I330" s="5" t="s">
        <v>370</v>
      </c>
      <c r="J330" s="5" t="s">
        <v>370</v>
      </c>
      <c r="K330" s="5" t="s">
        <v>370</v>
      </c>
      <c r="L330" s="5" t="s">
        <v>370</v>
      </c>
      <c r="M330" s="5" t="s">
        <v>370</v>
      </c>
      <c r="N330" s="36">
        <v>79.7</v>
      </c>
      <c r="O330" s="36">
        <v>94.8</v>
      </c>
      <c r="P330" s="4">
        <f t="shared" si="70"/>
        <v>1.1894604767879549</v>
      </c>
      <c r="Q330" s="11">
        <v>20</v>
      </c>
      <c r="R330" s="36">
        <v>10</v>
      </c>
      <c r="S330" s="36">
        <v>24.8</v>
      </c>
      <c r="T330" s="4">
        <f t="shared" si="71"/>
        <v>1.3</v>
      </c>
      <c r="U330" s="11">
        <v>20</v>
      </c>
      <c r="V330" s="36">
        <v>2</v>
      </c>
      <c r="W330" s="36">
        <v>2.2000000000000002</v>
      </c>
      <c r="X330" s="4">
        <f t="shared" si="72"/>
        <v>1.1000000000000001</v>
      </c>
      <c r="Y330" s="11">
        <v>30</v>
      </c>
      <c r="Z330" s="45">
        <f t="shared" si="79"/>
        <v>1.1619805038123734</v>
      </c>
      <c r="AA330" s="46">
        <v>1946</v>
      </c>
      <c r="AB330" s="36">
        <f t="shared" si="73"/>
        <v>176.90909090909091</v>
      </c>
      <c r="AC330" s="36">
        <f t="shared" si="74"/>
        <v>205.6</v>
      </c>
      <c r="AD330" s="36">
        <f t="shared" si="75"/>
        <v>28.690909090909088</v>
      </c>
      <c r="AE330" s="36">
        <v>-1.6</v>
      </c>
      <c r="AF330" s="36">
        <f t="shared" si="76"/>
        <v>204</v>
      </c>
      <c r="AG330" s="36"/>
      <c r="AH330" s="36">
        <f t="shared" si="77"/>
        <v>204</v>
      </c>
      <c r="AI330" s="36"/>
      <c r="AJ330" s="36">
        <f t="shared" si="78"/>
        <v>204</v>
      </c>
      <c r="AK330" s="9"/>
      <c r="AL330" s="9"/>
      <c r="AM330" s="9"/>
      <c r="AN330" s="9"/>
      <c r="AO330" s="9"/>
      <c r="AP330" s="9"/>
      <c r="AQ330" s="9"/>
      <c r="AR330" s="10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10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10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10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10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10"/>
      <c r="GC330" s="9"/>
      <c r="GD330" s="9"/>
    </row>
    <row r="331" spans="1:186" s="2" customFormat="1" ht="16.95" customHeight="1">
      <c r="A331" s="14" t="s">
        <v>276</v>
      </c>
      <c r="B331" s="36">
        <v>36</v>
      </c>
      <c r="C331" s="36">
        <v>42.4</v>
      </c>
      <c r="D331" s="4">
        <f t="shared" si="69"/>
        <v>1.1777777777777778</v>
      </c>
      <c r="E331" s="11">
        <v>10</v>
      </c>
      <c r="F331" s="5" t="s">
        <v>370</v>
      </c>
      <c r="G331" s="5" t="s">
        <v>370</v>
      </c>
      <c r="H331" s="5" t="s">
        <v>370</v>
      </c>
      <c r="I331" s="5" t="s">
        <v>370</v>
      </c>
      <c r="J331" s="5" t="s">
        <v>370</v>
      </c>
      <c r="K331" s="5" t="s">
        <v>370</v>
      </c>
      <c r="L331" s="5" t="s">
        <v>370</v>
      </c>
      <c r="M331" s="5" t="s">
        <v>370</v>
      </c>
      <c r="N331" s="36">
        <v>30.6</v>
      </c>
      <c r="O331" s="36">
        <v>10.3</v>
      </c>
      <c r="P331" s="4">
        <f t="shared" si="70"/>
        <v>0.33660130718954251</v>
      </c>
      <c r="Q331" s="11">
        <v>20</v>
      </c>
      <c r="R331" s="36">
        <v>8</v>
      </c>
      <c r="S331" s="36">
        <v>8.3000000000000007</v>
      </c>
      <c r="T331" s="4">
        <f t="shared" si="71"/>
        <v>1.0375000000000001</v>
      </c>
      <c r="U331" s="11">
        <v>30</v>
      </c>
      <c r="V331" s="36">
        <v>1</v>
      </c>
      <c r="W331" s="36">
        <v>1.1000000000000001</v>
      </c>
      <c r="X331" s="4">
        <f t="shared" si="72"/>
        <v>1.1000000000000001</v>
      </c>
      <c r="Y331" s="11">
        <v>20</v>
      </c>
      <c r="Z331" s="45">
        <f t="shared" si="79"/>
        <v>0.89543504901960791</v>
      </c>
      <c r="AA331" s="46">
        <v>1500</v>
      </c>
      <c r="AB331" s="36">
        <f t="shared" si="73"/>
        <v>136.36363636363637</v>
      </c>
      <c r="AC331" s="36">
        <f t="shared" si="74"/>
        <v>122.1</v>
      </c>
      <c r="AD331" s="36">
        <f t="shared" si="75"/>
        <v>-14.26363636363638</v>
      </c>
      <c r="AE331" s="36">
        <v>-3.1</v>
      </c>
      <c r="AF331" s="36">
        <f t="shared" si="76"/>
        <v>119</v>
      </c>
      <c r="AG331" s="36"/>
      <c r="AH331" s="36">
        <f t="shared" si="77"/>
        <v>119</v>
      </c>
      <c r="AI331" s="36"/>
      <c r="AJ331" s="36">
        <f t="shared" si="78"/>
        <v>119</v>
      </c>
      <c r="AK331" s="9"/>
      <c r="AL331" s="9"/>
      <c r="AM331" s="9"/>
      <c r="AN331" s="9"/>
      <c r="AO331" s="9"/>
      <c r="AP331" s="9"/>
      <c r="AQ331" s="9"/>
      <c r="AR331" s="10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10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10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10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10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10"/>
      <c r="GC331" s="9"/>
      <c r="GD331" s="9"/>
    </row>
    <row r="332" spans="1:186" s="2" customFormat="1" ht="16.95" customHeight="1">
      <c r="A332" s="14" t="s">
        <v>324</v>
      </c>
      <c r="B332" s="36">
        <v>112</v>
      </c>
      <c r="C332" s="36">
        <v>132.6</v>
      </c>
      <c r="D332" s="4">
        <f t="shared" si="69"/>
        <v>1.1839285714285714</v>
      </c>
      <c r="E332" s="11">
        <v>10</v>
      </c>
      <c r="F332" s="5" t="s">
        <v>370</v>
      </c>
      <c r="G332" s="5" t="s">
        <v>370</v>
      </c>
      <c r="H332" s="5" t="s">
        <v>370</v>
      </c>
      <c r="I332" s="5" t="s">
        <v>370</v>
      </c>
      <c r="J332" s="5" t="s">
        <v>370</v>
      </c>
      <c r="K332" s="5" t="s">
        <v>370</v>
      </c>
      <c r="L332" s="5" t="s">
        <v>370</v>
      </c>
      <c r="M332" s="5" t="s">
        <v>370</v>
      </c>
      <c r="N332" s="36">
        <v>118.8</v>
      </c>
      <c r="O332" s="36">
        <v>83.5</v>
      </c>
      <c r="P332" s="4">
        <f t="shared" si="70"/>
        <v>0.70286195286195285</v>
      </c>
      <c r="Q332" s="11">
        <v>20</v>
      </c>
      <c r="R332" s="36">
        <v>2</v>
      </c>
      <c r="S332" s="36">
        <v>2.1</v>
      </c>
      <c r="T332" s="4">
        <f t="shared" si="71"/>
        <v>1.05</v>
      </c>
      <c r="U332" s="11">
        <v>35</v>
      </c>
      <c r="V332" s="36">
        <v>1</v>
      </c>
      <c r="W332" s="36">
        <v>1.1000000000000001</v>
      </c>
      <c r="X332" s="4">
        <f t="shared" si="72"/>
        <v>1.1000000000000001</v>
      </c>
      <c r="Y332" s="11">
        <v>15</v>
      </c>
      <c r="Z332" s="45">
        <f t="shared" si="79"/>
        <v>0.98933155964405972</v>
      </c>
      <c r="AA332" s="46">
        <v>3109</v>
      </c>
      <c r="AB332" s="36">
        <f t="shared" si="73"/>
        <v>282.63636363636363</v>
      </c>
      <c r="AC332" s="36">
        <f t="shared" si="74"/>
        <v>279.60000000000002</v>
      </c>
      <c r="AD332" s="36">
        <f t="shared" si="75"/>
        <v>-3.0363636363636033</v>
      </c>
      <c r="AE332" s="36">
        <v>15.4</v>
      </c>
      <c r="AF332" s="36">
        <f t="shared" si="76"/>
        <v>295</v>
      </c>
      <c r="AG332" s="36"/>
      <c r="AH332" s="36">
        <f t="shared" si="77"/>
        <v>295</v>
      </c>
      <c r="AI332" s="36"/>
      <c r="AJ332" s="36">
        <f t="shared" si="78"/>
        <v>295</v>
      </c>
      <c r="AK332" s="9"/>
      <c r="AL332" s="9"/>
      <c r="AM332" s="9"/>
      <c r="AN332" s="9"/>
      <c r="AO332" s="9"/>
      <c r="AP332" s="9"/>
      <c r="AQ332" s="9"/>
      <c r="AR332" s="10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10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10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10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10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10"/>
      <c r="GC332" s="9"/>
      <c r="GD332" s="9"/>
    </row>
    <row r="333" spans="1:186" s="2" customFormat="1" ht="16.95" customHeight="1">
      <c r="A333" s="14" t="s">
        <v>325</v>
      </c>
      <c r="B333" s="36">
        <v>0</v>
      </c>
      <c r="C333" s="36">
        <v>0</v>
      </c>
      <c r="D333" s="4">
        <f t="shared" si="69"/>
        <v>0</v>
      </c>
      <c r="E333" s="11">
        <v>0</v>
      </c>
      <c r="F333" s="5" t="s">
        <v>370</v>
      </c>
      <c r="G333" s="5" t="s">
        <v>370</v>
      </c>
      <c r="H333" s="5" t="s">
        <v>370</v>
      </c>
      <c r="I333" s="5" t="s">
        <v>370</v>
      </c>
      <c r="J333" s="5" t="s">
        <v>370</v>
      </c>
      <c r="K333" s="5" t="s">
        <v>370</v>
      </c>
      <c r="L333" s="5" t="s">
        <v>370</v>
      </c>
      <c r="M333" s="5" t="s">
        <v>370</v>
      </c>
      <c r="N333" s="36">
        <v>118.7</v>
      </c>
      <c r="O333" s="36">
        <v>309.2</v>
      </c>
      <c r="P333" s="4">
        <f t="shared" si="70"/>
        <v>1.3</v>
      </c>
      <c r="Q333" s="11">
        <v>20</v>
      </c>
      <c r="R333" s="36">
        <v>285</v>
      </c>
      <c r="S333" s="36">
        <v>317.2</v>
      </c>
      <c r="T333" s="4">
        <f t="shared" si="71"/>
        <v>1.1129824561403507</v>
      </c>
      <c r="U333" s="11">
        <v>30</v>
      </c>
      <c r="V333" s="36">
        <v>2</v>
      </c>
      <c r="W333" s="36">
        <v>2.1</v>
      </c>
      <c r="X333" s="4">
        <f t="shared" si="72"/>
        <v>1.05</v>
      </c>
      <c r="Y333" s="11">
        <v>20</v>
      </c>
      <c r="Z333" s="45">
        <f t="shared" si="79"/>
        <v>1.1484210526315788</v>
      </c>
      <c r="AA333" s="46">
        <v>4241</v>
      </c>
      <c r="AB333" s="36">
        <f t="shared" si="73"/>
        <v>385.54545454545456</v>
      </c>
      <c r="AC333" s="36">
        <f t="shared" si="74"/>
        <v>442.8</v>
      </c>
      <c r="AD333" s="36">
        <f t="shared" si="75"/>
        <v>57.25454545454545</v>
      </c>
      <c r="AE333" s="36">
        <v>-21.4</v>
      </c>
      <c r="AF333" s="36">
        <f t="shared" si="76"/>
        <v>421.4</v>
      </c>
      <c r="AG333" s="36"/>
      <c r="AH333" s="36">
        <f t="shared" si="77"/>
        <v>421.4</v>
      </c>
      <c r="AI333" s="36"/>
      <c r="AJ333" s="36">
        <f t="shared" si="78"/>
        <v>421.4</v>
      </c>
      <c r="AK333" s="9"/>
      <c r="AL333" s="9"/>
      <c r="AM333" s="9"/>
      <c r="AN333" s="9"/>
      <c r="AO333" s="9"/>
      <c r="AP333" s="9"/>
      <c r="AQ333" s="9"/>
      <c r="AR333" s="10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10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10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10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10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10"/>
      <c r="GC333" s="9"/>
      <c r="GD333" s="9"/>
    </row>
    <row r="334" spans="1:186" s="2" customFormat="1" ht="16.95" customHeight="1">
      <c r="A334" s="14" t="s">
        <v>326</v>
      </c>
      <c r="B334" s="36">
        <v>72</v>
      </c>
      <c r="C334" s="36">
        <v>72</v>
      </c>
      <c r="D334" s="4">
        <f t="shared" si="69"/>
        <v>1</v>
      </c>
      <c r="E334" s="11">
        <v>10</v>
      </c>
      <c r="F334" s="5" t="s">
        <v>370</v>
      </c>
      <c r="G334" s="5" t="s">
        <v>370</v>
      </c>
      <c r="H334" s="5" t="s">
        <v>370</v>
      </c>
      <c r="I334" s="5" t="s">
        <v>370</v>
      </c>
      <c r="J334" s="5" t="s">
        <v>370</v>
      </c>
      <c r="K334" s="5" t="s">
        <v>370</v>
      </c>
      <c r="L334" s="5" t="s">
        <v>370</v>
      </c>
      <c r="M334" s="5" t="s">
        <v>370</v>
      </c>
      <c r="N334" s="36">
        <v>173.6</v>
      </c>
      <c r="O334" s="36">
        <v>59.2</v>
      </c>
      <c r="P334" s="4">
        <f t="shared" si="70"/>
        <v>0.34101382488479265</v>
      </c>
      <c r="Q334" s="11">
        <v>20</v>
      </c>
      <c r="R334" s="36">
        <v>2</v>
      </c>
      <c r="S334" s="36">
        <v>2.6</v>
      </c>
      <c r="T334" s="4">
        <f t="shared" si="71"/>
        <v>1.21</v>
      </c>
      <c r="U334" s="11">
        <v>30</v>
      </c>
      <c r="V334" s="36">
        <v>2</v>
      </c>
      <c r="W334" s="36">
        <v>2.2999999999999998</v>
      </c>
      <c r="X334" s="4">
        <f t="shared" si="72"/>
        <v>1.1499999999999999</v>
      </c>
      <c r="Y334" s="11">
        <v>20</v>
      </c>
      <c r="Z334" s="45">
        <f t="shared" si="79"/>
        <v>0.95150345622119814</v>
      </c>
      <c r="AA334" s="46">
        <v>1102</v>
      </c>
      <c r="AB334" s="36">
        <f t="shared" si="73"/>
        <v>100.18181818181819</v>
      </c>
      <c r="AC334" s="36">
        <f t="shared" si="74"/>
        <v>95.3</v>
      </c>
      <c r="AD334" s="36">
        <f t="shared" si="75"/>
        <v>-4.8818181818181898</v>
      </c>
      <c r="AE334" s="36">
        <v>-3.3</v>
      </c>
      <c r="AF334" s="36">
        <f t="shared" si="76"/>
        <v>92</v>
      </c>
      <c r="AG334" s="36"/>
      <c r="AH334" s="36">
        <f t="shared" si="77"/>
        <v>92</v>
      </c>
      <c r="AI334" s="36"/>
      <c r="AJ334" s="36">
        <f t="shared" si="78"/>
        <v>92</v>
      </c>
      <c r="AK334" s="9"/>
      <c r="AL334" s="9"/>
      <c r="AM334" s="9"/>
      <c r="AN334" s="9"/>
      <c r="AO334" s="9"/>
      <c r="AP334" s="9"/>
      <c r="AQ334" s="9"/>
      <c r="AR334" s="10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10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10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10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10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10"/>
      <c r="GC334" s="9"/>
      <c r="GD334" s="9"/>
    </row>
    <row r="335" spans="1:186" s="2" customFormat="1" ht="16.95" customHeight="1">
      <c r="A335" s="14" t="s">
        <v>327</v>
      </c>
      <c r="B335" s="36">
        <v>36</v>
      </c>
      <c r="C335" s="36">
        <v>36</v>
      </c>
      <c r="D335" s="4">
        <f t="shared" si="69"/>
        <v>1</v>
      </c>
      <c r="E335" s="11">
        <v>10</v>
      </c>
      <c r="F335" s="5" t="s">
        <v>370</v>
      </c>
      <c r="G335" s="5" t="s">
        <v>370</v>
      </c>
      <c r="H335" s="5" t="s">
        <v>370</v>
      </c>
      <c r="I335" s="5" t="s">
        <v>370</v>
      </c>
      <c r="J335" s="5" t="s">
        <v>370</v>
      </c>
      <c r="K335" s="5" t="s">
        <v>370</v>
      </c>
      <c r="L335" s="5" t="s">
        <v>370</v>
      </c>
      <c r="M335" s="5" t="s">
        <v>370</v>
      </c>
      <c r="N335" s="36">
        <v>433.3</v>
      </c>
      <c r="O335" s="36">
        <v>262.8</v>
      </c>
      <c r="P335" s="4">
        <f t="shared" si="70"/>
        <v>0.60650819293791836</v>
      </c>
      <c r="Q335" s="11">
        <v>20</v>
      </c>
      <c r="R335" s="36">
        <v>8</v>
      </c>
      <c r="S335" s="36">
        <v>11.3</v>
      </c>
      <c r="T335" s="4">
        <f t="shared" si="71"/>
        <v>1.2212499999999999</v>
      </c>
      <c r="U335" s="11">
        <v>20</v>
      </c>
      <c r="V335" s="36">
        <v>1</v>
      </c>
      <c r="W335" s="36">
        <v>1</v>
      </c>
      <c r="X335" s="4">
        <f t="shared" si="72"/>
        <v>1</v>
      </c>
      <c r="Y335" s="11">
        <v>30</v>
      </c>
      <c r="Z335" s="45">
        <f t="shared" si="79"/>
        <v>0.95693954823447958</v>
      </c>
      <c r="AA335" s="46">
        <v>2317</v>
      </c>
      <c r="AB335" s="36">
        <f t="shared" si="73"/>
        <v>210.63636363636363</v>
      </c>
      <c r="AC335" s="36">
        <f t="shared" si="74"/>
        <v>201.6</v>
      </c>
      <c r="AD335" s="36">
        <f t="shared" si="75"/>
        <v>-9.0363636363636317</v>
      </c>
      <c r="AE335" s="36">
        <v>0.5</v>
      </c>
      <c r="AF335" s="36">
        <f t="shared" si="76"/>
        <v>202.1</v>
      </c>
      <c r="AG335" s="36"/>
      <c r="AH335" s="36">
        <f t="shared" si="77"/>
        <v>202.1</v>
      </c>
      <c r="AI335" s="36"/>
      <c r="AJ335" s="36">
        <f t="shared" si="78"/>
        <v>202.1</v>
      </c>
      <c r="AK335" s="9"/>
      <c r="AL335" s="9"/>
      <c r="AM335" s="9"/>
      <c r="AN335" s="9"/>
      <c r="AO335" s="9"/>
      <c r="AP335" s="9"/>
      <c r="AQ335" s="9"/>
      <c r="AR335" s="10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10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10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10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10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10"/>
      <c r="GC335" s="9"/>
      <c r="GD335" s="9"/>
    </row>
    <row r="336" spans="1:186" s="2" customFormat="1" ht="16.95" customHeight="1">
      <c r="A336" s="14" t="s">
        <v>328</v>
      </c>
      <c r="B336" s="36">
        <v>75</v>
      </c>
      <c r="C336" s="36">
        <v>85.4</v>
      </c>
      <c r="D336" s="4">
        <f t="shared" si="69"/>
        <v>1.1386666666666667</v>
      </c>
      <c r="E336" s="11">
        <v>10</v>
      </c>
      <c r="F336" s="5" t="s">
        <v>370</v>
      </c>
      <c r="G336" s="5" t="s">
        <v>370</v>
      </c>
      <c r="H336" s="5" t="s">
        <v>370</v>
      </c>
      <c r="I336" s="5" t="s">
        <v>370</v>
      </c>
      <c r="J336" s="5" t="s">
        <v>370</v>
      </c>
      <c r="K336" s="5" t="s">
        <v>370</v>
      </c>
      <c r="L336" s="5" t="s">
        <v>370</v>
      </c>
      <c r="M336" s="5" t="s">
        <v>370</v>
      </c>
      <c r="N336" s="36">
        <v>153.6</v>
      </c>
      <c r="O336" s="36">
        <v>17.7</v>
      </c>
      <c r="P336" s="4">
        <f t="shared" si="70"/>
        <v>0.115234375</v>
      </c>
      <c r="Q336" s="11">
        <v>20</v>
      </c>
      <c r="R336" s="36">
        <v>2</v>
      </c>
      <c r="S336" s="36">
        <v>2</v>
      </c>
      <c r="T336" s="4">
        <f t="shared" si="71"/>
        <v>1</v>
      </c>
      <c r="U336" s="11">
        <v>30</v>
      </c>
      <c r="V336" s="36">
        <v>1</v>
      </c>
      <c r="W336" s="36">
        <v>1.1000000000000001</v>
      </c>
      <c r="X336" s="4">
        <f t="shared" si="72"/>
        <v>1.1000000000000001</v>
      </c>
      <c r="Y336" s="11">
        <v>20</v>
      </c>
      <c r="Z336" s="45">
        <f t="shared" si="79"/>
        <v>0.82114192708333333</v>
      </c>
      <c r="AA336" s="46">
        <v>1174</v>
      </c>
      <c r="AB336" s="36">
        <f t="shared" si="73"/>
        <v>106.72727272727273</v>
      </c>
      <c r="AC336" s="36">
        <f t="shared" si="74"/>
        <v>87.6</v>
      </c>
      <c r="AD336" s="36">
        <f t="shared" si="75"/>
        <v>-19.127272727272739</v>
      </c>
      <c r="AE336" s="36">
        <v>-0.7</v>
      </c>
      <c r="AF336" s="36">
        <f t="shared" si="76"/>
        <v>86.9</v>
      </c>
      <c r="AG336" s="36"/>
      <c r="AH336" s="36">
        <f t="shared" si="77"/>
        <v>86.9</v>
      </c>
      <c r="AI336" s="36"/>
      <c r="AJ336" s="36">
        <f t="shared" si="78"/>
        <v>86.9</v>
      </c>
      <c r="AK336" s="9"/>
      <c r="AL336" s="9"/>
      <c r="AM336" s="9"/>
      <c r="AN336" s="9"/>
      <c r="AO336" s="9"/>
      <c r="AP336" s="9"/>
      <c r="AQ336" s="9"/>
      <c r="AR336" s="10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10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10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10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10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10"/>
      <c r="GC336" s="9"/>
      <c r="GD336" s="9"/>
    </row>
    <row r="337" spans="1:186" s="2" customFormat="1" ht="16.95" customHeight="1">
      <c r="A337" s="14" t="s">
        <v>329</v>
      </c>
      <c r="B337" s="36">
        <v>35</v>
      </c>
      <c r="C337" s="36">
        <v>38.1</v>
      </c>
      <c r="D337" s="4">
        <f t="shared" si="69"/>
        <v>1.0885714285714285</v>
      </c>
      <c r="E337" s="11">
        <v>10</v>
      </c>
      <c r="F337" s="5" t="s">
        <v>370</v>
      </c>
      <c r="G337" s="5" t="s">
        <v>370</v>
      </c>
      <c r="H337" s="5" t="s">
        <v>370</v>
      </c>
      <c r="I337" s="5" t="s">
        <v>370</v>
      </c>
      <c r="J337" s="5" t="s">
        <v>370</v>
      </c>
      <c r="K337" s="5" t="s">
        <v>370</v>
      </c>
      <c r="L337" s="5" t="s">
        <v>370</v>
      </c>
      <c r="M337" s="5" t="s">
        <v>370</v>
      </c>
      <c r="N337" s="36">
        <v>8.8000000000000007</v>
      </c>
      <c r="O337" s="36">
        <v>16</v>
      </c>
      <c r="P337" s="4">
        <f t="shared" si="70"/>
        <v>1.2618181818181817</v>
      </c>
      <c r="Q337" s="11">
        <v>20</v>
      </c>
      <c r="R337" s="36">
        <v>2</v>
      </c>
      <c r="S337" s="36">
        <v>7.3</v>
      </c>
      <c r="T337" s="4">
        <f t="shared" si="71"/>
        <v>1.3</v>
      </c>
      <c r="U337" s="11">
        <v>25</v>
      </c>
      <c r="V337" s="36">
        <v>1</v>
      </c>
      <c r="W337" s="36">
        <v>1.1000000000000001</v>
      </c>
      <c r="X337" s="4">
        <f t="shared" si="72"/>
        <v>1.1000000000000001</v>
      </c>
      <c r="Y337" s="11">
        <v>25</v>
      </c>
      <c r="Z337" s="45">
        <f t="shared" si="79"/>
        <v>1.2015259740259741</v>
      </c>
      <c r="AA337" s="46">
        <v>1279</v>
      </c>
      <c r="AB337" s="36">
        <f t="shared" si="73"/>
        <v>116.27272727272727</v>
      </c>
      <c r="AC337" s="36">
        <f t="shared" si="74"/>
        <v>139.69999999999999</v>
      </c>
      <c r="AD337" s="36">
        <f t="shared" si="75"/>
        <v>23.427272727272722</v>
      </c>
      <c r="AE337" s="36">
        <v>-1.7</v>
      </c>
      <c r="AF337" s="36">
        <f t="shared" si="76"/>
        <v>138</v>
      </c>
      <c r="AG337" s="36"/>
      <c r="AH337" s="36">
        <f t="shared" si="77"/>
        <v>138</v>
      </c>
      <c r="AI337" s="36"/>
      <c r="AJ337" s="36">
        <f t="shared" si="78"/>
        <v>138</v>
      </c>
      <c r="AK337" s="9"/>
      <c r="AL337" s="9"/>
      <c r="AM337" s="9"/>
      <c r="AN337" s="9"/>
      <c r="AO337" s="9"/>
      <c r="AP337" s="9"/>
      <c r="AQ337" s="9"/>
      <c r="AR337" s="10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10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10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10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10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10"/>
      <c r="GC337" s="9"/>
      <c r="GD337" s="9"/>
    </row>
    <row r="338" spans="1:186" s="2" customFormat="1" ht="16.95" customHeight="1">
      <c r="A338" s="14" t="s">
        <v>330</v>
      </c>
      <c r="B338" s="36">
        <v>72</v>
      </c>
      <c r="C338" s="36">
        <v>79.099999999999994</v>
      </c>
      <c r="D338" s="4">
        <f t="shared" si="69"/>
        <v>1.098611111111111</v>
      </c>
      <c r="E338" s="11">
        <v>10</v>
      </c>
      <c r="F338" s="5" t="s">
        <v>370</v>
      </c>
      <c r="G338" s="5" t="s">
        <v>370</v>
      </c>
      <c r="H338" s="5" t="s">
        <v>370</v>
      </c>
      <c r="I338" s="5" t="s">
        <v>370</v>
      </c>
      <c r="J338" s="5" t="s">
        <v>370</v>
      </c>
      <c r="K338" s="5" t="s">
        <v>370</v>
      </c>
      <c r="L338" s="5" t="s">
        <v>370</v>
      </c>
      <c r="M338" s="5" t="s">
        <v>370</v>
      </c>
      <c r="N338" s="36">
        <v>43.4</v>
      </c>
      <c r="O338" s="36">
        <v>183</v>
      </c>
      <c r="P338" s="4">
        <f t="shared" si="70"/>
        <v>1.3</v>
      </c>
      <c r="Q338" s="11">
        <v>20</v>
      </c>
      <c r="R338" s="36">
        <v>15</v>
      </c>
      <c r="S338" s="36">
        <v>20.9</v>
      </c>
      <c r="T338" s="4">
        <f t="shared" si="71"/>
        <v>1.2193333333333334</v>
      </c>
      <c r="U338" s="11">
        <v>20</v>
      </c>
      <c r="V338" s="36">
        <v>20</v>
      </c>
      <c r="W338" s="36">
        <v>23.2</v>
      </c>
      <c r="X338" s="4">
        <f t="shared" si="72"/>
        <v>1.1599999999999999</v>
      </c>
      <c r="Y338" s="11">
        <v>30</v>
      </c>
      <c r="Z338" s="45">
        <f t="shared" si="79"/>
        <v>1.2021597222222222</v>
      </c>
      <c r="AA338" s="46">
        <v>2215</v>
      </c>
      <c r="AB338" s="36">
        <f t="shared" si="73"/>
        <v>201.36363636363637</v>
      </c>
      <c r="AC338" s="36">
        <f t="shared" si="74"/>
        <v>242.1</v>
      </c>
      <c r="AD338" s="36">
        <f t="shared" si="75"/>
        <v>40.73636363636362</v>
      </c>
      <c r="AE338" s="36">
        <v>-1.6</v>
      </c>
      <c r="AF338" s="36">
        <f t="shared" si="76"/>
        <v>240.5</v>
      </c>
      <c r="AG338" s="36"/>
      <c r="AH338" s="36">
        <f t="shared" si="77"/>
        <v>240.5</v>
      </c>
      <c r="AI338" s="36"/>
      <c r="AJ338" s="36">
        <f t="shared" si="78"/>
        <v>240.5</v>
      </c>
      <c r="AK338" s="9"/>
      <c r="AL338" s="9"/>
      <c r="AM338" s="9"/>
      <c r="AN338" s="9"/>
      <c r="AO338" s="9"/>
      <c r="AP338" s="9"/>
      <c r="AQ338" s="9"/>
      <c r="AR338" s="10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10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10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10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10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10"/>
      <c r="GC338" s="9"/>
      <c r="GD338" s="9"/>
    </row>
    <row r="339" spans="1:186" s="2" customFormat="1" ht="16.95" customHeight="1">
      <c r="A339" s="14" t="s">
        <v>331</v>
      </c>
      <c r="B339" s="36">
        <v>9445</v>
      </c>
      <c r="C339" s="36">
        <v>10682</v>
      </c>
      <c r="D339" s="4">
        <f t="shared" si="69"/>
        <v>1.1309687665431445</v>
      </c>
      <c r="E339" s="11">
        <v>10</v>
      </c>
      <c r="F339" s="5" t="s">
        <v>370</v>
      </c>
      <c r="G339" s="5" t="s">
        <v>370</v>
      </c>
      <c r="H339" s="5" t="s">
        <v>370</v>
      </c>
      <c r="I339" s="5" t="s">
        <v>370</v>
      </c>
      <c r="J339" s="5" t="s">
        <v>370</v>
      </c>
      <c r="K339" s="5" t="s">
        <v>370</v>
      </c>
      <c r="L339" s="5" t="s">
        <v>370</v>
      </c>
      <c r="M339" s="5" t="s">
        <v>370</v>
      </c>
      <c r="N339" s="36">
        <v>813.7</v>
      </c>
      <c r="O339" s="36">
        <v>717.9</v>
      </c>
      <c r="P339" s="4">
        <f t="shared" si="70"/>
        <v>0.882266191471058</v>
      </c>
      <c r="Q339" s="11">
        <v>20</v>
      </c>
      <c r="R339" s="36">
        <v>10</v>
      </c>
      <c r="S339" s="36">
        <v>15.2</v>
      </c>
      <c r="T339" s="4">
        <f t="shared" si="71"/>
        <v>1.232</v>
      </c>
      <c r="U339" s="11">
        <v>20</v>
      </c>
      <c r="V339" s="36">
        <v>5</v>
      </c>
      <c r="W339" s="36">
        <v>5.0999999999999996</v>
      </c>
      <c r="X339" s="4">
        <f t="shared" si="72"/>
        <v>1.02</v>
      </c>
      <c r="Y339" s="11">
        <v>30</v>
      </c>
      <c r="Z339" s="45">
        <f t="shared" si="79"/>
        <v>1.0524376436856575</v>
      </c>
      <c r="AA339" s="46">
        <v>6326</v>
      </c>
      <c r="AB339" s="36">
        <f t="shared" si="73"/>
        <v>575.09090909090912</v>
      </c>
      <c r="AC339" s="36">
        <f t="shared" si="74"/>
        <v>605.20000000000005</v>
      </c>
      <c r="AD339" s="36">
        <f t="shared" si="75"/>
        <v>30.109090909090924</v>
      </c>
      <c r="AE339" s="36">
        <v>-7.9</v>
      </c>
      <c r="AF339" s="36">
        <f t="shared" si="76"/>
        <v>597.29999999999995</v>
      </c>
      <c r="AG339" s="36"/>
      <c r="AH339" s="36">
        <f t="shared" si="77"/>
        <v>597.29999999999995</v>
      </c>
      <c r="AI339" s="36"/>
      <c r="AJ339" s="36">
        <f t="shared" si="78"/>
        <v>597.29999999999995</v>
      </c>
      <c r="AK339" s="9"/>
      <c r="AL339" s="9"/>
      <c r="AM339" s="9"/>
      <c r="AN339" s="9"/>
      <c r="AO339" s="9"/>
      <c r="AP339" s="9"/>
      <c r="AQ339" s="9"/>
      <c r="AR339" s="10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10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10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10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10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10"/>
      <c r="GC339" s="9"/>
      <c r="GD339" s="9"/>
    </row>
    <row r="340" spans="1:186" s="2" customFormat="1" ht="16.95" customHeight="1">
      <c r="A340" s="18" t="s">
        <v>332</v>
      </c>
      <c r="B340" s="6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9"/>
      <c r="AL340" s="9"/>
      <c r="AM340" s="9"/>
      <c r="AN340" s="9"/>
      <c r="AO340" s="9"/>
      <c r="AP340" s="9"/>
      <c r="AQ340" s="9"/>
      <c r="AR340" s="10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10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10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10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10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10"/>
      <c r="GC340" s="9"/>
      <c r="GD340" s="9"/>
    </row>
    <row r="341" spans="1:186" s="2" customFormat="1" ht="16.95" customHeight="1">
      <c r="A341" s="47" t="s">
        <v>333</v>
      </c>
      <c r="B341" s="36">
        <v>26</v>
      </c>
      <c r="C341" s="36">
        <v>28</v>
      </c>
      <c r="D341" s="4">
        <f t="shared" si="69"/>
        <v>1.0769230769230769</v>
      </c>
      <c r="E341" s="11">
        <v>10</v>
      </c>
      <c r="F341" s="5" t="s">
        <v>370</v>
      </c>
      <c r="G341" s="5" t="s">
        <v>370</v>
      </c>
      <c r="H341" s="5" t="s">
        <v>370</v>
      </c>
      <c r="I341" s="5" t="s">
        <v>370</v>
      </c>
      <c r="J341" s="5" t="s">
        <v>370</v>
      </c>
      <c r="K341" s="5" t="s">
        <v>370</v>
      </c>
      <c r="L341" s="5" t="s">
        <v>370</v>
      </c>
      <c r="M341" s="5" t="s">
        <v>370</v>
      </c>
      <c r="N341" s="36">
        <v>186.1</v>
      </c>
      <c r="O341" s="36">
        <v>57</v>
      </c>
      <c r="P341" s="4">
        <f t="shared" si="70"/>
        <v>0.3062869425040301</v>
      </c>
      <c r="Q341" s="11">
        <v>20</v>
      </c>
      <c r="R341" s="36">
        <v>25</v>
      </c>
      <c r="S341" s="36">
        <v>20</v>
      </c>
      <c r="T341" s="4">
        <f t="shared" si="71"/>
        <v>0.8</v>
      </c>
      <c r="U341" s="11">
        <v>25</v>
      </c>
      <c r="V341" s="36">
        <v>3.3</v>
      </c>
      <c r="W341" s="36">
        <v>3.4</v>
      </c>
      <c r="X341" s="4">
        <f t="shared" si="72"/>
        <v>1.0303030303030303</v>
      </c>
      <c r="Y341" s="11">
        <v>25</v>
      </c>
      <c r="Z341" s="45">
        <f t="shared" si="79"/>
        <v>0.7831568172110891</v>
      </c>
      <c r="AA341" s="46">
        <v>1567</v>
      </c>
      <c r="AB341" s="36">
        <f t="shared" si="73"/>
        <v>142.45454545454547</v>
      </c>
      <c r="AC341" s="36">
        <f t="shared" si="74"/>
        <v>111.6</v>
      </c>
      <c r="AD341" s="36">
        <f t="shared" si="75"/>
        <v>-30.854545454545473</v>
      </c>
      <c r="AE341" s="36">
        <v>5.8</v>
      </c>
      <c r="AF341" s="36">
        <f t="shared" si="76"/>
        <v>117.4</v>
      </c>
      <c r="AG341" s="36"/>
      <c r="AH341" s="36">
        <f t="shared" si="77"/>
        <v>117.4</v>
      </c>
      <c r="AI341" s="36"/>
      <c r="AJ341" s="36">
        <f t="shared" si="78"/>
        <v>117.4</v>
      </c>
      <c r="AK341" s="9"/>
      <c r="AL341" s="9"/>
      <c r="AM341" s="9"/>
      <c r="AN341" s="9"/>
      <c r="AO341" s="9"/>
      <c r="AP341" s="9"/>
      <c r="AQ341" s="9"/>
      <c r="AR341" s="10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10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10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10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10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10"/>
      <c r="GC341" s="9"/>
      <c r="GD341" s="9"/>
    </row>
    <row r="342" spans="1:186" s="2" customFormat="1" ht="16.95" customHeight="1">
      <c r="A342" s="47" t="s">
        <v>334</v>
      </c>
      <c r="B342" s="36">
        <v>30</v>
      </c>
      <c r="C342" s="36">
        <v>30.2</v>
      </c>
      <c r="D342" s="4">
        <f t="shared" si="69"/>
        <v>1.0066666666666666</v>
      </c>
      <c r="E342" s="11">
        <v>10</v>
      </c>
      <c r="F342" s="5" t="s">
        <v>370</v>
      </c>
      <c r="G342" s="5" t="s">
        <v>370</v>
      </c>
      <c r="H342" s="5" t="s">
        <v>370</v>
      </c>
      <c r="I342" s="5" t="s">
        <v>370</v>
      </c>
      <c r="J342" s="5" t="s">
        <v>370</v>
      </c>
      <c r="K342" s="5" t="s">
        <v>370</v>
      </c>
      <c r="L342" s="5" t="s">
        <v>370</v>
      </c>
      <c r="M342" s="5" t="s">
        <v>370</v>
      </c>
      <c r="N342" s="36">
        <v>24.1</v>
      </c>
      <c r="O342" s="36">
        <v>33.299999999999997</v>
      </c>
      <c r="P342" s="4">
        <f t="shared" si="70"/>
        <v>1.2181742738589212</v>
      </c>
      <c r="Q342" s="11">
        <v>20</v>
      </c>
      <c r="R342" s="36">
        <v>30</v>
      </c>
      <c r="S342" s="36">
        <v>26.2</v>
      </c>
      <c r="T342" s="4">
        <f t="shared" si="71"/>
        <v>0.87333333333333329</v>
      </c>
      <c r="U342" s="11">
        <v>30</v>
      </c>
      <c r="V342" s="36">
        <v>3.2</v>
      </c>
      <c r="W342" s="36">
        <v>3.3</v>
      </c>
      <c r="X342" s="4">
        <f t="shared" si="72"/>
        <v>1.0312499999999998</v>
      </c>
      <c r="Y342" s="11">
        <v>20</v>
      </c>
      <c r="Z342" s="45">
        <f t="shared" si="79"/>
        <v>1.0156894017980638</v>
      </c>
      <c r="AA342" s="46">
        <v>1607</v>
      </c>
      <c r="AB342" s="36">
        <f t="shared" si="73"/>
        <v>146.09090909090909</v>
      </c>
      <c r="AC342" s="36">
        <f t="shared" si="74"/>
        <v>148.4</v>
      </c>
      <c r="AD342" s="36">
        <f t="shared" si="75"/>
        <v>2.3090909090909122</v>
      </c>
      <c r="AE342" s="36">
        <v>0</v>
      </c>
      <c r="AF342" s="36">
        <f t="shared" si="76"/>
        <v>148.4</v>
      </c>
      <c r="AG342" s="36">
        <f>MIN(AF342,73)</f>
        <v>73</v>
      </c>
      <c r="AH342" s="36">
        <f t="shared" si="77"/>
        <v>75.400000000000006</v>
      </c>
      <c r="AI342" s="36"/>
      <c r="AJ342" s="36">
        <f t="shared" si="78"/>
        <v>75.400000000000006</v>
      </c>
      <c r="AK342" s="9"/>
      <c r="AL342" s="9"/>
      <c r="AM342" s="9"/>
      <c r="AN342" s="9"/>
      <c r="AO342" s="9"/>
      <c r="AP342" s="9"/>
      <c r="AQ342" s="9"/>
      <c r="AR342" s="10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10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10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10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10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10"/>
      <c r="GC342" s="9"/>
      <c r="GD342" s="9"/>
    </row>
    <row r="343" spans="1:186" s="2" customFormat="1" ht="16.95" customHeight="1">
      <c r="A343" s="47" t="s">
        <v>335</v>
      </c>
      <c r="B343" s="36">
        <v>45</v>
      </c>
      <c r="C343" s="36">
        <v>54</v>
      </c>
      <c r="D343" s="4">
        <f t="shared" si="69"/>
        <v>1.2</v>
      </c>
      <c r="E343" s="11">
        <v>10</v>
      </c>
      <c r="F343" s="5" t="s">
        <v>370</v>
      </c>
      <c r="G343" s="5" t="s">
        <v>370</v>
      </c>
      <c r="H343" s="5" t="s">
        <v>370</v>
      </c>
      <c r="I343" s="5" t="s">
        <v>370</v>
      </c>
      <c r="J343" s="5" t="s">
        <v>370</v>
      </c>
      <c r="K343" s="5" t="s">
        <v>370</v>
      </c>
      <c r="L343" s="5" t="s">
        <v>370</v>
      </c>
      <c r="M343" s="5" t="s">
        <v>370</v>
      </c>
      <c r="N343" s="36">
        <v>212.1</v>
      </c>
      <c r="O343" s="36">
        <v>48.7</v>
      </c>
      <c r="P343" s="4">
        <f t="shared" si="70"/>
        <v>0.22960867515322964</v>
      </c>
      <c r="Q343" s="11">
        <v>20</v>
      </c>
      <c r="R343" s="36">
        <v>45</v>
      </c>
      <c r="S343" s="36">
        <v>45</v>
      </c>
      <c r="T343" s="4">
        <f t="shared" si="71"/>
        <v>1</v>
      </c>
      <c r="U343" s="11">
        <v>30</v>
      </c>
      <c r="V343" s="36">
        <v>6</v>
      </c>
      <c r="W343" s="36">
        <v>6.1</v>
      </c>
      <c r="X343" s="4">
        <f t="shared" si="72"/>
        <v>1.0166666666666666</v>
      </c>
      <c r="Y343" s="11">
        <v>20</v>
      </c>
      <c r="Z343" s="45">
        <f t="shared" si="79"/>
        <v>0.83656883545497407</v>
      </c>
      <c r="AA343" s="46">
        <v>1168</v>
      </c>
      <c r="AB343" s="36">
        <f t="shared" si="73"/>
        <v>106.18181818181819</v>
      </c>
      <c r="AC343" s="36">
        <f t="shared" si="74"/>
        <v>88.8</v>
      </c>
      <c r="AD343" s="36">
        <f t="shared" si="75"/>
        <v>-17.38181818181819</v>
      </c>
      <c r="AE343" s="36">
        <v>1</v>
      </c>
      <c r="AF343" s="36">
        <f t="shared" si="76"/>
        <v>89.8</v>
      </c>
      <c r="AG343" s="36"/>
      <c r="AH343" s="36">
        <f t="shared" si="77"/>
        <v>89.8</v>
      </c>
      <c r="AI343" s="36"/>
      <c r="AJ343" s="36">
        <f t="shared" si="78"/>
        <v>89.8</v>
      </c>
      <c r="AK343" s="9"/>
      <c r="AL343" s="9"/>
      <c r="AM343" s="9"/>
      <c r="AN343" s="9"/>
      <c r="AO343" s="9"/>
      <c r="AP343" s="9"/>
      <c r="AQ343" s="9"/>
      <c r="AR343" s="10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10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10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10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10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10"/>
      <c r="GC343" s="9"/>
      <c r="GD343" s="9"/>
    </row>
    <row r="344" spans="1:186" s="2" customFormat="1" ht="16.95" customHeight="1">
      <c r="A344" s="47" t="s">
        <v>336</v>
      </c>
      <c r="B344" s="36">
        <v>140</v>
      </c>
      <c r="C344" s="36">
        <v>139.9</v>
      </c>
      <c r="D344" s="4">
        <f t="shared" si="69"/>
        <v>0.99928571428571433</v>
      </c>
      <c r="E344" s="11">
        <v>10</v>
      </c>
      <c r="F344" s="5" t="s">
        <v>370</v>
      </c>
      <c r="G344" s="5" t="s">
        <v>370</v>
      </c>
      <c r="H344" s="5" t="s">
        <v>370</v>
      </c>
      <c r="I344" s="5" t="s">
        <v>370</v>
      </c>
      <c r="J344" s="5" t="s">
        <v>370</v>
      </c>
      <c r="K344" s="5" t="s">
        <v>370</v>
      </c>
      <c r="L344" s="5" t="s">
        <v>370</v>
      </c>
      <c r="M344" s="5" t="s">
        <v>370</v>
      </c>
      <c r="N344" s="36">
        <v>104.4</v>
      </c>
      <c r="O344" s="36">
        <v>109</v>
      </c>
      <c r="P344" s="4">
        <f t="shared" si="70"/>
        <v>1.0440613026819923</v>
      </c>
      <c r="Q344" s="11">
        <v>20</v>
      </c>
      <c r="R344" s="36">
        <v>3</v>
      </c>
      <c r="S344" s="36">
        <v>3</v>
      </c>
      <c r="T344" s="4">
        <f t="shared" si="71"/>
        <v>1</v>
      </c>
      <c r="U344" s="11">
        <v>20</v>
      </c>
      <c r="V344" s="36">
        <v>1</v>
      </c>
      <c r="W344" s="36">
        <v>1</v>
      </c>
      <c r="X344" s="4">
        <f t="shared" si="72"/>
        <v>1</v>
      </c>
      <c r="Y344" s="11">
        <v>30</v>
      </c>
      <c r="Z344" s="45">
        <f t="shared" si="79"/>
        <v>1.0109260399562126</v>
      </c>
      <c r="AA344" s="46">
        <v>2214</v>
      </c>
      <c r="AB344" s="36">
        <f t="shared" si="73"/>
        <v>201.27272727272728</v>
      </c>
      <c r="AC344" s="36">
        <f t="shared" si="74"/>
        <v>203.5</v>
      </c>
      <c r="AD344" s="36">
        <f t="shared" si="75"/>
        <v>2.2272727272727195</v>
      </c>
      <c r="AE344" s="36">
        <v>-4.5</v>
      </c>
      <c r="AF344" s="36">
        <f t="shared" si="76"/>
        <v>199</v>
      </c>
      <c r="AG344" s="36"/>
      <c r="AH344" s="36">
        <f t="shared" si="77"/>
        <v>199</v>
      </c>
      <c r="AI344" s="36"/>
      <c r="AJ344" s="36">
        <f t="shared" si="78"/>
        <v>199</v>
      </c>
      <c r="AK344" s="9"/>
      <c r="AL344" s="9"/>
      <c r="AM344" s="9"/>
      <c r="AN344" s="9"/>
      <c r="AO344" s="9"/>
      <c r="AP344" s="9"/>
      <c r="AQ344" s="9"/>
      <c r="AR344" s="10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10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10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10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10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10"/>
      <c r="GC344" s="9"/>
      <c r="GD344" s="9"/>
    </row>
    <row r="345" spans="1:186" s="2" customFormat="1" ht="16.95" customHeight="1">
      <c r="A345" s="47" t="s">
        <v>337</v>
      </c>
      <c r="B345" s="36">
        <v>44</v>
      </c>
      <c r="C345" s="36">
        <v>44</v>
      </c>
      <c r="D345" s="4">
        <f t="shared" si="69"/>
        <v>1</v>
      </c>
      <c r="E345" s="11">
        <v>10</v>
      </c>
      <c r="F345" s="5" t="s">
        <v>370</v>
      </c>
      <c r="G345" s="5" t="s">
        <v>370</v>
      </c>
      <c r="H345" s="5" t="s">
        <v>370</v>
      </c>
      <c r="I345" s="5" t="s">
        <v>370</v>
      </c>
      <c r="J345" s="5" t="s">
        <v>370</v>
      </c>
      <c r="K345" s="5" t="s">
        <v>370</v>
      </c>
      <c r="L345" s="5" t="s">
        <v>370</v>
      </c>
      <c r="M345" s="5" t="s">
        <v>370</v>
      </c>
      <c r="N345" s="36">
        <v>110.4</v>
      </c>
      <c r="O345" s="36">
        <v>60.1</v>
      </c>
      <c r="P345" s="4">
        <f t="shared" si="70"/>
        <v>0.54438405797101452</v>
      </c>
      <c r="Q345" s="11">
        <v>20</v>
      </c>
      <c r="R345" s="36">
        <v>0.5</v>
      </c>
      <c r="S345" s="36">
        <v>0.5</v>
      </c>
      <c r="T345" s="4">
        <f t="shared" si="71"/>
        <v>1</v>
      </c>
      <c r="U345" s="11">
        <v>20</v>
      </c>
      <c r="V345" s="36">
        <v>1</v>
      </c>
      <c r="W345" s="36">
        <v>1</v>
      </c>
      <c r="X345" s="4">
        <f t="shared" si="72"/>
        <v>1</v>
      </c>
      <c r="Y345" s="11">
        <v>30</v>
      </c>
      <c r="Z345" s="45">
        <f t="shared" si="79"/>
        <v>0.88609601449275355</v>
      </c>
      <c r="AA345" s="46">
        <v>868</v>
      </c>
      <c r="AB345" s="36">
        <f t="shared" si="73"/>
        <v>78.909090909090907</v>
      </c>
      <c r="AC345" s="36">
        <f t="shared" si="74"/>
        <v>69.900000000000006</v>
      </c>
      <c r="AD345" s="36">
        <f t="shared" si="75"/>
        <v>-9.0090909090909008</v>
      </c>
      <c r="AE345" s="36">
        <v>1</v>
      </c>
      <c r="AF345" s="36">
        <f t="shared" si="76"/>
        <v>70.900000000000006</v>
      </c>
      <c r="AG345" s="36"/>
      <c r="AH345" s="36">
        <f t="shared" si="77"/>
        <v>70.900000000000006</v>
      </c>
      <c r="AI345" s="36"/>
      <c r="AJ345" s="36">
        <f t="shared" si="78"/>
        <v>70.900000000000006</v>
      </c>
      <c r="AK345" s="9"/>
      <c r="AL345" s="9"/>
      <c r="AM345" s="9"/>
      <c r="AN345" s="9"/>
      <c r="AO345" s="9"/>
      <c r="AP345" s="9"/>
      <c r="AQ345" s="9"/>
      <c r="AR345" s="10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10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10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10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10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10"/>
      <c r="GC345" s="9"/>
      <c r="GD345" s="9"/>
    </row>
    <row r="346" spans="1:186" s="2" customFormat="1" ht="16.95" customHeight="1">
      <c r="A346" s="47" t="s">
        <v>338</v>
      </c>
      <c r="B346" s="36">
        <v>60</v>
      </c>
      <c r="C346" s="36">
        <v>60.3</v>
      </c>
      <c r="D346" s="4">
        <f t="shared" si="69"/>
        <v>1.0049999999999999</v>
      </c>
      <c r="E346" s="11">
        <v>10</v>
      </c>
      <c r="F346" s="5" t="s">
        <v>370</v>
      </c>
      <c r="G346" s="5" t="s">
        <v>370</v>
      </c>
      <c r="H346" s="5" t="s">
        <v>370</v>
      </c>
      <c r="I346" s="5" t="s">
        <v>370</v>
      </c>
      <c r="J346" s="5" t="s">
        <v>370</v>
      </c>
      <c r="K346" s="5" t="s">
        <v>370</v>
      </c>
      <c r="L346" s="5" t="s">
        <v>370</v>
      </c>
      <c r="M346" s="5" t="s">
        <v>370</v>
      </c>
      <c r="N346" s="36">
        <v>307.89999999999998</v>
      </c>
      <c r="O346" s="36">
        <v>55.2</v>
      </c>
      <c r="P346" s="4">
        <f t="shared" si="70"/>
        <v>0.17927898668398834</v>
      </c>
      <c r="Q346" s="11">
        <v>20</v>
      </c>
      <c r="R346" s="36">
        <v>3</v>
      </c>
      <c r="S346" s="36">
        <v>3</v>
      </c>
      <c r="T346" s="4">
        <f t="shared" si="71"/>
        <v>1</v>
      </c>
      <c r="U346" s="11">
        <v>25</v>
      </c>
      <c r="V346" s="36">
        <v>1.5</v>
      </c>
      <c r="W346" s="36">
        <v>1.5</v>
      </c>
      <c r="X346" s="4">
        <f t="shared" si="72"/>
        <v>1</v>
      </c>
      <c r="Y346" s="11">
        <v>25</v>
      </c>
      <c r="Z346" s="45">
        <f t="shared" si="79"/>
        <v>0.79544474667099707</v>
      </c>
      <c r="AA346" s="46">
        <v>215</v>
      </c>
      <c r="AB346" s="36">
        <f t="shared" si="73"/>
        <v>19.545454545454547</v>
      </c>
      <c r="AC346" s="36">
        <f t="shared" si="74"/>
        <v>15.5</v>
      </c>
      <c r="AD346" s="36">
        <f t="shared" si="75"/>
        <v>-4.0454545454545467</v>
      </c>
      <c r="AE346" s="36">
        <v>0</v>
      </c>
      <c r="AF346" s="36">
        <f t="shared" si="76"/>
        <v>15.5</v>
      </c>
      <c r="AG346" s="36"/>
      <c r="AH346" s="36">
        <f t="shared" si="77"/>
        <v>15.5</v>
      </c>
      <c r="AI346" s="36"/>
      <c r="AJ346" s="36">
        <f t="shared" si="78"/>
        <v>15.5</v>
      </c>
      <c r="AK346" s="9"/>
      <c r="AL346" s="9"/>
      <c r="AM346" s="9"/>
      <c r="AN346" s="9"/>
      <c r="AO346" s="9"/>
      <c r="AP346" s="9"/>
      <c r="AQ346" s="9"/>
      <c r="AR346" s="10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10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10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10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10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10"/>
      <c r="GC346" s="9"/>
      <c r="GD346" s="9"/>
    </row>
    <row r="347" spans="1:186" s="2" customFormat="1" ht="16.95" customHeight="1">
      <c r="A347" s="47" t="s">
        <v>339</v>
      </c>
      <c r="B347" s="36">
        <v>0</v>
      </c>
      <c r="C347" s="36">
        <v>0</v>
      </c>
      <c r="D347" s="4">
        <f t="shared" si="69"/>
        <v>0</v>
      </c>
      <c r="E347" s="11">
        <v>0</v>
      </c>
      <c r="F347" s="5" t="s">
        <v>370</v>
      </c>
      <c r="G347" s="5" t="s">
        <v>370</v>
      </c>
      <c r="H347" s="5" t="s">
        <v>370</v>
      </c>
      <c r="I347" s="5" t="s">
        <v>370</v>
      </c>
      <c r="J347" s="5" t="s">
        <v>370</v>
      </c>
      <c r="K347" s="5" t="s">
        <v>370</v>
      </c>
      <c r="L347" s="5" t="s">
        <v>370</v>
      </c>
      <c r="M347" s="5" t="s">
        <v>370</v>
      </c>
      <c r="N347" s="36">
        <v>114</v>
      </c>
      <c r="O347" s="36">
        <v>33.1</v>
      </c>
      <c r="P347" s="4">
        <f t="shared" si="70"/>
        <v>0.29035087719298247</v>
      </c>
      <c r="Q347" s="11">
        <v>20</v>
      </c>
      <c r="R347" s="36">
        <v>12</v>
      </c>
      <c r="S347" s="36">
        <v>14.2</v>
      </c>
      <c r="T347" s="4">
        <f t="shared" si="71"/>
        <v>1.1833333333333333</v>
      </c>
      <c r="U347" s="11">
        <v>20</v>
      </c>
      <c r="V347" s="36">
        <v>3.5</v>
      </c>
      <c r="W347" s="36">
        <v>4.2</v>
      </c>
      <c r="X347" s="4">
        <f t="shared" si="72"/>
        <v>1.2</v>
      </c>
      <c r="Y347" s="11">
        <v>30</v>
      </c>
      <c r="Z347" s="45">
        <f t="shared" si="79"/>
        <v>0.93533834586466169</v>
      </c>
      <c r="AA347" s="46">
        <v>1546</v>
      </c>
      <c r="AB347" s="36">
        <f t="shared" si="73"/>
        <v>140.54545454545453</v>
      </c>
      <c r="AC347" s="36">
        <f t="shared" si="74"/>
        <v>131.5</v>
      </c>
      <c r="AD347" s="36">
        <f t="shared" si="75"/>
        <v>-9.0454545454545325</v>
      </c>
      <c r="AE347" s="36">
        <v>0.2</v>
      </c>
      <c r="AF347" s="36">
        <f t="shared" si="76"/>
        <v>131.69999999999999</v>
      </c>
      <c r="AG347" s="36"/>
      <c r="AH347" s="36">
        <f t="shared" si="77"/>
        <v>131.69999999999999</v>
      </c>
      <c r="AI347" s="36"/>
      <c r="AJ347" s="36">
        <f t="shared" si="78"/>
        <v>131.69999999999999</v>
      </c>
      <c r="AK347" s="9"/>
      <c r="AL347" s="9"/>
      <c r="AM347" s="9"/>
      <c r="AN347" s="9"/>
      <c r="AO347" s="9"/>
      <c r="AP347" s="9"/>
      <c r="AQ347" s="9"/>
      <c r="AR347" s="10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10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10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10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10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10"/>
      <c r="GC347" s="9"/>
      <c r="GD347" s="9"/>
    </row>
    <row r="348" spans="1:186" s="2" customFormat="1" ht="16.95" customHeight="1">
      <c r="A348" s="47" t="s">
        <v>340</v>
      </c>
      <c r="B348" s="36">
        <v>37</v>
      </c>
      <c r="C348" s="36">
        <v>36.1</v>
      </c>
      <c r="D348" s="4">
        <f t="shared" si="69"/>
        <v>0.9756756756756757</v>
      </c>
      <c r="E348" s="11">
        <v>10</v>
      </c>
      <c r="F348" s="5" t="s">
        <v>370</v>
      </c>
      <c r="G348" s="5" t="s">
        <v>370</v>
      </c>
      <c r="H348" s="5" t="s">
        <v>370</v>
      </c>
      <c r="I348" s="5" t="s">
        <v>370</v>
      </c>
      <c r="J348" s="5" t="s">
        <v>370</v>
      </c>
      <c r="K348" s="5" t="s">
        <v>370</v>
      </c>
      <c r="L348" s="5" t="s">
        <v>370</v>
      </c>
      <c r="M348" s="5" t="s">
        <v>370</v>
      </c>
      <c r="N348" s="36">
        <v>18.5</v>
      </c>
      <c r="O348" s="36">
        <v>38.4</v>
      </c>
      <c r="P348" s="4">
        <f t="shared" si="70"/>
        <v>1.2875675675675675</v>
      </c>
      <c r="Q348" s="11">
        <v>20</v>
      </c>
      <c r="R348" s="36">
        <v>30</v>
      </c>
      <c r="S348" s="36">
        <v>36.299999999999997</v>
      </c>
      <c r="T348" s="4">
        <f t="shared" si="71"/>
        <v>1.2010000000000001</v>
      </c>
      <c r="U348" s="11">
        <v>30</v>
      </c>
      <c r="V348" s="36">
        <v>1</v>
      </c>
      <c r="W348" s="36">
        <v>1.1000000000000001</v>
      </c>
      <c r="X348" s="4">
        <f t="shared" si="72"/>
        <v>1.1000000000000001</v>
      </c>
      <c r="Y348" s="11">
        <v>20</v>
      </c>
      <c r="Z348" s="45">
        <f t="shared" si="79"/>
        <v>1.1692263513513512</v>
      </c>
      <c r="AA348" s="46">
        <v>946</v>
      </c>
      <c r="AB348" s="36">
        <f t="shared" si="73"/>
        <v>86</v>
      </c>
      <c r="AC348" s="36">
        <f t="shared" si="74"/>
        <v>100.6</v>
      </c>
      <c r="AD348" s="36">
        <f t="shared" si="75"/>
        <v>14.599999999999994</v>
      </c>
      <c r="AE348" s="36">
        <v>1.1000000000000001</v>
      </c>
      <c r="AF348" s="36">
        <f t="shared" si="76"/>
        <v>101.7</v>
      </c>
      <c r="AG348" s="36"/>
      <c r="AH348" s="36">
        <f t="shared" si="77"/>
        <v>101.7</v>
      </c>
      <c r="AI348" s="36"/>
      <c r="AJ348" s="36">
        <f t="shared" si="78"/>
        <v>101.7</v>
      </c>
      <c r="AK348" s="9"/>
      <c r="AL348" s="9"/>
      <c r="AM348" s="9"/>
      <c r="AN348" s="9"/>
      <c r="AO348" s="9"/>
      <c r="AP348" s="9"/>
      <c r="AQ348" s="9"/>
      <c r="AR348" s="10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10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10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10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10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10"/>
      <c r="GC348" s="9"/>
      <c r="GD348" s="9"/>
    </row>
    <row r="349" spans="1:186" s="2" customFormat="1" ht="16.95" customHeight="1">
      <c r="A349" s="47" t="s">
        <v>341</v>
      </c>
      <c r="B349" s="36">
        <v>27316</v>
      </c>
      <c r="C349" s="36">
        <v>31858</v>
      </c>
      <c r="D349" s="4">
        <f t="shared" si="69"/>
        <v>1.1662761751354518</v>
      </c>
      <c r="E349" s="11">
        <v>10</v>
      </c>
      <c r="F349" s="5" t="s">
        <v>370</v>
      </c>
      <c r="G349" s="5" t="s">
        <v>370</v>
      </c>
      <c r="H349" s="5" t="s">
        <v>370</v>
      </c>
      <c r="I349" s="5" t="s">
        <v>370</v>
      </c>
      <c r="J349" s="5" t="s">
        <v>370</v>
      </c>
      <c r="K349" s="5" t="s">
        <v>370</v>
      </c>
      <c r="L349" s="5" t="s">
        <v>370</v>
      </c>
      <c r="M349" s="5" t="s">
        <v>370</v>
      </c>
      <c r="N349" s="36">
        <v>753.1</v>
      </c>
      <c r="O349" s="36">
        <v>897.8</v>
      </c>
      <c r="P349" s="4">
        <f t="shared" si="70"/>
        <v>1.1921391581463283</v>
      </c>
      <c r="Q349" s="11">
        <v>20</v>
      </c>
      <c r="R349" s="36">
        <v>20</v>
      </c>
      <c r="S349" s="36">
        <v>21</v>
      </c>
      <c r="T349" s="4">
        <f t="shared" si="71"/>
        <v>1.05</v>
      </c>
      <c r="U349" s="11">
        <v>20</v>
      </c>
      <c r="V349" s="36">
        <v>3.5</v>
      </c>
      <c r="W349" s="36">
        <v>3.6</v>
      </c>
      <c r="X349" s="4">
        <f t="shared" si="72"/>
        <v>1.0285714285714287</v>
      </c>
      <c r="Y349" s="11">
        <v>30</v>
      </c>
      <c r="Z349" s="45">
        <f t="shared" si="79"/>
        <v>1.0920335971427992</v>
      </c>
      <c r="AA349" s="46">
        <v>5071</v>
      </c>
      <c r="AB349" s="36">
        <f t="shared" si="73"/>
        <v>461</v>
      </c>
      <c r="AC349" s="36">
        <f t="shared" si="74"/>
        <v>503.4</v>
      </c>
      <c r="AD349" s="36">
        <f t="shared" si="75"/>
        <v>42.399999999999977</v>
      </c>
      <c r="AE349" s="36">
        <v>4.7</v>
      </c>
      <c r="AF349" s="36">
        <f t="shared" si="76"/>
        <v>508.1</v>
      </c>
      <c r="AG349" s="36"/>
      <c r="AH349" s="36">
        <f t="shared" si="77"/>
        <v>508.1</v>
      </c>
      <c r="AI349" s="36"/>
      <c r="AJ349" s="36">
        <f t="shared" si="78"/>
        <v>508.1</v>
      </c>
      <c r="AK349" s="9"/>
      <c r="AL349" s="9"/>
      <c r="AM349" s="9"/>
      <c r="AN349" s="9"/>
      <c r="AO349" s="9"/>
      <c r="AP349" s="9"/>
      <c r="AQ349" s="9"/>
      <c r="AR349" s="10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10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10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10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10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10"/>
      <c r="GC349" s="9"/>
      <c r="GD349" s="9"/>
    </row>
    <row r="350" spans="1:186" s="2" customFormat="1" ht="16.95" customHeight="1">
      <c r="A350" s="47" t="s">
        <v>342</v>
      </c>
      <c r="B350" s="36">
        <v>52</v>
      </c>
      <c r="C350" s="36">
        <v>41</v>
      </c>
      <c r="D350" s="4">
        <f t="shared" si="69"/>
        <v>0.78846153846153844</v>
      </c>
      <c r="E350" s="11">
        <v>10</v>
      </c>
      <c r="F350" s="5" t="s">
        <v>370</v>
      </c>
      <c r="G350" s="5" t="s">
        <v>370</v>
      </c>
      <c r="H350" s="5" t="s">
        <v>370</v>
      </c>
      <c r="I350" s="5" t="s">
        <v>370</v>
      </c>
      <c r="J350" s="5" t="s">
        <v>370</v>
      </c>
      <c r="K350" s="5" t="s">
        <v>370</v>
      </c>
      <c r="L350" s="5" t="s">
        <v>370</v>
      </c>
      <c r="M350" s="5" t="s">
        <v>370</v>
      </c>
      <c r="N350" s="36">
        <v>244.3</v>
      </c>
      <c r="O350" s="36">
        <v>51</v>
      </c>
      <c r="P350" s="4">
        <f t="shared" si="70"/>
        <v>0.20875972165370446</v>
      </c>
      <c r="Q350" s="11">
        <v>20</v>
      </c>
      <c r="R350" s="36">
        <v>25</v>
      </c>
      <c r="S350" s="36">
        <v>24.9</v>
      </c>
      <c r="T350" s="4">
        <f t="shared" si="71"/>
        <v>0.996</v>
      </c>
      <c r="U350" s="11">
        <v>30</v>
      </c>
      <c r="V350" s="36">
        <v>1.5</v>
      </c>
      <c r="W350" s="36">
        <v>1.6</v>
      </c>
      <c r="X350" s="4">
        <f t="shared" si="72"/>
        <v>1.0666666666666667</v>
      </c>
      <c r="Y350" s="11">
        <v>20</v>
      </c>
      <c r="Z350" s="45">
        <f t="shared" si="79"/>
        <v>0.79091428938778507</v>
      </c>
      <c r="AA350" s="46">
        <v>822</v>
      </c>
      <c r="AB350" s="36">
        <f t="shared" si="73"/>
        <v>74.727272727272734</v>
      </c>
      <c r="AC350" s="36">
        <f t="shared" si="74"/>
        <v>59.1</v>
      </c>
      <c r="AD350" s="36">
        <f t="shared" si="75"/>
        <v>-15.627272727272732</v>
      </c>
      <c r="AE350" s="36">
        <v>5.8</v>
      </c>
      <c r="AF350" s="36">
        <f t="shared" si="76"/>
        <v>64.900000000000006</v>
      </c>
      <c r="AG350" s="36"/>
      <c r="AH350" s="36">
        <f t="shared" si="77"/>
        <v>64.900000000000006</v>
      </c>
      <c r="AI350" s="36"/>
      <c r="AJ350" s="36">
        <f t="shared" si="78"/>
        <v>64.900000000000006</v>
      </c>
    </row>
    <row r="351" spans="1:186" s="2" customFormat="1" ht="16.95" customHeight="1">
      <c r="A351" s="47" t="s">
        <v>343</v>
      </c>
      <c r="B351" s="36">
        <v>23</v>
      </c>
      <c r="C351" s="36">
        <v>20.8</v>
      </c>
      <c r="D351" s="4">
        <f t="shared" si="69"/>
        <v>0.90434782608695652</v>
      </c>
      <c r="E351" s="11">
        <v>10</v>
      </c>
      <c r="F351" s="5" t="s">
        <v>370</v>
      </c>
      <c r="G351" s="5" t="s">
        <v>370</v>
      </c>
      <c r="H351" s="5" t="s">
        <v>370</v>
      </c>
      <c r="I351" s="5" t="s">
        <v>370</v>
      </c>
      <c r="J351" s="5" t="s">
        <v>370</v>
      </c>
      <c r="K351" s="5" t="s">
        <v>370</v>
      </c>
      <c r="L351" s="5" t="s">
        <v>370</v>
      </c>
      <c r="M351" s="5" t="s">
        <v>370</v>
      </c>
      <c r="N351" s="36">
        <v>660</v>
      </c>
      <c r="O351" s="36">
        <v>61.5</v>
      </c>
      <c r="P351" s="4">
        <f t="shared" si="70"/>
        <v>9.3181818181818185E-2</v>
      </c>
      <c r="Q351" s="11">
        <v>20</v>
      </c>
      <c r="R351" s="36">
        <v>15</v>
      </c>
      <c r="S351" s="36">
        <v>15</v>
      </c>
      <c r="T351" s="4">
        <f t="shared" si="71"/>
        <v>1</v>
      </c>
      <c r="U351" s="11">
        <v>25</v>
      </c>
      <c r="V351" s="36">
        <v>3</v>
      </c>
      <c r="W351" s="36">
        <v>3.1</v>
      </c>
      <c r="X351" s="4">
        <f t="shared" si="72"/>
        <v>1.0333333333333334</v>
      </c>
      <c r="Y351" s="11">
        <v>25</v>
      </c>
      <c r="Z351" s="45">
        <f t="shared" si="79"/>
        <v>0.77175559947299077</v>
      </c>
      <c r="AA351" s="46">
        <v>2251</v>
      </c>
      <c r="AB351" s="36">
        <f t="shared" si="73"/>
        <v>204.63636363636363</v>
      </c>
      <c r="AC351" s="36">
        <f t="shared" si="74"/>
        <v>157.9</v>
      </c>
      <c r="AD351" s="36">
        <f t="shared" si="75"/>
        <v>-46.73636363636362</v>
      </c>
      <c r="AE351" s="36">
        <v>-0.8</v>
      </c>
      <c r="AF351" s="36">
        <f t="shared" si="76"/>
        <v>157.1</v>
      </c>
      <c r="AG351" s="36"/>
      <c r="AH351" s="36">
        <f t="shared" si="77"/>
        <v>157.1</v>
      </c>
      <c r="AI351" s="36"/>
      <c r="AJ351" s="36">
        <f t="shared" si="78"/>
        <v>157.1</v>
      </c>
    </row>
    <row r="352" spans="1:186" s="2" customFormat="1" ht="16.95" customHeight="1">
      <c r="A352" s="18" t="s">
        <v>344</v>
      </c>
      <c r="B352" s="6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</row>
    <row r="353" spans="1:36" s="2" customFormat="1" ht="16.95" customHeight="1">
      <c r="A353" s="47" t="s">
        <v>345</v>
      </c>
      <c r="B353" s="36">
        <v>39</v>
      </c>
      <c r="C353" s="36">
        <v>36.9</v>
      </c>
      <c r="D353" s="4">
        <f t="shared" si="69"/>
        <v>0.94615384615384612</v>
      </c>
      <c r="E353" s="11">
        <v>10</v>
      </c>
      <c r="F353" s="5" t="s">
        <v>370</v>
      </c>
      <c r="G353" s="5" t="s">
        <v>370</v>
      </c>
      <c r="H353" s="5" t="s">
        <v>370</v>
      </c>
      <c r="I353" s="5" t="s">
        <v>370</v>
      </c>
      <c r="J353" s="5" t="s">
        <v>370</v>
      </c>
      <c r="K353" s="5" t="s">
        <v>370</v>
      </c>
      <c r="L353" s="5" t="s">
        <v>370</v>
      </c>
      <c r="M353" s="5" t="s">
        <v>370</v>
      </c>
      <c r="N353" s="36">
        <v>43</v>
      </c>
      <c r="O353" s="36">
        <v>7.7</v>
      </c>
      <c r="P353" s="4">
        <f t="shared" si="70"/>
        <v>0.17906976744186046</v>
      </c>
      <c r="Q353" s="11">
        <v>20</v>
      </c>
      <c r="R353" s="36">
        <v>13</v>
      </c>
      <c r="S353" s="36">
        <v>13.3</v>
      </c>
      <c r="T353" s="4">
        <f t="shared" si="71"/>
        <v>1.0230769230769232</v>
      </c>
      <c r="U353" s="11">
        <v>15</v>
      </c>
      <c r="V353" s="36">
        <v>2</v>
      </c>
      <c r="W353" s="36">
        <v>2</v>
      </c>
      <c r="X353" s="4">
        <f t="shared" si="72"/>
        <v>1</v>
      </c>
      <c r="Y353" s="11">
        <v>35</v>
      </c>
      <c r="Z353" s="45">
        <f t="shared" si="79"/>
        <v>0.79236359570661896</v>
      </c>
      <c r="AA353" s="46">
        <v>1117</v>
      </c>
      <c r="AB353" s="36">
        <f t="shared" si="73"/>
        <v>101.54545454545455</v>
      </c>
      <c r="AC353" s="36">
        <f t="shared" si="74"/>
        <v>80.5</v>
      </c>
      <c r="AD353" s="36">
        <f t="shared" si="75"/>
        <v>-21.045454545454547</v>
      </c>
      <c r="AE353" s="36">
        <v>-7.1</v>
      </c>
      <c r="AF353" s="36">
        <f t="shared" si="76"/>
        <v>73.400000000000006</v>
      </c>
      <c r="AG353" s="36"/>
      <c r="AH353" s="36">
        <f t="shared" si="77"/>
        <v>73.400000000000006</v>
      </c>
      <c r="AI353" s="36"/>
      <c r="AJ353" s="36">
        <f t="shared" si="78"/>
        <v>73.400000000000006</v>
      </c>
    </row>
    <row r="354" spans="1:36" s="2" customFormat="1" ht="16.95" customHeight="1">
      <c r="A354" s="47" t="s">
        <v>53</v>
      </c>
      <c r="B354" s="36">
        <v>22</v>
      </c>
      <c r="C354" s="36">
        <v>22.6</v>
      </c>
      <c r="D354" s="4">
        <f t="shared" si="69"/>
        <v>1.0272727272727273</v>
      </c>
      <c r="E354" s="11">
        <v>10</v>
      </c>
      <c r="F354" s="5" t="s">
        <v>370</v>
      </c>
      <c r="G354" s="5" t="s">
        <v>370</v>
      </c>
      <c r="H354" s="5" t="s">
        <v>370</v>
      </c>
      <c r="I354" s="5" t="s">
        <v>370</v>
      </c>
      <c r="J354" s="5" t="s">
        <v>370</v>
      </c>
      <c r="K354" s="5" t="s">
        <v>370</v>
      </c>
      <c r="L354" s="5" t="s">
        <v>370</v>
      </c>
      <c r="M354" s="5" t="s">
        <v>370</v>
      </c>
      <c r="N354" s="36">
        <v>81.5</v>
      </c>
      <c r="O354" s="36">
        <v>140.80000000000001</v>
      </c>
      <c r="P354" s="4">
        <f t="shared" si="70"/>
        <v>1.2527607361963189</v>
      </c>
      <c r="Q354" s="11">
        <v>20</v>
      </c>
      <c r="R354" s="36">
        <v>37</v>
      </c>
      <c r="S354" s="36">
        <v>41.6</v>
      </c>
      <c r="T354" s="4">
        <f t="shared" si="71"/>
        <v>1.1243243243243244</v>
      </c>
      <c r="U354" s="11">
        <v>30</v>
      </c>
      <c r="V354" s="36">
        <v>1</v>
      </c>
      <c r="W354" s="36">
        <v>1</v>
      </c>
      <c r="X354" s="4">
        <f t="shared" si="72"/>
        <v>1</v>
      </c>
      <c r="Y354" s="11">
        <v>20</v>
      </c>
      <c r="Z354" s="45">
        <f t="shared" si="79"/>
        <v>1.1132208965797923</v>
      </c>
      <c r="AA354" s="46">
        <v>1115</v>
      </c>
      <c r="AB354" s="36">
        <f t="shared" si="73"/>
        <v>101.36363636363636</v>
      </c>
      <c r="AC354" s="36">
        <f t="shared" si="74"/>
        <v>112.8</v>
      </c>
      <c r="AD354" s="36">
        <f t="shared" si="75"/>
        <v>11.436363636363637</v>
      </c>
      <c r="AE354" s="36">
        <v>6.5</v>
      </c>
      <c r="AF354" s="36">
        <f t="shared" si="76"/>
        <v>119.3</v>
      </c>
      <c r="AG354" s="36"/>
      <c r="AH354" s="36">
        <f t="shared" si="77"/>
        <v>119.3</v>
      </c>
      <c r="AI354" s="36"/>
      <c r="AJ354" s="36">
        <f t="shared" si="78"/>
        <v>119.3</v>
      </c>
    </row>
    <row r="355" spans="1:36" s="2" customFormat="1" ht="16.95" customHeight="1">
      <c r="A355" s="47" t="s">
        <v>346</v>
      </c>
      <c r="B355" s="36">
        <v>78</v>
      </c>
      <c r="C355" s="36">
        <v>78</v>
      </c>
      <c r="D355" s="4">
        <f t="shared" si="69"/>
        <v>1</v>
      </c>
      <c r="E355" s="11">
        <v>10</v>
      </c>
      <c r="F355" s="5" t="s">
        <v>370</v>
      </c>
      <c r="G355" s="5" t="s">
        <v>370</v>
      </c>
      <c r="H355" s="5" t="s">
        <v>370</v>
      </c>
      <c r="I355" s="5" t="s">
        <v>370</v>
      </c>
      <c r="J355" s="5" t="s">
        <v>370</v>
      </c>
      <c r="K355" s="5" t="s">
        <v>370</v>
      </c>
      <c r="L355" s="5" t="s">
        <v>370</v>
      </c>
      <c r="M355" s="5" t="s">
        <v>370</v>
      </c>
      <c r="N355" s="36">
        <v>20.3</v>
      </c>
      <c r="O355" s="36">
        <v>30.1</v>
      </c>
      <c r="P355" s="4">
        <f t="shared" si="70"/>
        <v>1.2282758620689656</v>
      </c>
      <c r="Q355" s="11">
        <v>20</v>
      </c>
      <c r="R355" s="36">
        <v>26</v>
      </c>
      <c r="S355" s="36">
        <v>26</v>
      </c>
      <c r="T355" s="4">
        <f t="shared" si="71"/>
        <v>1</v>
      </c>
      <c r="U355" s="11">
        <v>30</v>
      </c>
      <c r="V355" s="36">
        <v>1</v>
      </c>
      <c r="W355" s="36">
        <v>1</v>
      </c>
      <c r="X355" s="4">
        <f t="shared" si="72"/>
        <v>1</v>
      </c>
      <c r="Y355" s="11">
        <v>20</v>
      </c>
      <c r="Z355" s="45">
        <f t="shared" si="79"/>
        <v>1.0570689655172414</v>
      </c>
      <c r="AA355" s="46">
        <v>1678</v>
      </c>
      <c r="AB355" s="36">
        <f t="shared" si="73"/>
        <v>152.54545454545453</v>
      </c>
      <c r="AC355" s="36">
        <f t="shared" si="74"/>
        <v>161.30000000000001</v>
      </c>
      <c r="AD355" s="36">
        <f t="shared" si="75"/>
        <v>8.7545454545454788</v>
      </c>
      <c r="AE355" s="36">
        <v>1.6</v>
      </c>
      <c r="AF355" s="36">
        <f t="shared" si="76"/>
        <v>162.9</v>
      </c>
      <c r="AG355" s="36">
        <f>MIN(AF355,9)</f>
        <v>9</v>
      </c>
      <c r="AH355" s="36">
        <f t="shared" si="77"/>
        <v>153.9</v>
      </c>
      <c r="AI355" s="36"/>
      <c r="AJ355" s="36">
        <f t="shared" si="78"/>
        <v>153.9</v>
      </c>
    </row>
    <row r="356" spans="1:36" s="2" customFormat="1" ht="16.95" customHeight="1">
      <c r="A356" s="47" t="s">
        <v>347</v>
      </c>
      <c r="B356" s="36">
        <v>3552</v>
      </c>
      <c r="C356" s="36">
        <v>1665.6</v>
      </c>
      <c r="D356" s="4">
        <f t="shared" si="69"/>
        <v>0.4689189189189189</v>
      </c>
      <c r="E356" s="11">
        <v>10</v>
      </c>
      <c r="F356" s="5" t="s">
        <v>370</v>
      </c>
      <c r="G356" s="5" t="s">
        <v>370</v>
      </c>
      <c r="H356" s="5" t="s">
        <v>370</v>
      </c>
      <c r="I356" s="5" t="s">
        <v>370</v>
      </c>
      <c r="J356" s="5" t="s">
        <v>370</v>
      </c>
      <c r="K356" s="5" t="s">
        <v>370</v>
      </c>
      <c r="L356" s="5" t="s">
        <v>370</v>
      </c>
      <c r="M356" s="5" t="s">
        <v>370</v>
      </c>
      <c r="N356" s="36">
        <v>90.9</v>
      </c>
      <c r="O356" s="36">
        <v>155.69999999999999</v>
      </c>
      <c r="P356" s="4">
        <f t="shared" si="70"/>
        <v>1.2512871287128713</v>
      </c>
      <c r="Q356" s="11">
        <v>20</v>
      </c>
      <c r="R356" s="36">
        <v>167</v>
      </c>
      <c r="S356" s="36">
        <v>176.1</v>
      </c>
      <c r="T356" s="4">
        <f t="shared" si="71"/>
        <v>1.0544910179640719</v>
      </c>
      <c r="U356" s="11">
        <v>30</v>
      </c>
      <c r="V356" s="36">
        <v>5</v>
      </c>
      <c r="W356" s="36">
        <v>5.2</v>
      </c>
      <c r="X356" s="4">
        <f t="shared" si="72"/>
        <v>1.04</v>
      </c>
      <c r="Y356" s="11">
        <v>20</v>
      </c>
      <c r="Z356" s="45">
        <f t="shared" si="79"/>
        <v>1.0268707787796096</v>
      </c>
      <c r="AA356" s="46">
        <v>1526</v>
      </c>
      <c r="AB356" s="36">
        <f t="shared" si="73"/>
        <v>138.72727272727272</v>
      </c>
      <c r="AC356" s="36">
        <f t="shared" si="74"/>
        <v>142.5</v>
      </c>
      <c r="AD356" s="36">
        <f t="shared" si="75"/>
        <v>3.7727272727272805</v>
      </c>
      <c r="AE356" s="36">
        <v>5.8</v>
      </c>
      <c r="AF356" s="36">
        <f t="shared" si="76"/>
        <v>148.30000000000001</v>
      </c>
      <c r="AG356" s="36"/>
      <c r="AH356" s="36">
        <f t="shared" si="77"/>
        <v>148.30000000000001</v>
      </c>
      <c r="AI356" s="36"/>
      <c r="AJ356" s="36">
        <f t="shared" si="78"/>
        <v>148.30000000000001</v>
      </c>
    </row>
    <row r="357" spans="1:36" s="2" customFormat="1" ht="16.95" customHeight="1">
      <c r="A357" s="47" t="s">
        <v>348</v>
      </c>
      <c r="B357" s="36">
        <v>44400</v>
      </c>
      <c r="C357" s="36">
        <v>36116</v>
      </c>
      <c r="D357" s="4">
        <f t="shared" si="69"/>
        <v>0.81342342342342344</v>
      </c>
      <c r="E357" s="11">
        <v>10</v>
      </c>
      <c r="F357" s="5" t="s">
        <v>370</v>
      </c>
      <c r="G357" s="5" t="s">
        <v>370</v>
      </c>
      <c r="H357" s="5" t="s">
        <v>370</v>
      </c>
      <c r="I357" s="5" t="s">
        <v>370</v>
      </c>
      <c r="J357" s="5" t="s">
        <v>370</v>
      </c>
      <c r="K357" s="5" t="s">
        <v>370</v>
      </c>
      <c r="L357" s="5" t="s">
        <v>370</v>
      </c>
      <c r="M357" s="5" t="s">
        <v>370</v>
      </c>
      <c r="N357" s="36">
        <v>121.5</v>
      </c>
      <c r="O357" s="36">
        <v>97.4</v>
      </c>
      <c r="P357" s="4">
        <f t="shared" si="70"/>
        <v>0.80164609053497948</v>
      </c>
      <c r="Q357" s="11">
        <v>20</v>
      </c>
      <c r="R357" s="36">
        <v>8</v>
      </c>
      <c r="S357" s="36">
        <v>0</v>
      </c>
      <c r="T357" s="4">
        <f t="shared" si="71"/>
        <v>0</v>
      </c>
      <c r="U357" s="11">
        <v>25</v>
      </c>
      <c r="V357" s="36">
        <v>0.9</v>
      </c>
      <c r="W357" s="36">
        <v>0.8</v>
      </c>
      <c r="X357" s="4">
        <f t="shared" si="72"/>
        <v>0.88888888888888895</v>
      </c>
      <c r="Y357" s="11">
        <v>25</v>
      </c>
      <c r="Z357" s="45">
        <f t="shared" si="79"/>
        <v>0.57986722833945059</v>
      </c>
      <c r="AA357" s="46">
        <v>1180</v>
      </c>
      <c r="AB357" s="36">
        <f t="shared" si="73"/>
        <v>107.27272727272727</v>
      </c>
      <c r="AC357" s="36">
        <f t="shared" si="74"/>
        <v>62.2</v>
      </c>
      <c r="AD357" s="36">
        <f t="shared" si="75"/>
        <v>-45.072727272727263</v>
      </c>
      <c r="AE357" s="36">
        <v>-1.3</v>
      </c>
      <c r="AF357" s="36">
        <f t="shared" si="76"/>
        <v>60.9</v>
      </c>
      <c r="AG357" s="36"/>
      <c r="AH357" s="36">
        <f t="shared" si="77"/>
        <v>60.9</v>
      </c>
      <c r="AI357" s="36"/>
      <c r="AJ357" s="36">
        <f t="shared" si="78"/>
        <v>60.9</v>
      </c>
    </row>
    <row r="358" spans="1:36" s="2" customFormat="1" ht="16.95" customHeight="1">
      <c r="A358" s="47" t="s">
        <v>349</v>
      </c>
      <c r="B358" s="36">
        <v>0</v>
      </c>
      <c r="C358" s="36">
        <v>0</v>
      </c>
      <c r="D358" s="4">
        <f t="shared" si="69"/>
        <v>0</v>
      </c>
      <c r="E358" s="11">
        <v>0</v>
      </c>
      <c r="F358" s="5" t="s">
        <v>370</v>
      </c>
      <c r="G358" s="5" t="s">
        <v>370</v>
      </c>
      <c r="H358" s="5" t="s">
        <v>370</v>
      </c>
      <c r="I358" s="5" t="s">
        <v>370</v>
      </c>
      <c r="J358" s="5" t="s">
        <v>370</v>
      </c>
      <c r="K358" s="5" t="s">
        <v>370</v>
      </c>
      <c r="L358" s="5" t="s">
        <v>370</v>
      </c>
      <c r="M358" s="5" t="s">
        <v>370</v>
      </c>
      <c r="N358" s="36">
        <v>55.8</v>
      </c>
      <c r="O358" s="36">
        <v>4.5999999999999996</v>
      </c>
      <c r="P358" s="4">
        <f t="shared" si="70"/>
        <v>8.2437275985663083E-2</v>
      </c>
      <c r="Q358" s="11">
        <v>20</v>
      </c>
      <c r="R358" s="36">
        <v>16</v>
      </c>
      <c r="S358" s="36">
        <v>17.8</v>
      </c>
      <c r="T358" s="4">
        <f t="shared" si="71"/>
        <v>1.1125</v>
      </c>
      <c r="U358" s="11">
        <v>30</v>
      </c>
      <c r="V358" s="36">
        <v>0.3</v>
      </c>
      <c r="W358" s="36">
        <v>0.3</v>
      </c>
      <c r="X358" s="4">
        <f t="shared" si="72"/>
        <v>1</v>
      </c>
      <c r="Y358" s="11">
        <v>20</v>
      </c>
      <c r="Z358" s="45">
        <f t="shared" si="79"/>
        <v>0.78605350742447511</v>
      </c>
      <c r="AA358" s="46">
        <v>324</v>
      </c>
      <c r="AB358" s="36">
        <f t="shared" si="73"/>
        <v>29.454545454545453</v>
      </c>
      <c r="AC358" s="36">
        <f t="shared" si="74"/>
        <v>23.2</v>
      </c>
      <c r="AD358" s="36">
        <f t="shared" si="75"/>
        <v>-6.254545454545454</v>
      </c>
      <c r="AE358" s="36">
        <v>-1.4</v>
      </c>
      <c r="AF358" s="36">
        <f t="shared" si="76"/>
        <v>21.8</v>
      </c>
      <c r="AG358" s="36"/>
      <c r="AH358" s="36">
        <f t="shared" si="77"/>
        <v>21.8</v>
      </c>
      <c r="AI358" s="36"/>
      <c r="AJ358" s="36">
        <f t="shared" si="78"/>
        <v>21.8</v>
      </c>
    </row>
    <row r="359" spans="1:36" s="2" customFormat="1" ht="16.95" customHeight="1">
      <c r="A359" s="47" t="s">
        <v>350</v>
      </c>
      <c r="B359" s="36">
        <v>33</v>
      </c>
      <c r="C359" s="36">
        <v>27.6</v>
      </c>
      <c r="D359" s="4">
        <f t="shared" si="69"/>
        <v>0.83636363636363642</v>
      </c>
      <c r="E359" s="11">
        <v>10</v>
      </c>
      <c r="F359" s="5" t="s">
        <v>370</v>
      </c>
      <c r="G359" s="5" t="s">
        <v>370</v>
      </c>
      <c r="H359" s="5" t="s">
        <v>370</v>
      </c>
      <c r="I359" s="5" t="s">
        <v>370</v>
      </c>
      <c r="J359" s="5" t="s">
        <v>370</v>
      </c>
      <c r="K359" s="5" t="s">
        <v>370</v>
      </c>
      <c r="L359" s="5" t="s">
        <v>370</v>
      </c>
      <c r="M359" s="5" t="s">
        <v>370</v>
      </c>
      <c r="N359" s="36">
        <v>375.9</v>
      </c>
      <c r="O359" s="36">
        <v>2205.4</v>
      </c>
      <c r="P359" s="4">
        <f t="shared" si="70"/>
        <v>1.3</v>
      </c>
      <c r="Q359" s="11">
        <v>20</v>
      </c>
      <c r="R359" s="36">
        <v>159</v>
      </c>
      <c r="S359" s="36">
        <v>158.6</v>
      </c>
      <c r="T359" s="4">
        <f t="shared" si="71"/>
        <v>0.99748427672955975</v>
      </c>
      <c r="U359" s="11">
        <v>30</v>
      </c>
      <c r="V359" s="36">
        <v>6</v>
      </c>
      <c r="W359" s="36">
        <v>9.1999999999999993</v>
      </c>
      <c r="X359" s="4">
        <f t="shared" si="72"/>
        <v>1.2333333333333334</v>
      </c>
      <c r="Y359" s="11">
        <v>20</v>
      </c>
      <c r="Z359" s="45">
        <f t="shared" si="79"/>
        <v>1.1119353916523729</v>
      </c>
      <c r="AA359" s="46">
        <v>110</v>
      </c>
      <c r="AB359" s="36">
        <f t="shared" si="73"/>
        <v>10</v>
      </c>
      <c r="AC359" s="36">
        <f t="shared" si="74"/>
        <v>11.1</v>
      </c>
      <c r="AD359" s="36">
        <f t="shared" si="75"/>
        <v>1.0999999999999996</v>
      </c>
      <c r="AE359" s="36">
        <v>-0.3</v>
      </c>
      <c r="AF359" s="36">
        <f t="shared" si="76"/>
        <v>10.8</v>
      </c>
      <c r="AG359" s="36"/>
      <c r="AH359" s="36">
        <f t="shared" si="77"/>
        <v>10.8</v>
      </c>
      <c r="AI359" s="36"/>
      <c r="AJ359" s="36">
        <f t="shared" si="78"/>
        <v>10.8</v>
      </c>
    </row>
    <row r="360" spans="1:36" s="2" customFormat="1" ht="16.95" customHeight="1">
      <c r="A360" s="47" t="s">
        <v>351</v>
      </c>
      <c r="B360" s="36">
        <v>22</v>
      </c>
      <c r="C360" s="36">
        <v>23.6</v>
      </c>
      <c r="D360" s="4">
        <f t="shared" si="69"/>
        <v>1.0727272727272728</v>
      </c>
      <c r="E360" s="11">
        <v>10</v>
      </c>
      <c r="F360" s="5" t="s">
        <v>370</v>
      </c>
      <c r="G360" s="5" t="s">
        <v>370</v>
      </c>
      <c r="H360" s="5" t="s">
        <v>370</v>
      </c>
      <c r="I360" s="5" t="s">
        <v>370</v>
      </c>
      <c r="J360" s="5" t="s">
        <v>370</v>
      </c>
      <c r="K360" s="5" t="s">
        <v>370</v>
      </c>
      <c r="L360" s="5" t="s">
        <v>370</v>
      </c>
      <c r="M360" s="5" t="s">
        <v>370</v>
      </c>
      <c r="N360" s="36">
        <v>235.1</v>
      </c>
      <c r="O360" s="36">
        <v>54.3</v>
      </c>
      <c r="P360" s="4">
        <f t="shared" si="70"/>
        <v>0.23096554657592513</v>
      </c>
      <c r="Q360" s="11">
        <v>20</v>
      </c>
      <c r="R360" s="36">
        <v>6</v>
      </c>
      <c r="S360" s="36">
        <v>6</v>
      </c>
      <c r="T360" s="4">
        <f t="shared" si="71"/>
        <v>1</v>
      </c>
      <c r="U360" s="11">
        <v>20</v>
      </c>
      <c r="V360" s="36">
        <v>1.5</v>
      </c>
      <c r="W360" s="36">
        <v>1.5</v>
      </c>
      <c r="X360" s="4">
        <f t="shared" si="72"/>
        <v>1</v>
      </c>
      <c r="Y360" s="11">
        <v>30</v>
      </c>
      <c r="Z360" s="45">
        <f t="shared" si="79"/>
        <v>0.81683229573489036</v>
      </c>
      <c r="AA360" s="46">
        <v>1330</v>
      </c>
      <c r="AB360" s="36">
        <f t="shared" si="73"/>
        <v>120.90909090909091</v>
      </c>
      <c r="AC360" s="36">
        <f t="shared" si="74"/>
        <v>98.8</v>
      </c>
      <c r="AD360" s="36">
        <f t="shared" si="75"/>
        <v>-22.109090909090909</v>
      </c>
      <c r="AE360" s="36">
        <v>-9.8000000000000007</v>
      </c>
      <c r="AF360" s="36">
        <f t="shared" si="76"/>
        <v>89</v>
      </c>
      <c r="AG360" s="36"/>
      <c r="AH360" s="36">
        <f t="shared" si="77"/>
        <v>89</v>
      </c>
      <c r="AI360" s="36"/>
      <c r="AJ360" s="36">
        <f t="shared" si="78"/>
        <v>89</v>
      </c>
    </row>
    <row r="361" spans="1:36" s="2" customFormat="1" ht="16.95" customHeight="1">
      <c r="A361" s="47" t="s">
        <v>352</v>
      </c>
      <c r="B361" s="36">
        <v>39</v>
      </c>
      <c r="C361" s="36">
        <v>41.2</v>
      </c>
      <c r="D361" s="4">
        <f t="shared" si="69"/>
        <v>1.0564102564102564</v>
      </c>
      <c r="E361" s="11">
        <v>10</v>
      </c>
      <c r="F361" s="5" t="s">
        <v>370</v>
      </c>
      <c r="G361" s="5" t="s">
        <v>370</v>
      </c>
      <c r="H361" s="5" t="s">
        <v>370</v>
      </c>
      <c r="I361" s="5" t="s">
        <v>370</v>
      </c>
      <c r="J361" s="5" t="s">
        <v>370</v>
      </c>
      <c r="K361" s="5" t="s">
        <v>370</v>
      </c>
      <c r="L361" s="5" t="s">
        <v>370</v>
      </c>
      <c r="M361" s="5" t="s">
        <v>370</v>
      </c>
      <c r="N361" s="36">
        <v>103.3</v>
      </c>
      <c r="O361" s="36">
        <v>81</v>
      </c>
      <c r="P361" s="4">
        <f t="shared" si="70"/>
        <v>0.78412391093901257</v>
      </c>
      <c r="Q361" s="11">
        <v>20</v>
      </c>
      <c r="R361" s="36">
        <v>21</v>
      </c>
      <c r="S361" s="36">
        <v>21</v>
      </c>
      <c r="T361" s="4">
        <f t="shared" si="71"/>
        <v>1</v>
      </c>
      <c r="U361" s="11">
        <v>15</v>
      </c>
      <c r="V361" s="36">
        <v>1</v>
      </c>
      <c r="W361" s="36">
        <v>1</v>
      </c>
      <c r="X361" s="4">
        <f t="shared" si="72"/>
        <v>1</v>
      </c>
      <c r="Y361" s="11">
        <v>35</v>
      </c>
      <c r="Z361" s="45">
        <f t="shared" si="79"/>
        <v>0.95308225978603522</v>
      </c>
      <c r="AA361" s="46">
        <v>1295</v>
      </c>
      <c r="AB361" s="36">
        <f t="shared" si="73"/>
        <v>117.72727272727273</v>
      </c>
      <c r="AC361" s="36">
        <f t="shared" si="74"/>
        <v>112.2</v>
      </c>
      <c r="AD361" s="36">
        <f t="shared" si="75"/>
        <v>-5.5272727272727309</v>
      </c>
      <c r="AE361" s="36">
        <v>-2.5</v>
      </c>
      <c r="AF361" s="36">
        <f t="shared" si="76"/>
        <v>109.7</v>
      </c>
      <c r="AG361" s="36"/>
      <c r="AH361" s="36">
        <f t="shared" si="77"/>
        <v>109.7</v>
      </c>
      <c r="AI361" s="36"/>
      <c r="AJ361" s="36">
        <f t="shared" si="78"/>
        <v>109.7</v>
      </c>
    </row>
    <row r="362" spans="1:36" s="2" customFormat="1" ht="16.95" customHeight="1">
      <c r="A362" s="47" t="s">
        <v>353</v>
      </c>
      <c r="B362" s="36">
        <v>7</v>
      </c>
      <c r="C362" s="36">
        <v>8.1999999999999993</v>
      </c>
      <c r="D362" s="4">
        <f t="shared" si="69"/>
        <v>1.1714285714285713</v>
      </c>
      <c r="E362" s="11">
        <v>10</v>
      </c>
      <c r="F362" s="5" t="s">
        <v>370</v>
      </c>
      <c r="G362" s="5" t="s">
        <v>370</v>
      </c>
      <c r="H362" s="5" t="s">
        <v>370</v>
      </c>
      <c r="I362" s="5" t="s">
        <v>370</v>
      </c>
      <c r="J362" s="5" t="s">
        <v>370</v>
      </c>
      <c r="K362" s="5" t="s">
        <v>370</v>
      </c>
      <c r="L362" s="5" t="s">
        <v>370</v>
      </c>
      <c r="M362" s="5" t="s">
        <v>370</v>
      </c>
      <c r="N362" s="36">
        <v>58</v>
      </c>
      <c r="O362" s="36">
        <v>27</v>
      </c>
      <c r="P362" s="4">
        <f t="shared" si="70"/>
        <v>0.46551724137931033</v>
      </c>
      <c r="Q362" s="11">
        <v>20</v>
      </c>
      <c r="R362" s="36">
        <v>9</v>
      </c>
      <c r="S362" s="36">
        <v>7.3</v>
      </c>
      <c r="T362" s="4">
        <f t="shared" si="71"/>
        <v>0.81111111111111112</v>
      </c>
      <c r="U362" s="11">
        <v>10</v>
      </c>
      <c r="V362" s="36">
        <v>3</v>
      </c>
      <c r="W362" s="36">
        <v>2.8</v>
      </c>
      <c r="X362" s="4">
        <f t="shared" si="72"/>
        <v>0.93333333333333324</v>
      </c>
      <c r="Y362" s="11">
        <v>40</v>
      </c>
      <c r="Z362" s="45">
        <f t="shared" si="79"/>
        <v>0.83086343732895451</v>
      </c>
      <c r="AA362" s="46">
        <v>1304</v>
      </c>
      <c r="AB362" s="36">
        <f t="shared" si="73"/>
        <v>118.54545454545455</v>
      </c>
      <c r="AC362" s="36">
        <f t="shared" si="74"/>
        <v>98.5</v>
      </c>
      <c r="AD362" s="36">
        <f t="shared" si="75"/>
        <v>-20.045454545454547</v>
      </c>
      <c r="AE362" s="36">
        <v>8.1</v>
      </c>
      <c r="AF362" s="36">
        <f t="shared" si="76"/>
        <v>106.6</v>
      </c>
      <c r="AG362" s="36"/>
      <c r="AH362" s="36">
        <f t="shared" si="77"/>
        <v>106.6</v>
      </c>
      <c r="AI362" s="36"/>
      <c r="AJ362" s="36">
        <f t="shared" si="78"/>
        <v>106.6</v>
      </c>
    </row>
    <row r="363" spans="1:36" s="2" customFormat="1" ht="16.95" customHeight="1">
      <c r="A363" s="47" t="s">
        <v>354</v>
      </c>
      <c r="B363" s="36">
        <v>7314</v>
      </c>
      <c r="C363" s="36">
        <v>6760</v>
      </c>
      <c r="D363" s="4">
        <f t="shared" si="69"/>
        <v>0.92425485370522287</v>
      </c>
      <c r="E363" s="11">
        <v>10</v>
      </c>
      <c r="F363" s="5" t="s">
        <v>370</v>
      </c>
      <c r="G363" s="5" t="s">
        <v>370</v>
      </c>
      <c r="H363" s="5" t="s">
        <v>370</v>
      </c>
      <c r="I363" s="5" t="s">
        <v>370</v>
      </c>
      <c r="J363" s="5" t="s">
        <v>370</v>
      </c>
      <c r="K363" s="5" t="s">
        <v>370</v>
      </c>
      <c r="L363" s="5" t="s">
        <v>370</v>
      </c>
      <c r="M363" s="5" t="s">
        <v>370</v>
      </c>
      <c r="N363" s="36">
        <v>680.7</v>
      </c>
      <c r="O363" s="36">
        <v>779.6</v>
      </c>
      <c r="P363" s="4">
        <f t="shared" si="70"/>
        <v>1.1452916115763185</v>
      </c>
      <c r="Q363" s="11">
        <v>20</v>
      </c>
      <c r="R363" s="36">
        <v>5</v>
      </c>
      <c r="S363" s="36">
        <v>5.5</v>
      </c>
      <c r="T363" s="4">
        <f t="shared" si="71"/>
        <v>1.1000000000000001</v>
      </c>
      <c r="U363" s="11">
        <v>25</v>
      </c>
      <c r="V363" s="36">
        <v>1</v>
      </c>
      <c r="W363" s="36">
        <v>0.9</v>
      </c>
      <c r="X363" s="4">
        <f t="shared" si="72"/>
        <v>0.9</v>
      </c>
      <c r="Y363" s="11">
        <v>25</v>
      </c>
      <c r="Z363" s="45">
        <f t="shared" si="79"/>
        <v>1.0268547596072326</v>
      </c>
      <c r="AA363" s="46">
        <v>4499</v>
      </c>
      <c r="AB363" s="36">
        <f t="shared" si="73"/>
        <v>409</v>
      </c>
      <c r="AC363" s="36">
        <f t="shared" si="74"/>
        <v>420</v>
      </c>
      <c r="AD363" s="36">
        <f t="shared" si="75"/>
        <v>11</v>
      </c>
      <c r="AE363" s="36">
        <v>17.7</v>
      </c>
      <c r="AF363" s="36">
        <f t="shared" si="76"/>
        <v>437.7</v>
      </c>
      <c r="AG363" s="36"/>
      <c r="AH363" s="36">
        <f t="shared" si="77"/>
        <v>437.7</v>
      </c>
      <c r="AI363" s="36"/>
      <c r="AJ363" s="36">
        <f t="shared" si="78"/>
        <v>437.7</v>
      </c>
    </row>
    <row r="364" spans="1:36" s="2" customFormat="1" ht="16.95" customHeight="1">
      <c r="A364" s="18" t="s">
        <v>355</v>
      </c>
      <c r="B364" s="6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</row>
    <row r="365" spans="1:36" s="2" customFormat="1" ht="16.95" customHeight="1">
      <c r="A365" s="14" t="s">
        <v>356</v>
      </c>
      <c r="B365" s="36">
        <v>950</v>
      </c>
      <c r="C365" s="36">
        <v>904</v>
      </c>
      <c r="D365" s="4">
        <f t="shared" si="69"/>
        <v>0.95157894736842108</v>
      </c>
      <c r="E365" s="11">
        <v>10</v>
      </c>
      <c r="F365" s="5" t="s">
        <v>370</v>
      </c>
      <c r="G365" s="5" t="s">
        <v>370</v>
      </c>
      <c r="H365" s="5" t="s">
        <v>370</v>
      </c>
      <c r="I365" s="5" t="s">
        <v>370</v>
      </c>
      <c r="J365" s="5" t="s">
        <v>370</v>
      </c>
      <c r="K365" s="5" t="s">
        <v>370</v>
      </c>
      <c r="L365" s="5" t="s">
        <v>370</v>
      </c>
      <c r="M365" s="5" t="s">
        <v>370</v>
      </c>
      <c r="N365" s="36">
        <v>77.3</v>
      </c>
      <c r="O365" s="36">
        <v>53.4</v>
      </c>
      <c r="P365" s="4">
        <f t="shared" si="70"/>
        <v>0.69081500646830529</v>
      </c>
      <c r="Q365" s="11">
        <v>20</v>
      </c>
      <c r="R365" s="36">
        <v>0</v>
      </c>
      <c r="S365" s="36">
        <v>0</v>
      </c>
      <c r="T365" s="4">
        <f t="shared" si="71"/>
        <v>1</v>
      </c>
      <c r="U365" s="11">
        <v>15</v>
      </c>
      <c r="V365" s="36">
        <v>0</v>
      </c>
      <c r="W365" s="36">
        <v>0</v>
      </c>
      <c r="X365" s="4">
        <f t="shared" si="72"/>
        <v>1</v>
      </c>
      <c r="Y365" s="11">
        <v>35</v>
      </c>
      <c r="Z365" s="45">
        <f t="shared" si="79"/>
        <v>0.91665112003812899</v>
      </c>
      <c r="AA365" s="46">
        <v>2851</v>
      </c>
      <c r="AB365" s="36">
        <f t="shared" si="73"/>
        <v>259.18181818181819</v>
      </c>
      <c r="AC365" s="36">
        <f t="shared" si="74"/>
        <v>237.6</v>
      </c>
      <c r="AD365" s="36">
        <f t="shared" si="75"/>
        <v>-21.581818181818193</v>
      </c>
      <c r="AE365" s="36">
        <v>11.4</v>
      </c>
      <c r="AF365" s="36">
        <f t="shared" si="76"/>
        <v>249</v>
      </c>
      <c r="AG365" s="36"/>
      <c r="AH365" s="36">
        <f t="shared" si="77"/>
        <v>249</v>
      </c>
      <c r="AI365" s="36"/>
      <c r="AJ365" s="36">
        <f t="shared" si="78"/>
        <v>249</v>
      </c>
    </row>
    <row r="366" spans="1:36" s="2" customFormat="1" ht="16.95" customHeight="1">
      <c r="A366" s="14" t="s">
        <v>357</v>
      </c>
      <c r="B366" s="36">
        <v>0</v>
      </c>
      <c r="C366" s="36">
        <v>60</v>
      </c>
      <c r="D366" s="4">
        <f t="shared" si="69"/>
        <v>0</v>
      </c>
      <c r="E366" s="11">
        <v>0</v>
      </c>
      <c r="F366" s="5" t="s">
        <v>370</v>
      </c>
      <c r="G366" s="5" t="s">
        <v>370</v>
      </c>
      <c r="H366" s="5" t="s">
        <v>370</v>
      </c>
      <c r="I366" s="5" t="s">
        <v>370</v>
      </c>
      <c r="J366" s="5" t="s">
        <v>370</v>
      </c>
      <c r="K366" s="5" t="s">
        <v>370</v>
      </c>
      <c r="L366" s="5" t="s">
        <v>370</v>
      </c>
      <c r="M366" s="5" t="s">
        <v>370</v>
      </c>
      <c r="N366" s="36">
        <v>70.7</v>
      </c>
      <c r="O366" s="36">
        <v>54.6</v>
      </c>
      <c r="P366" s="4">
        <f t="shared" si="70"/>
        <v>0.7722772277227723</v>
      </c>
      <c r="Q366" s="11">
        <v>20</v>
      </c>
      <c r="R366" s="36">
        <v>5</v>
      </c>
      <c r="S366" s="36">
        <v>5.4</v>
      </c>
      <c r="T366" s="4">
        <f t="shared" si="71"/>
        <v>1.08</v>
      </c>
      <c r="U366" s="11">
        <v>25</v>
      </c>
      <c r="V366" s="36">
        <v>0</v>
      </c>
      <c r="W366" s="36">
        <v>0.3</v>
      </c>
      <c r="X366" s="4">
        <f t="shared" si="72"/>
        <v>1</v>
      </c>
      <c r="Y366" s="11">
        <v>25</v>
      </c>
      <c r="Z366" s="45">
        <f t="shared" si="79"/>
        <v>0.96350777934936338</v>
      </c>
      <c r="AA366" s="46">
        <v>2699</v>
      </c>
      <c r="AB366" s="36">
        <f t="shared" si="73"/>
        <v>245.36363636363637</v>
      </c>
      <c r="AC366" s="36">
        <f t="shared" si="74"/>
        <v>236.4</v>
      </c>
      <c r="AD366" s="36">
        <f t="shared" si="75"/>
        <v>-8.9636363636363683</v>
      </c>
      <c r="AE366" s="36">
        <v>-1.7</v>
      </c>
      <c r="AF366" s="36">
        <f t="shared" si="76"/>
        <v>234.7</v>
      </c>
      <c r="AG366" s="36"/>
      <c r="AH366" s="36">
        <f t="shared" si="77"/>
        <v>234.7</v>
      </c>
      <c r="AI366" s="36"/>
      <c r="AJ366" s="36">
        <f t="shared" si="78"/>
        <v>234.7</v>
      </c>
    </row>
    <row r="367" spans="1:36" s="2" customFormat="1" ht="16.95" customHeight="1">
      <c r="A367" s="47" t="s">
        <v>358</v>
      </c>
      <c r="B367" s="36">
        <v>1400</v>
      </c>
      <c r="C367" s="36">
        <v>1394</v>
      </c>
      <c r="D367" s="4">
        <f t="shared" ref="D367:D376" si="80">IF(E367=0,0,IF(B367=0,1,IF(C367&lt;0,0,IF(C367/B367&gt;1.2,IF((C367/B367-1.2)*0.1+1.2&gt;1.3,1.3,(C367/B367-1.2)*0.1+1.2),C367/B367))))</f>
        <v>0.99571428571428566</v>
      </c>
      <c r="E367" s="11">
        <v>10</v>
      </c>
      <c r="F367" s="5" t="s">
        <v>370</v>
      </c>
      <c r="G367" s="5" t="s">
        <v>370</v>
      </c>
      <c r="H367" s="5" t="s">
        <v>370</v>
      </c>
      <c r="I367" s="5" t="s">
        <v>370</v>
      </c>
      <c r="J367" s="5" t="s">
        <v>370</v>
      </c>
      <c r="K367" s="5" t="s">
        <v>370</v>
      </c>
      <c r="L367" s="5" t="s">
        <v>370</v>
      </c>
      <c r="M367" s="5" t="s">
        <v>370</v>
      </c>
      <c r="N367" s="36">
        <v>400.1</v>
      </c>
      <c r="O367" s="36">
        <v>4770.8</v>
      </c>
      <c r="P367" s="4">
        <f t="shared" ref="P367:P376" si="81">IF(Q367=0,0,IF(N367=0,1,IF(O367&lt;0,0,IF(O367/N367&gt;1.2,IF((O367/N367-1.2)*0.1+1.2&gt;1.3,1.3,(O367/N367-1.2)*0.1+1.2),O367/N367))))</f>
        <v>1.3</v>
      </c>
      <c r="Q367" s="11">
        <v>20</v>
      </c>
      <c r="R367" s="36">
        <v>0</v>
      </c>
      <c r="S367" s="36">
        <v>0</v>
      </c>
      <c r="T367" s="4">
        <f t="shared" ref="T367:T376" si="82">IF(U367=0,0,IF(R367=0,1,IF(S367&lt;0,0,IF(S367/R367&gt;1.2,IF((S367/R367-1.2)*0.1+1.2&gt;1.3,1.3,(S367/R367-1.2)*0.1+1.2),S367/R367))))</f>
        <v>1</v>
      </c>
      <c r="U367" s="11">
        <v>15</v>
      </c>
      <c r="V367" s="36">
        <v>0</v>
      </c>
      <c r="W367" s="36">
        <v>0</v>
      </c>
      <c r="X367" s="4">
        <f t="shared" ref="X367:X376" si="83">IF(Y367=0,0,IF(V367=0,1,IF(W367&lt;0,0,IF(W367/V367&gt;1.2,IF((W367/V367-1.2)*0.1+1.2&gt;1.3,1.3,(W367/V367-1.2)*0.1+1.2),W367/V367))))</f>
        <v>1</v>
      </c>
      <c r="Y367" s="11">
        <v>35</v>
      </c>
      <c r="Z367" s="45">
        <f t="shared" si="79"/>
        <v>1.0744642857142856</v>
      </c>
      <c r="AA367" s="46">
        <v>23</v>
      </c>
      <c r="AB367" s="36">
        <f t="shared" ref="AB367:AB376" si="84">AA367/11</f>
        <v>2.0909090909090908</v>
      </c>
      <c r="AC367" s="36">
        <f t="shared" ref="AC367:AC376" si="85">ROUND(Z367*AB367,1)</f>
        <v>2.2000000000000002</v>
      </c>
      <c r="AD367" s="36">
        <f t="shared" ref="AD367:AD376" si="86">AC367-AB367</f>
        <v>0.10909090909090935</v>
      </c>
      <c r="AE367" s="36">
        <v>0</v>
      </c>
      <c r="AF367" s="36">
        <f t="shared" ref="AF367:AF376" si="87">IF((AC367+AE367)&gt;0,ROUND(AC367+AE367,1),0)</f>
        <v>2.2000000000000002</v>
      </c>
      <c r="AG367" s="36">
        <f>MIN(AF367,1)</f>
        <v>1</v>
      </c>
      <c r="AH367" s="36">
        <f t="shared" ref="AH367:AH376" si="88">IF((AF367-AG367)&gt;0,ROUND(AF367-AG367,1),0)</f>
        <v>1.2</v>
      </c>
      <c r="AI367" s="36"/>
      <c r="AJ367" s="36">
        <f t="shared" ref="AJ367:AJ376" si="89">IF((AH367-AI367)&gt;0,ROUND(AH367-AI367,1),0)</f>
        <v>1.2</v>
      </c>
    </row>
    <row r="368" spans="1:36" s="2" customFormat="1" ht="16.95" customHeight="1">
      <c r="A368" s="14" t="s">
        <v>359</v>
      </c>
      <c r="B368" s="36">
        <v>0</v>
      </c>
      <c r="C368" s="36">
        <v>0</v>
      </c>
      <c r="D368" s="4">
        <f t="shared" si="80"/>
        <v>0</v>
      </c>
      <c r="E368" s="11">
        <v>0</v>
      </c>
      <c r="F368" s="5" t="s">
        <v>370</v>
      </c>
      <c r="G368" s="5" t="s">
        <v>370</v>
      </c>
      <c r="H368" s="5" t="s">
        <v>370</v>
      </c>
      <c r="I368" s="5" t="s">
        <v>370</v>
      </c>
      <c r="J368" s="5" t="s">
        <v>370</v>
      </c>
      <c r="K368" s="5" t="s">
        <v>370</v>
      </c>
      <c r="L368" s="5" t="s">
        <v>370</v>
      </c>
      <c r="M368" s="5" t="s">
        <v>370</v>
      </c>
      <c r="N368" s="36">
        <v>44.6</v>
      </c>
      <c r="O368" s="36">
        <v>27.1</v>
      </c>
      <c r="P368" s="4">
        <f t="shared" si="81"/>
        <v>0.6076233183856502</v>
      </c>
      <c r="Q368" s="11">
        <v>20</v>
      </c>
      <c r="R368" s="36">
        <v>0</v>
      </c>
      <c r="S368" s="36">
        <v>0</v>
      </c>
      <c r="T368" s="4">
        <f t="shared" si="82"/>
        <v>1</v>
      </c>
      <c r="U368" s="11">
        <v>20</v>
      </c>
      <c r="V368" s="36">
        <v>0</v>
      </c>
      <c r="W368" s="36">
        <v>0</v>
      </c>
      <c r="X368" s="4">
        <f t="shared" si="83"/>
        <v>1</v>
      </c>
      <c r="Y368" s="11">
        <v>30</v>
      </c>
      <c r="Z368" s="45">
        <f t="shared" ref="Z368:Z376" si="90">(D368*E368+P368*Q368+T368*U368+X368*Y368)/(E368+Q368+U368+Y368)</f>
        <v>0.88789237668161436</v>
      </c>
      <c r="AA368" s="46">
        <v>2022</v>
      </c>
      <c r="AB368" s="36">
        <f t="shared" si="84"/>
        <v>183.81818181818181</v>
      </c>
      <c r="AC368" s="36">
        <f t="shared" si="85"/>
        <v>163.19999999999999</v>
      </c>
      <c r="AD368" s="36">
        <f t="shared" si="86"/>
        <v>-20.618181818181824</v>
      </c>
      <c r="AE368" s="36">
        <v>0.6</v>
      </c>
      <c r="AF368" s="36">
        <f t="shared" si="87"/>
        <v>163.80000000000001</v>
      </c>
      <c r="AG368" s="36">
        <f>MIN(AF368,75.6)</f>
        <v>75.599999999999994</v>
      </c>
      <c r="AH368" s="36">
        <f t="shared" si="88"/>
        <v>88.2</v>
      </c>
      <c r="AI368" s="36"/>
      <c r="AJ368" s="36">
        <f t="shared" si="89"/>
        <v>88.2</v>
      </c>
    </row>
    <row r="369" spans="1:36" s="2" customFormat="1" ht="16.95" customHeight="1">
      <c r="A369" s="14" t="s">
        <v>360</v>
      </c>
      <c r="B369" s="36">
        <v>521</v>
      </c>
      <c r="C369" s="36">
        <v>863.5</v>
      </c>
      <c r="D369" s="4">
        <f t="shared" si="80"/>
        <v>1.2457389635316698</v>
      </c>
      <c r="E369" s="11">
        <v>10</v>
      </c>
      <c r="F369" s="5" t="s">
        <v>370</v>
      </c>
      <c r="G369" s="5" t="s">
        <v>370</v>
      </c>
      <c r="H369" s="5" t="s">
        <v>370</v>
      </c>
      <c r="I369" s="5" t="s">
        <v>370</v>
      </c>
      <c r="J369" s="5" t="s">
        <v>370</v>
      </c>
      <c r="K369" s="5" t="s">
        <v>370</v>
      </c>
      <c r="L369" s="5" t="s">
        <v>370</v>
      </c>
      <c r="M369" s="5" t="s">
        <v>370</v>
      </c>
      <c r="N369" s="36">
        <v>625.4</v>
      </c>
      <c r="O369" s="36">
        <v>814.2</v>
      </c>
      <c r="P369" s="4">
        <f t="shared" si="81"/>
        <v>1.2101886792452829</v>
      </c>
      <c r="Q369" s="11">
        <v>20</v>
      </c>
      <c r="R369" s="36">
        <v>10</v>
      </c>
      <c r="S369" s="36">
        <v>10.199999999999999</v>
      </c>
      <c r="T369" s="4">
        <f t="shared" si="82"/>
        <v>1.02</v>
      </c>
      <c r="U369" s="11">
        <v>20</v>
      </c>
      <c r="V369" s="36">
        <v>5</v>
      </c>
      <c r="W369" s="36">
        <v>2.2999999999999998</v>
      </c>
      <c r="X369" s="4">
        <f t="shared" si="83"/>
        <v>0.45999999999999996</v>
      </c>
      <c r="Y369" s="11">
        <v>30</v>
      </c>
      <c r="Z369" s="45">
        <f t="shared" si="90"/>
        <v>0.8857645402527794</v>
      </c>
      <c r="AA369" s="46">
        <v>1238</v>
      </c>
      <c r="AB369" s="36">
        <f t="shared" si="84"/>
        <v>112.54545454545455</v>
      </c>
      <c r="AC369" s="36">
        <f t="shared" si="85"/>
        <v>99.7</v>
      </c>
      <c r="AD369" s="36">
        <f t="shared" si="86"/>
        <v>-12.845454545454544</v>
      </c>
      <c r="AE369" s="36">
        <v>0</v>
      </c>
      <c r="AF369" s="36">
        <f t="shared" si="87"/>
        <v>99.7</v>
      </c>
      <c r="AG369" s="36">
        <f>MIN(AF369,19.4)</f>
        <v>19.399999999999999</v>
      </c>
      <c r="AH369" s="36">
        <f t="shared" si="88"/>
        <v>80.3</v>
      </c>
      <c r="AI369" s="36"/>
      <c r="AJ369" s="36">
        <f t="shared" si="89"/>
        <v>80.3</v>
      </c>
    </row>
    <row r="370" spans="1:36" s="2" customFormat="1" ht="16.95" customHeight="1">
      <c r="A370" s="14" t="s">
        <v>361</v>
      </c>
      <c r="B370" s="36">
        <v>50</v>
      </c>
      <c r="C370" s="36">
        <v>47.7</v>
      </c>
      <c r="D370" s="4">
        <f t="shared" si="80"/>
        <v>0.95400000000000007</v>
      </c>
      <c r="E370" s="11">
        <v>10</v>
      </c>
      <c r="F370" s="5" t="s">
        <v>370</v>
      </c>
      <c r="G370" s="5" t="s">
        <v>370</v>
      </c>
      <c r="H370" s="5" t="s">
        <v>370</v>
      </c>
      <c r="I370" s="5" t="s">
        <v>370</v>
      </c>
      <c r="J370" s="5" t="s">
        <v>370</v>
      </c>
      <c r="K370" s="5" t="s">
        <v>370</v>
      </c>
      <c r="L370" s="5" t="s">
        <v>370</v>
      </c>
      <c r="M370" s="5" t="s">
        <v>370</v>
      </c>
      <c r="N370" s="36">
        <v>108.9</v>
      </c>
      <c r="O370" s="36">
        <v>130.69999999999999</v>
      </c>
      <c r="P370" s="4">
        <f t="shared" si="81"/>
        <v>1.2000183654729109</v>
      </c>
      <c r="Q370" s="11">
        <v>20</v>
      </c>
      <c r="R370" s="36">
        <v>10</v>
      </c>
      <c r="S370" s="36">
        <v>10.4</v>
      </c>
      <c r="T370" s="4">
        <f t="shared" si="82"/>
        <v>1.04</v>
      </c>
      <c r="U370" s="11">
        <v>20</v>
      </c>
      <c r="V370" s="36">
        <v>0</v>
      </c>
      <c r="W370" s="36">
        <v>0.4</v>
      </c>
      <c r="X370" s="4">
        <f t="shared" si="83"/>
        <v>1</v>
      </c>
      <c r="Y370" s="11">
        <v>30</v>
      </c>
      <c r="Z370" s="45">
        <f t="shared" si="90"/>
        <v>1.0542545913682277</v>
      </c>
      <c r="AA370" s="46">
        <v>4202</v>
      </c>
      <c r="AB370" s="36">
        <f t="shared" si="84"/>
        <v>382</v>
      </c>
      <c r="AC370" s="36">
        <f t="shared" si="85"/>
        <v>402.7</v>
      </c>
      <c r="AD370" s="36">
        <f t="shared" si="86"/>
        <v>20.699999999999989</v>
      </c>
      <c r="AE370" s="36">
        <v>-1.8</v>
      </c>
      <c r="AF370" s="36">
        <f t="shared" si="87"/>
        <v>400.9</v>
      </c>
      <c r="AG370" s="36"/>
      <c r="AH370" s="36">
        <f t="shared" si="88"/>
        <v>400.9</v>
      </c>
      <c r="AI370" s="36"/>
      <c r="AJ370" s="36">
        <f t="shared" si="89"/>
        <v>400.9</v>
      </c>
    </row>
    <row r="371" spans="1:36" s="2" customFormat="1" ht="16.95" customHeight="1">
      <c r="A371" s="14" t="s">
        <v>362</v>
      </c>
      <c r="B371" s="36">
        <v>0</v>
      </c>
      <c r="C371" s="36">
        <v>0</v>
      </c>
      <c r="D371" s="4">
        <f t="shared" si="80"/>
        <v>0</v>
      </c>
      <c r="E371" s="11">
        <v>0</v>
      </c>
      <c r="F371" s="5" t="s">
        <v>370</v>
      </c>
      <c r="G371" s="5" t="s">
        <v>370</v>
      </c>
      <c r="H371" s="5" t="s">
        <v>370</v>
      </c>
      <c r="I371" s="5" t="s">
        <v>370</v>
      </c>
      <c r="J371" s="5" t="s">
        <v>370</v>
      </c>
      <c r="K371" s="5" t="s">
        <v>370</v>
      </c>
      <c r="L371" s="5" t="s">
        <v>370</v>
      </c>
      <c r="M371" s="5" t="s">
        <v>370</v>
      </c>
      <c r="N371" s="36">
        <v>57.5</v>
      </c>
      <c r="O371" s="36">
        <v>33.1</v>
      </c>
      <c r="P371" s="4">
        <f t="shared" si="81"/>
        <v>0.57565217391304346</v>
      </c>
      <c r="Q371" s="11">
        <v>20</v>
      </c>
      <c r="R371" s="36">
        <v>0</v>
      </c>
      <c r="S371" s="36">
        <v>0.3</v>
      </c>
      <c r="T371" s="4">
        <f t="shared" si="82"/>
        <v>1</v>
      </c>
      <c r="U371" s="11">
        <v>30</v>
      </c>
      <c r="V371" s="36">
        <v>0</v>
      </c>
      <c r="W371" s="36">
        <v>0</v>
      </c>
      <c r="X371" s="4">
        <f t="shared" si="83"/>
        <v>1</v>
      </c>
      <c r="Y371" s="11">
        <v>20</v>
      </c>
      <c r="Z371" s="45">
        <f t="shared" si="90"/>
        <v>0.87875776397515526</v>
      </c>
      <c r="AA371" s="46">
        <v>1690</v>
      </c>
      <c r="AB371" s="36">
        <f t="shared" si="84"/>
        <v>153.63636363636363</v>
      </c>
      <c r="AC371" s="36">
        <f t="shared" si="85"/>
        <v>135</v>
      </c>
      <c r="AD371" s="36">
        <f t="shared" si="86"/>
        <v>-18.636363636363626</v>
      </c>
      <c r="AE371" s="36">
        <v>-0.1</v>
      </c>
      <c r="AF371" s="36">
        <f t="shared" si="87"/>
        <v>134.9</v>
      </c>
      <c r="AG371" s="36"/>
      <c r="AH371" s="36">
        <f t="shared" si="88"/>
        <v>134.9</v>
      </c>
      <c r="AI371" s="36"/>
      <c r="AJ371" s="36">
        <f t="shared" si="89"/>
        <v>134.9</v>
      </c>
    </row>
    <row r="372" spans="1:36" s="2" customFormat="1" ht="16.95" customHeight="1">
      <c r="A372" s="14" t="s">
        <v>363</v>
      </c>
      <c r="B372" s="36">
        <v>0</v>
      </c>
      <c r="C372" s="36">
        <v>0</v>
      </c>
      <c r="D372" s="4">
        <f t="shared" si="80"/>
        <v>0</v>
      </c>
      <c r="E372" s="11">
        <v>0</v>
      </c>
      <c r="F372" s="5" t="s">
        <v>370</v>
      </c>
      <c r="G372" s="5" t="s">
        <v>370</v>
      </c>
      <c r="H372" s="5" t="s">
        <v>370</v>
      </c>
      <c r="I372" s="5" t="s">
        <v>370</v>
      </c>
      <c r="J372" s="5" t="s">
        <v>370</v>
      </c>
      <c r="K372" s="5" t="s">
        <v>370</v>
      </c>
      <c r="L372" s="5" t="s">
        <v>370</v>
      </c>
      <c r="M372" s="5" t="s">
        <v>370</v>
      </c>
      <c r="N372" s="36">
        <v>20.100000000000001</v>
      </c>
      <c r="O372" s="36">
        <v>77</v>
      </c>
      <c r="P372" s="4">
        <f t="shared" si="81"/>
        <v>1.3</v>
      </c>
      <c r="Q372" s="11">
        <v>20</v>
      </c>
      <c r="R372" s="36">
        <v>5</v>
      </c>
      <c r="S372" s="36">
        <v>5.5</v>
      </c>
      <c r="T372" s="4">
        <f t="shared" si="82"/>
        <v>1.1000000000000001</v>
      </c>
      <c r="U372" s="11">
        <v>25</v>
      </c>
      <c r="V372" s="36">
        <v>0</v>
      </c>
      <c r="W372" s="36">
        <v>0</v>
      </c>
      <c r="X372" s="4">
        <f t="shared" si="83"/>
        <v>1</v>
      </c>
      <c r="Y372" s="11">
        <v>25</v>
      </c>
      <c r="Z372" s="45">
        <f t="shared" si="90"/>
        <v>1.1214285714285714</v>
      </c>
      <c r="AA372" s="46">
        <v>2212</v>
      </c>
      <c r="AB372" s="36">
        <f t="shared" si="84"/>
        <v>201.09090909090909</v>
      </c>
      <c r="AC372" s="36">
        <f t="shared" si="85"/>
        <v>225.5</v>
      </c>
      <c r="AD372" s="36">
        <f t="shared" si="86"/>
        <v>24.409090909090907</v>
      </c>
      <c r="AE372" s="36">
        <v>7</v>
      </c>
      <c r="AF372" s="36">
        <f t="shared" si="87"/>
        <v>232.5</v>
      </c>
      <c r="AG372" s="36"/>
      <c r="AH372" s="36">
        <f t="shared" si="88"/>
        <v>232.5</v>
      </c>
      <c r="AI372" s="36"/>
      <c r="AJ372" s="36">
        <f t="shared" si="89"/>
        <v>232.5</v>
      </c>
    </row>
    <row r="373" spans="1:36" s="2" customFormat="1" ht="16.95" customHeight="1">
      <c r="A373" s="14" t="s">
        <v>364</v>
      </c>
      <c r="B373" s="36">
        <v>0</v>
      </c>
      <c r="C373" s="36">
        <v>0</v>
      </c>
      <c r="D373" s="4">
        <f t="shared" si="80"/>
        <v>0</v>
      </c>
      <c r="E373" s="11">
        <v>0</v>
      </c>
      <c r="F373" s="5" t="s">
        <v>370</v>
      </c>
      <c r="G373" s="5" t="s">
        <v>370</v>
      </c>
      <c r="H373" s="5" t="s">
        <v>370</v>
      </c>
      <c r="I373" s="5" t="s">
        <v>370</v>
      </c>
      <c r="J373" s="5" t="s">
        <v>370</v>
      </c>
      <c r="K373" s="5" t="s">
        <v>370</v>
      </c>
      <c r="L373" s="5" t="s">
        <v>370</v>
      </c>
      <c r="M373" s="5" t="s">
        <v>370</v>
      </c>
      <c r="N373" s="36">
        <v>58.3</v>
      </c>
      <c r="O373" s="36">
        <v>22.1</v>
      </c>
      <c r="P373" s="4">
        <f t="shared" si="81"/>
        <v>0.37907375643224706</v>
      </c>
      <c r="Q373" s="11">
        <v>20</v>
      </c>
      <c r="R373" s="36">
        <v>0</v>
      </c>
      <c r="S373" s="36">
        <v>0</v>
      </c>
      <c r="T373" s="4">
        <f t="shared" si="82"/>
        <v>1</v>
      </c>
      <c r="U373" s="11">
        <v>20</v>
      </c>
      <c r="V373" s="36">
        <v>0</v>
      </c>
      <c r="W373" s="36">
        <v>1</v>
      </c>
      <c r="X373" s="4">
        <f t="shared" si="83"/>
        <v>1</v>
      </c>
      <c r="Y373" s="11">
        <v>30</v>
      </c>
      <c r="Z373" s="45">
        <f t="shared" si="90"/>
        <v>0.82259250183778487</v>
      </c>
      <c r="AA373" s="46">
        <v>3361</v>
      </c>
      <c r="AB373" s="36">
        <f t="shared" si="84"/>
        <v>305.54545454545456</v>
      </c>
      <c r="AC373" s="36">
        <f t="shared" si="85"/>
        <v>251.3</v>
      </c>
      <c r="AD373" s="36">
        <f t="shared" si="86"/>
        <v>-54.24545454545455</v>
      </c>
      <c r="AE373" s="36">
        <v>10.199999999999999</v>
      </c>
      <c r="AF373" s="36">
        <f t="shared" si="87"/>
        <v>261.5</v>
      </c>
      <c r="AG373" s="36"/>
      <c r="AH373" s="36">
        <f t="shared" si="88"/>
        <v>261.5</v>
      </c>
      <c r="AI373" s="36"/>
      <c r="AJ373" s="36">
        <f t="shared" si="89"/>
        <v>261.5</v>
      </c>
    </row>
    <row r="374" spans="1:36" s="2" customFormat="1" ht="16.95" customHeight="1">
      <c r="A374" s="14" t="s">
        <v>365</v>
      </c>
      <c r="B374" s="36">
        <v>0</v>
      </c>
      <c r="C374" s="36">
        <v>0</v>
      </c>
      <c r="D374" s="4">
        <f t="shared" si="80"/>
        <v>0</v>
      </c>
      <c r="E374" s="11">
        <v>0</v>
      </c>
      <c r="F374" s="5" t="s">
        <v>370</v>
      </c>
      <c r="G374" s="5" t="s">
        <v>370</v>
      </c>
      <c r="H374" s="5" t="s">
        <v>370</v>
      </c>
      <c r="I374" s="5" t="s">
        <v>370</v>
      </c>
      <c r="J374" s="5" t="s">
        <v>370</v>
      </c>
      <c r="K374" s="5" t="s">
        <v>370</v>
      </c>
      <c r="L374" s="5" t="s">
        <v>370</v>
      </c>
      <c r="M374" s="5" t="s">
        <v>370</v>
      </c>
      <c r="N374" s="36">
        <v>23.1</v>
      </c>
      <c r="O374" s="36">
        <v>19.5</v>
      </c>
      <c r="P374" s="4">
        <f t="shared" si="81"/>
        <v>0.8441558441558441</v>
      </c>
      <c r="Q374" s="11">
        <v>20</v>
      </c>
      <c r="R374" s="36">
        <v>6</v>
      </c>
      <c r="S374" s="36">
        <v>6.5</v>
      </c>
      <c r="T374" s="4">
        <f t="shared" si="82"/>
        <v>1.0833333333333333</v>
      </c>
      <c r="U374" s="11">
        <v>20</v>
      </c>
      <c r="V374" s="36">
        <v>0</v>
      </c>
      <c r="W374" s="36">
        <v>0</v>
      </c>
      <c r="X374" s="4">
        <f t="shared" si="83"/>
        <v>1</v>
      </c>
      <c r="Y374" s="11">
        <v>30</v>
      </c>
      <c r="Z374" s="45">
        <f t="shared" si="90"/>
        <v>0.97928262213976491</v>
      </c>
      <c r="AA374" s="46">
        <v>1560</v>
      </c>
      <c r="AB374" s="36">
        <f t="shared" si="84"/>
        <v>141.81818181818181</v>
      </c>
      <c r="AC374" s="36">
        <f t="shared" si="85"/>
        <v>138.9</v>
      </c>
      <c r="AD374" s="36">
        <f t="shared" si="86"/>
        <v>-2.9181818181818073</v>
      </c>
      <c r="AE374" s="36">
        <v>8.6999999999999993</v>
      </c>
      <c r="AF374" s="36">
        <f t="shared" si="87"/>
        <v>147.6</v>
      </c>
      <c r="AG374" s="36"/>
      <c r="AH374" s="36">
        <f t="shared" si="88"/>
        <v>147.6</v>
      </c>
      <c r="AI374" s="36"/>
      <c r="AJ374" s="36">
        <f t="shared" si="89"/>
        <v>147.6</v>
      </c>
    </row>
    <row r="375" spans="1:36" s="2" customFormat="1" ht="16.95" customHeight="1">
      <c r="A375" s="14" t="s">
        <v>366</v>
      </c>
      <c r="B375" s="36">
        <v>1700</v>
      </c>
      <c r="C375" s="36">
        <v>1648</v>
      </c>
      <c r="D375" s="4">
        <f t="shared" si="80"/>
        <v>0.96941176470588231</v>
      </c>
      <c r="E375" s="11">
        <v>10</v>
      </c>
      <c r="F375" s="5" t="s">
        <v>370</v>
      </c>
      <c r="G375" s="5" t="s">
        <v>370</v>
      </c>
      <c r="H375" s="5" t="s">
        <v>370</v>
      </c>
      <c r="I375" s="5" t="s">
        <v>370</v>
      </c>
      <c r="J375" s="5" t="s">
        <v>370</v>
      </c>
      <c r="K375" s="5" t="s">
        <v>370</v>
      </c>
      <c r="L375" s="5" t="s">
        <v>370</v>
      </c>
      <c r="M375" s="5" t="s">
        <v>370</v>
      </c>
      <c r="N375" s="36">
        <v>175.9</v>
      </c>
      <c r="O375" s="36">
        <v>245</v>
      </c>
      <c r="P375" s="4">
        <f t="shared" si="81"/>
        <v>1.2192836839113133</v>
      </c>
      <c r="Q375" s="11">
        <v>20</v>
      </c>
      <c r="R375" s="36">
        <v>2</v>
      </c>
      <c r="S375" s="36">
        <v>3.1</v>
      </c>
      <c r="T375" s="4">
        <f t="shared" si="82"/>
        <v>1.2349999999999999</v>
      </c>
      <c r="U375" s="11">
        <v>20</v>
      </c>
      <c r="V375" s="36">
        <v>0</v>
      </c>
      <c r="W375" s="36">
        <v>0</v>
      </c>
      <c r="X375" s="4">
        <f t="shared" si="83"/>
        <v>1</v>
      </c>
      <c r="Y375" s="11">
        <v>30</v>
      </c>
      <c r="Z375" s="45">
        <f t="shared" si="90"/>
        <v>1.1097473915660636</v>
      </c>
      <c r="AA375" s="46">
        <v>2705</v>
      </c>
      <c r="AB375" s="36">
        <f t="shared" si="84"/>
        <v>245.90909090909091</v>
      </c>
      <c r="AC375" s="36">
        <f t="shared" si="85"/>
        <v>272.89999999999998</v>
      </c>
      <c r="AD375" s="36">
        <f t="shared" si="86"/>
        <v>26.990909090909071</v>
      </c>
      <c r="AE375" s="36">
        <v>-10.5</v>
      </c>
      <c r="AF375" s="36">
        <f t="shared" si="87"/>
        <v>262.39999999999998</v>
      </c>
      <c r="AG375" s="36"/>
      <c r="AH375" s="36">
        <f t="shared" si="88"/>
        <v>262.39999999999998</v>
      </c>
      <c r="AI375" s="36"/>
      <c r="AJ375" s="36">
        <f t="shared" si="89"/>
        <v>262.39999999999998</v>
      </c>
    </row>
    <row r="376" spans="1:36" s="2" customFormat="1" ht="16.95" customHeight="1">
      <c r="A376" s="14" t="s">
        <v>367</v>
      </c>
      <c r="B376" s="36">
        <v>8100</v>
      </c>
      <c r="C376" s="36">
        <v>6951.1</v>
      </c>
      <c r="D376" s="4">
        <f t="shared" si="80"/>
        <v>0.85816049382716053</v>
      </c>
      <c r="E376" s="11">
        <v>10</v>
      </c>
      <c r="F376" s="5" t="s">
        <v>370</v>
      </c>
      <c r="G376" s="5" t="s">
        <v>370</v>
      </c>
      <c r="H376" s="5" t="s">
        <v>370</v>
      </c>
      <c r="I376" s="5" t="s">
        <v>370</v>
      </c>
      <c r="J376" s="5" t="s">
        <v>370</v>
      </c>
      <c r="K376" s="5" t="s">
        <v>370</v>
      </c>
      <c r="L376" s="5" t="s">
        <v>370</v>
      </c>
      <c r="M376" s="5" t="s">
        <v>370</v>
      </c>
      <c r="N376" s="36">
        <v>806.2</v>
      </c>
      <c r="O376" s="36">
        <v>731.7</v>
      </c>
      <c r="P376" s="4">
        <f t="shared" si="81"/>
        <v>0.90759116844455467</v>
      </c>
      <c r="Q376" s="11">
        <v>20</v>
      </c>
      <c r="R376" s="36">
        <v>0</v>
      </c>
      <c r="S376" s="36">
        <v>0.5</v>
      </c>
      <c r="T376" s="4">
        <f t="shared" si="82"/>
        <v>1</v>
      </c>
      <c r="U376" s="11">
        <v>20</v>
      </c>
      <c r="V376" s="36">
        <v>0</v>
      </c>
      <c r="W376" s="36">
        <v>0</v>
      </c>
      <c r="X376" s="4">
        <f t="shared" si="83"/>
        <v>1</v>
      </c>
      <c r="Y376" s="11">
        <v>30</v>
      </c>
      <c r="Z376" s="45">
        <f t="shared" si="90"/>
        <v>0.95916785383953374</v>
      </c>
      <c r="AA376" s="46">
        <v>3423</v>
      </c>
      <c r="AB376" s="36">
        <f t="shared" si="84"/>
        <v>311.18181818181819</v>
      </c>
      <c r="AC376" s="36">
        <f t="shared" si="85"/>
        <v>298.5</v>
      </c>
      <c r="AD376" s="36">
        <f t="shared" si="86"/>
        <v>-12.681818181818187</v>
      </c>
      <c r="AE376" s="36">
        <v>6.5</v>
      </c>
      <c r="AF376" s="36">
        <f t="shared" si="87"/>
        <v>305</v>
      </c>
      <c r="AG376" s="36">
        <f>MIN(AF376,155.6)</f>
        <v>155.6</v>
      </c>
      <c r="AH376" s="36">
        <f t="shared" si="88"/>
        <v>149.4</v>
      </c>
      <c r="AI376" s="36"/>
      <c r="AJ376" s="36">
        <f t="shared" si="89"/>
        <v>149.4</v>
      </c>
    </row>
    <row r="377" spans="1:36" s="42" customFormat="1" ht="16.95" customHeight="1">
      <c r="A377" s="41" t="s">
        <v>377</v>
      </c>
      <c r="B377" s="43">
        <f>B6+B17</f>
        <v>75505730</v>
      </c>
      <c r="C377" s="43">
        <f>C6+C17</f>
        <v>78752641.299999997</v>
      </c>
      <c r="D377" s="44">
        <f>IF(C377/B377&gt;1.2,IF((C377/B377-1.2)*0.1+1.2&gt;1.3,1.3,(C377/B377-1.2)*0.1+1.2),C377/B377)</f>
        <v>1.0430021840726524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3">
        <f>N6+N17</f>
        <v>3491569.4</v>
      </c>
      <c r="O377" s="43">
        <f>O6+O17</f>
        <v>2806086.7999999993</v>
      </c>
      <c r="P377" s="44">
        <f>IF(O377/N377&gt;1.2,IF((O377/N377-1.2)*0.1+1.2&gt;1.3,1.3,(O377/N377-1.2)*0.1+1.2),O377/N377)</f>
        <v>0.80367493196612372</v>
      </c>
      <c r="Q377" s="41"/>
      <c r="R377" s="43">
        <f>R17</f>
        <v>13110.2</v>
      </c>
      <c r="S377" s="43">
        <f>S17</f>
        <v>14379.299999999997</v>
      </c>
      <c r="T377" s="44">
        <f>IF(S377/R377&gt;1.2,IF((S377/R377-1.2)*0.1+1.2&gt;1.3,1.3,(S377/R377-1.2)*0.1+1.2),S377/R377)</f>
        <v>1.0968024896645359</v>
      </c>
      <c r="U377" s="41"/>
      <c r="V377" s="43">
        <f t="shared" ref="V377:W377" si="91">V17</f>
        <v>5511.0999999999995</v>
      </c>
      <c r="W377" s="43">
        <f t="shared" si="91"/>
        <v>7114.6</v>
      </c>
      <c r="X377" s="44">
        <f>IF(W377/V377&gt;1.2,IF((W377/V377-1.2)*0.1+1.2&gt;1.3,1.3,(W377/V377-1.2)*0.1+1.2),W377/V377)</f>
        <v>1.2090958247899692</v>
      </c>
      <c r="Y377" s="41"/>
      <c r="Z377" s="79">
        <f>AC377/AB377</f>
        <v>0.95866738243434069</v>
      </c>
      <c r="AA377" s="65">
        <f>SUM(AA7:AA376)-AA17-AA45</f>
        <v>3675308</v>
      </c>
      <c r="AB377" s="43">
        <f t="shared" ref="AB377:AJ377" si="92">SUM(AB7:AB376)-AB17-AB45</f>
        <v>334118.90909090918</v>
      </c>
      <c r="AC377" s="43">
        <f>SUM(AC7:AC376)-AC17-AC45</f>
        <v>320308.89999999932</v>
      </c>
      <c r="AD377" s="43">
        <f t="shared" si="92"/>
        <v>-13810.00909090908</v>
      </c>
      <c r="AE377" s="43">
        <f t="shared" si="92"/>
        <v>-12330.69999999999</v>
      </c>
      <c r="AF377" s="43">
        <f t="shared" si="92"/>
        <v>307978.2</v>
      </c>
      <c r="AG377" s="43">
        <f t="shared" si="92"/>
        <v>3590.1000000000031</v>
      </c>
      <c r="AH377" s="43">
        <f t="shared" si="92"/>
        <v>304388.09999999998</v>
      </c>
      <c r="AI377" s="43">
        <f t="shared" si="92"/>
        <v>5273</v>
      </c>
      <c r="AJ377" s="43">
        <f t="shared" si="92"/>
        <v>299115.09999999998</v>
      </c>
    </row>
  </sheetData>
  <mergeCells count="19">
    <mergeCell ref="AG3:AG4"/>
    <mergeCell ref="AH3:AH4"/>
    <mergeCell ref="AI3:AI4"/>
    <mergeCell ref="AJ3:AJ4"/>
    <mergeCell ref="A1:AJ1"/>
    <mergeCell ref="AE3:AE4"/>
    <mergeCell ref="AF3:AF4"/>
    <mergeCell ref="AA3:AA4"/>
    <mergeCell ref="AD3:AD4"/>
    <mergeCell ref="AC3:AC4"/>
    <mergeCell ref="Z3:Z4"/>
    <mergeCell ref="AB3:AB4"/>
    <mergeCell ref="F3:I3"/>
    <mergeCell ref="B3:E3"/>
    <mergeCell ref="J3:M3"/>
    <mergeCell ref="A3:A4"/>
    <mergeCell ref="N3:Q3"/>
    <mergeCell ref="R3:U3"/>
    <mergeCell ref="V3:Y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4" customWidth="1"/>
    <col min="2" max="2" width="10.6640625" style="24" customWidth="1"/>
    <col min="3" max="3" width="11.109375" style="24" customWidth="1"/>
    <col min="4" max="4" width="11" style="24" customWidth="1"/>
    <col min="5" max="5" width="12.6640625" style="24" customWidth="1"/>
    <col min="6" max="6" width="11" style="24" customWidth="1"/>
    <col min="7" max="7" width="11.44140625" style="24" customWidth="1"/>
    <col min="8" max="8" width="12.5546875" style="24" customWidth="1"/>
    <col min="9" max="9" width="10.88671875" style="24" customWidth="1"/>
    <col min="10" max="10" width="11.33203125" style="24" customWidth="1"/>
    <col min="11" max="11" width="14.44140625" style="24" customWidth="1"/>
    <col min="12" max="12" width="10.6640625" style="24" customWidth="1"/>
    <col min="13" max="13" width="11.33203125" style="24" customWidth="1"/>
    <col min="14" max="14" width="14.5546875" style="24" customWidth="1"/>
    <col min="15" max="15" width="10.6640625" style="24" customWidth="1"/>
    <col min="16" max="16" width="11.5546875" style="24" customWidth="1"/>
    <col min="17" max="17" width="14.44140625" style="24" customWidth="1"/>
    <col min="18" max="18" width="10.6640625" style="24" customWidth="1"/>
    <col min="19" max="19" width="11.109375" style="24" customWidth="1"/>
    <col min="20" max="20" width="14.44140625" style="24" customWidth="1"/>
    <col min="21" max="21" width="8.33203125" style="24" customWidth="1"/>
    <col min="22" max="16384" width="9.109375" style="24"/>
  </cols>
  <sheetData>
    <row r="1" spans="1:21" ht="15.6">
      <c r="A1" s="74" t="s">
        <v>419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6" customHeight="1">
      <c r="U2" s="48" t="s">
        <v>392</v>
      </c>
    </row>
    <row r="3" spans="1:21" ht="192" customHeight="1">
      <c r="A3" s="75" t="s">
        <v>15</v>
      </c>
      <c r="B3" s="76" t="s">
        <v>371</v>
      </c>
      <c r="C3" s="78" t="s">
        <v>378</v>
      </c>
      <c r="D3" s="78"/>
      <c r="E3" s="78"/>
      <c r="F3" s="78" t="s">
        <v>17</v>
      </c>
      <c r="G3" s="78"/>
      <c r="H3" s="78"/>
      <c r="I3" s="78" t="s">
        <v>395</v>
      </c>
      <c r="J3" s="78"/>
      <c r="K3" s="78"/>
      <c r="L3" s="78" t="s">
        <v>393</v>
      </c>
      <c r="M3" s="78"/>
      <c r="N3" s="78"/>
      <c r="O3" s="78" t="s">
        <v>18</v>
      </c>
      <c r="P3" s="78"/>
      <c r="Q3" s="78"/>
      <c r="R3" s="78" t="s">
        <v>19</v>
      </c>
      <c r="S3" s="78"/>
      <c r="T3" s="78"/>
      <c r="U3" s="77" t="s">
        <v>374</v>
      </c>
    </row>
    <row r="4" spans="1:21" ht="31.95" customHeight="1">
      <c r="A4" s="75"/>
      <c r="B4" s="76"/>
      <c r="C4" s="25" t="s">
        <v>372</v>
      </c>
      <c r="D4" s="25" t="s">
        <v>373</v>
      </c>
      <c r="E4" s="68" t="s">
        <v>398</v>
      </c>
      <c r="F4" s="25" t="s">
        <v>372</v>
      </c>
      <c r="G4" s="25" t="s">
        <v>373</v>
      </c>
      <c r="H4" s="68" t="s">
        <v>399</v>
      </c>
      <c r="I4" s="25" t="s">
        <v>372</v>
      </c>
      <c r="J4" s="25" t="s">
        <v>373</v>
      </c>
      <c r="K4" s="68" t="s">
        <v>400</v>
      </c>
      <c r="L4" s="25" t="s">
        <v>372</v>
      </c>
      <c r="M4" s="25" t="s">
        <v>373</v>
      </c>
      <c r="N4" s="68" t="s">
        <v>401</v>
      </c>
      <c r="O4" s="25" t="s">
        <v>372</v>
      </c>
      <c r="P4" s="25" t="s">
        <v>373</v>
      </c>
      <c r="Q4" s="68" t="s">
        <v>402</v>
      </c>
      <c r="R4" s="25" t="s">
        <v>372</v>
      </c>
      <c r="S4" s="25" t="s">
        <v>373</v>
      </c>
      <c r="T4" s="68" t="s">
        <v>403</v>
      </c>
      <c r="U4" s="77"/>
    </row>
    <row r="5" spans="1:21">
      <c r="A5" s="26">
        <v>1</v>
      </c>
      <c r="B5" s="49">
        <v>2</v>
      </c>
      <c r="C5" s="26">
        <v>3</v>
      </c>
      <c r="D5" s="49">
        <v>4</v>
      </c>
      <c r="E5" s="26">
        <v>5</v>
      </c>
      <c r="F5" s="49">
        <v>6</v>
      </c>
      <c r="G5" s="26">
        <v>7</v>
      </c>
      <c r="H5" s="49">
        <v>8</v>
      </c>
      <c r="I5" s="26">
        <v>9</v>
      </c>
      <c r="J5" s="49">
        <v>10</v>
      </c>
      <c r="K5" s="26">
        <v>11</v>
      </c>
      <c r="L5" s="49">
        <v>12</v>
      </c>
      <c r="M5" s="26">
        <v>13</v>
      </c>
      <c r="N5" s="49">
        <v>14</v>
      </c>
      <c r="O5" s="26">
        <v>15</v>
      </c>
      <c r="P5" s="49">
        <v>16</v>
      </c>
      <c r="Q5" s="26">
        <v>17</v>
      </c>
      <c r="R5" s="49">
        <v>18</v>
      </c>
      <c r="S5" s="26">
        <v>19</v>
      </c>
      <c r="T5" s="49">
        <v>20</v>
      </c>
      <c r="U5" s="26">
        <v>21</v>
      </c>
    </row>
    <row r="6" spans="1:21" ht="15" customHeight="1">
      <c r="A6" s="27" t="s">
        <v>4</v>
      </c>
      <c r="B6" s="53">
        <f>'Расчет субсидий'!AD6</f>
        <v>-13211.145454545451</v>
      </c>
      <c r="C6" s="53"/>
      <c r="D6" s="53"/>
      <c r="E6" s="53">
        <f>SUM(E7:E16)</f>
        <v>2418.684396388011</v>
      </c>
      <c r="F6" s="53"/>
      <c r="G6" s="53"/>
      <c r="H6" s="53">
        <f>SUM(H7:H16)</f>
        <v>0</v>
      </c>
      <c r="I6" s="53"/>
      <c r="J6" s="53"/>
      <c r="K6" s="53">
        <f>SUM(K7:K16)</f>
        <v>-1345.2547170184582</v>
      </c>
      <c r="L6" s="53"/>
      <c r="M6" s="53"/>
      <c r="N6" s="53">
        <f>SUM(N7:N16)</f>
        <v>-14284.575133915003</v>
      </c>
      <c r="O6" s="53"/>
      <c r="P6" s="53"/>
      <c r="Q6" s="53"/>
      <c r="R6" s="53"/>
      <c r="S6" s="53"/>
      <c r="T6" s="53"/>
      <c r="U6" s="53"/>
    </row>
    <row r="7" spans="1:21" ht="15" customHeight="1">
      <c r="A7" s="29" t="s">
        <v>5</v>
      </c>
      <c r="B7" s="54">
        <f>'Расчет субсидий'!AD7</f>
        <v>-4210.6363636363603</v>
      </c>
      <c r="C7" s="56">
        <f>'Расчет субсидий'!D7-1</f>
        <v>3.3171853573646715E-2</v>
      </c>
      <c r="D7" s="56">
        <f>C7*'Расчет субсидий'!E7</f>
        <v>0.49757780360470072</v>
      </c>
      <c r="E7" s="57">
        <f>$B7*D7/$U7</f>
        <v>452.11585009517734</v>
      </c>
      <c r="F7" s="62" t="s">
        <v>394</v>
      </c>
      <c r="G7" s="62" t="s">
        <v>394</v>
      </c>
      <c r="H7" s="63" t="s">
        <v>394</v>
      </c>
      <c r="I7" s="56">
        <f>'Расчет субсидий'!L7-1</f>
        <v>-0.20982895687786074</v>
      </c>
      <c r="J7" s="56">
        <f>I7*'Расчет субсидий'!M7</f>
        <v>-1.0491447843893038</v>
      </c>
      <c r="K7" s="57">
        <f>$B7*J7/$U7</f>
        <v>-953.2880740072676</v>
      </c>
      <c r="L7" s="56">
        <f>'Расчет субсидий'!P7-1</f>
        <v>-0.20412323730807547</v>
      </c>
      <c r="M7" s="56">
        <f>L7*'Расчет субсидий'!Q7</f>
        <v>-4.0824647461615093</v>
      </c>
      <c r="N7" s="57">
        <f>$B7*M7/$U7</f>
        <v>-3709.4641397242704</v>
      </c>
      <c r="O7" s="28" t="s">
        <v>375</v>
      </c>
      <c r="P7" s="28" t="s">
        <v>375</v>
      </c>
      <c r="Q7" s="28" t="s">
        <v>375</v>
      </c>
      <c r="R7" s="28" t="s">
        <v>375</v>
      </c>
      <c r="S7" s="28" t="s">
        <v>375</v>
      </c>
      <c r="T7" s="28" t="s">
        <v>375</v>
      </c>
      <c r="U7" s="56">
        <f>D7+J7+M7</f>
        <v>-4.6340317269461124</v>
      </c>
    </row>
    <row r="8" spans="1:21" ht="15" customHeight="1">
      <c r="A8" s="29" t="s">
        <v>6</v>
      </c>
      <c r="B8" s="54">
        <f>'Расчет субсидий'!AD8</f>
        <v>-2277.0909090909081</v>
      </c>
      <c r="C8" s="56">
        <f>'Расчет субсидий'!D8-1</f>
        <v>8.2771199223414804E-2</v>
      </c>
      <c r="D8" s="56">
        <f>C8*'Расчет субсидий'!E8</f>
        <v>1.2415679883512221</v>
      </c>
      <c r="E8" s="57">
        <f t="shared" ref="E7:E16" si="0">$B8*D8/$U8</f>
        <v>596.4260345881795</v>
      </c>
      <c r="F8" s="62" t="s">
        <v>394</v>
      </c>
      <c r="G8" s="62" t="s">
        <v>394</v>
      </c>
      <c r="H8" s="63" t="s">
        <v>394</v>
      </c>
      <c r="I8" s="56">
        <f>'Расчет субсидий'!L8-1</f>
        <v>-5.1383399209486202E-2</v>
      </c>
      <c r="J8" s="56">
        <f>I8*'Расчет субсидий'!M8</f>
        <v>-0.77075098814229304</v>
      </c>
      <c r="K8" s="57">
        <f t="shared" ref="K7:K16" si="1">$B8*J8/$U8</f>
        <v>-370.25435564192986</v>
      </c>
      <c r="L8" s="56">
        <f>'Расчет субсидий'!P8-1</f>
        <v>-0.2605495497769611</v>
      </c>
      <c r="M8" s="56">
        <f>L8*'Расчет субсидий'!Q8</f>
        <v>-5.2109909955392215</v>
      </c>
      <c r="N8" s="57">
        <f t="shared" ref="N7:N16" si="2">$B8*M8/$U8</f>
        <v>-2503.2625880371575</v>
      </c>
      <c r="O8" s="28" t="s">
        <v>375</v>
      </c>
      <c r="P8" s="28" t="s">
        <v>375</v>
      </c>
      <c r="Q8" s="28" t="s">
        <v>375</v>
      </c>
      <c r="R8" s="28" t="s">
        <v>375</v>
      </c>
      <c r="S8" s="28" t="s">
        <v>375</v>
      </c>
      <c r="T8" s="28" t="s">
        <v>375</v>
      </c>
      <c r="U8" s="56">
        <f t="shared" ref="U8:U16" si="3">D8+J8+M8</f>
        <v>-4.7401739953302924</v>
      </c>
    </row>
    <row r="9" spans="1:21" ht="15" customHeight="1">
      <c r="A9" s="29" t="s">
        <v>7</v>
      </c>
      <c r="B9" s="54">
        <f>'Расчет субсидий'!AD9</f>
        <v>-1440.3909090909074</v>
      </c>
      <c r="C9" s="56">
        <f>'Расчет субсидий'!D9-1</f>
        <v>9.1071340949710144E-2</v>
      </c>
      <c r="D9" s="56">
        <f>C9*'Расчет субсидий'!E9</f>
        <v>1.8214268189942029</v>
      </c>
      <c r="E9" s="57">
        <f t="shared" si="0"/>
        <v>1224.6752796951814</v>
      </c>
      <c r="F9" s="62" t="s">
        <v>394</v>
      </c>
      <c r="G9" s="62" t="s">
        <v>394</v>
      </c>
      <c r="H9" s="63" t="s">
        <v>394</v>
      </c>
      <c r="I9" s="56">
        <f>'Расчет субсидий'!L9-1</f>
        <v>8.8825214899713512E-2</v>
      </c>
      <c r="J9" s="56">
        <f>I9*'Расчет субсидий'!M9</f>
        <v>0.44412607449856756</v>
      </c>
      <c r="K9" s="57">
        <f t="shared" si="1"/>
        <v>298.61766546668338</v>
      </c>
      <c r="L9" s="56">
        <f>'Расчет субсидий'!P9-1</f>
        <v>-0.22039039019795059</v>
      </c>
      <c r="M9" s="56">
        <f>L9*'Расчет субсидий'!Q9</f>
        <v>-4.4078078039590114</v>
      </c>
      <c r="N9" s="57">
        <f t="shared" si="2"/>
        <v>-2963.6838542527726</v>
      </c>
      <c r="O9" s="28" t="s">
        <v>375</v>
      </c>
      <c r="P9" s="28" t="s">
        <v>375</v>
      </c>
      <c r="Q9" s="28" t="s">
        <v>375</v>
      </c>
      <c r="R9" s="28" t="s">
        <v>375</v>
      </c>
      <c r="S9" s="28" t="s">
        <v>375</v>
      </c>
      <c r="T9" s="28" t="s">
        <v>375</v>
      </c>
      <c r="U9" s="56">
        <f t="shared" si="3"/>
        <v>-2.1422549104662409</v>
      </c>
    </row>
    <row r="10" spans="1:21" ht="15" customHeight="1">
      <c r="A10" s="29" t="s">
        <v>8</v>
      </c>
      <c r="B10" s="54">
        <f>'Расчет субсидий'!AD10</f>
        <v>-1214.1000000000004</v>
      </c>
      <c r="C10" s="56">
        <f>'Расчет субсидий'!D10-1</f>
        <v>-8.9214508782206048E-2</v>
      </c>
      <c r="D10" s="56">
        <f>C10*'Расчет субсидий'!E10</f>
        <v>-1.784290175644121</v>
      </c>
      <c r="E10" s="57">
        <f t="shared" si="0"/>
        <v>-550.3172723279223</v>
      </c>
      <c r="F10" s="62" t="s">
        <v>394</v>
      </c>
      <c r="G10" s="62" t="s">
        <v>394</v>
      </c>
      <c r="H10" s="63" t="s">
        <v>394</v>
      </c>
      <c r="I10" s="56">
        <f>'Расчет субсидий'!L10-1</f>
        <v>1.5452538631346657E-2</v>
      </c>
      <c r="J10" s="56">
        <f>I10*'Расчет субсидий'!M10</f>
        <v>0.15452538631346657</v>
      </c>
      <c r="K10" s="57">
        <f t="shared" si="1"/>
        <v>47.659282252533302</v>
      </c>
      <c r="L10" s="56">
        <f>'Расчет субсидий'!P10-1</f>
        <v>-0.11533519413984261</v>
      </c>
      <c r="M10" s="56">
        <f>L10*'Расчет субсидий'!Q10</f>
        <v>-2.3067038827968522</v>
      </c>
      <c r="N10" s="57">
        <f t="shared" si="2"/>
        <v>-711.44200992461128</v>
      </c>
      <c r="O10" s="28" t="s">
        <v>375</v>
      </c>
      <c r="P10" s="28" t="s">
        <v>375</v>
      </c>
      <c r="Q10" s="28" t="s">
        <v>375</v>
      </c>
      <c r="R10" s="28" t="s">
        <v>375</v>
      </c>
      <c r="S10" s="28" t="s">
        <v>375</v>
      </c>
      <c r="T10" s="28" t="s">
        <v>375</v>
      </c>
      <c r="U10" s="56">
        <f t="shared" si="3"/>
        <v>-3.9364686721275066</v>
      </c>
    </row>
    <row r="11" spans="1:21" ht="15" customHeight="1">
      <c r="A11" s="29" t="s">
        <v>9</v>
      </c>
      <c r="B11" s="54">
        <f>'Расчет субсидий'!AD11</f>
        <v>-3375.9363636363632</v>
      </c>
      <c r="C11" s="56">
        <f>'Расчет субсидий'!D11-1</f>
        <v>5.5142178808845532E-2</v>
      </c>
      <c r="D11" s="56">
        <f>C11*'Расчет субсидий'!E11</f>
        <v>1.1028435761769106</v>
      </c>
      <c r="E11" s="57">
        <f t="shared" si="0"/>
        <v>374.3399568277303</v>
      </c>
      <c r="F11" s="62" t="s">
        <v>394</v>
      </c>
      <c r="G11" s="62" t="s">
        <v>394</v>
      </c>
      <c r="H11" s="63" t="s">
        <v>394</v>
      </c>
      <c r="I11" s="56">
        <f>'Расчет субсидий'!L11-1</f>
        <v>-6.0240963855421659E-2</v>
      </c>
      <c r="J11" s="56">
        <f>I11*'Расчет субсидий'!M11</f>
        <v>-0.60240963855421659</v>
      </c>
      <c r="K11" s="57">
        <f t="shared" si="1"/>
        <v>-204.47686594931926</v>
      </c>
      <c r="L11" s="56">
        <f>'Расчет субсидий'!P11-1</f>
        <v>-0.5223142867197037</v>
      </c>
      <c r="M11" s="56">
        <f>L11*'Расчет субсидий'!Q11</f>
        <v>-10.446285734394074</v>
      </c>
      <c r="N11" s="57">
        <f>$B11*M11/$U11</f>
        <v>-3545.799454514774</v>
      </c>
      <c r="O11" s="28" t="s">
        <v>375</v>
      </c>
      <c r="P11" s="28" t="s">
        <v>375</v>
      </c>
      <c r="Q11" s="28" t="s">
        <v>375</v>
      </c>
      <c r="R11" s="28" t="s">
        <v>375</v>
      </c>
      <c r="S11" s="28" t="s">
        <v>375</v>
      </c>
      <c r="T11" s="28" t="s">
        <v>375</v>
      </c>
      <c r="U11" s="56">
        <f>D11+J11+M11</f>
        <v>-9.9458517967713806</v>
      </c>
    </row>
    <row r="12" spans="1:21" ht="15" customHeight="1">
      <c r="A12" s="29" t="s">
        <v>10</v>
      </c>
      <c r="B12" s="54">
        <f>'Расчет субсидий'!AD12</f>
        <v>-568.29090909091065</v>
      </c>
      <c r="C12" s="56">
        <f>'Расчет субсидий'!D12-1</f>
        <v>-0.11025593026064262</v>
      </c>
      <c r="D12" s="56">
        <f>C12*'Расчет субсидий'!E12</f>
        <v>-2.2051186052128524</v>
      </c>
      <c r="E12" s="57">
        <f t="shared" si="0"/>
        <v>-400.82319894286718</v>
      </c>
      <c r="F12" s="62" t="s">
        <v>394</v>
      </c>
      <c r="G12" s="62" t="s">
        <v>394</v>
      </c>
      <c r="H12" s="63" t="s">
        <v>394</v>
      </c>
      <c r="I12" s="56">
        <f>'Расчет субсидий'!L12-1</f>
        <v>-7.8212290502793325E-2</v>
      </c>
      <c r="J12" s="56">
        <f>I12*'Расчет субсидий'!M12</f>
        <v>-1.1731843575418999</v>
      </c>
      <c r="K12" s="57">
        <f t="shared" si="1"/>
        <v>-213.24907695578861</v>
      </c>
      <c r="L12" s="56">
        <f>'Расчет субсидий'!P12-1</f>
        <v>1.259325108752285E-2</v>
      </c>
      <c r="M12" s="56">
        <f>L12*'Расчет субсидий'!Q12</f>
        <v>0.251865021750457</v>
      </c>
      <c r="N12" s="57">
        <f t="shared" si="2"/>
        <v>45.781366807745172</v>
      </c>
      <c r="O12" s="28" t="s">
        <v>375</v>
      </c>
      <c r="P12" s="28" t="s">
        <v>375</v>
      </c>
      <c r="Q12" s="28" t="s">
        <v>375</v>
      </c>
      <c r="R12" s="28" t="s">
        <v>375</v>
      </c>
      <c r="S12" s="28" t="s">
        <v>375</v>
      </c>
      <c r="T12" s="28" t="s">
        <v>375</v>
      </c>
      <c r="U12" s="56">
        <f t="shared" si="3"/>
        <v>-3.1264379410042951</v>
      </c>
    </row>
    <row r="13" spans="1:21" ht="15" customHeight="1">
      <c r="A13" s="29" t="s">
        <v>11</v>
      </c>
      <c r="B13" s="54">
        <f>'Расчет субсидий'!AD13</f>
        <v>-2015.2272727272721</v>
      </c>
      <c r="C13" s="56">
        <f>'Расчет субсидий'!D13-1</f>
        <v>5.0657666790714373E-2</v>
      </c>
      <c r="D13" s="56">
        <f>C13*'Расчет субсидий'!E13</f>
        <v>1.0131533358142875</v>
      </c>
      <c r="E13" s="57">
        <f t="shared" si="0"/>
        <v>317.28660030259903</v>
      </c>
      <c r="F13" s="62" t="s">
        <v>394</v>
      </c>
      <c r="G13" s="62" t="s">
        <v>394</v>
      </c>
      <c r="H13" s="63" t="s">
        <v>394</v>
      </c>
      <c r="I13" s="56">
        <f>'Расчет субсидий'!L13-1</f>
        <v>9.8039215686274161E-3</v>
      </c>
      <c r="J13" s="56">
        <f>I13*'Расчет субсидий'!M13</f>
        <v>9.8039215686274161E-2</v>
      </c>
      <c r="K13" s="57">
        <f t="shared" si="1"/>
        <v>30.702686692957837</v>
      </c>
      <c r="L13" s="56">
        <f>'Расчет субсидий'!P13-1</f>
        <v>-0.37730883347284172</v>
      </c>
      <c r="M13" s="56">
        <f>L13*'Расчет субсидий'!Q13</f>
        <v>-7.546176669456834</v>
      </c>
      <c r="N13" s="57">
        <f t="shared" si="2"/>
        <v>-2363.2165597228291</v>
      </c>
      <c r="O13" s="28" t="s">
        <v>375</v>
      </c>
      <c r="P13" s="28" t="s">
        <v>375</v>
      </c>
      <c r="Q13" s="28" t="s">
        <v>375</v>
      </c>
      <c r="R13" s="28" t="s">
        <v>375</v>
      </c>
      <c r="S13" s="28" t="s">
        <v>375</v>
      </c>
      <c r="T13" s="28" t="s">
        <v>375</v>
      </c>
      <c r="U13" s="56">
        <f t="shared" si="3"/>
        <v>-6.4349841179562723</v>
      </c>
    </row>
    <row r="14" spans="1:21" ht="15" customHeight="1">
      <c r="A14" s="29" t="s">
        <v>12</v>
      </c>
      <c r="B14" s="54">
        <f>'Расчет субсидий'!AD14</f>
        <v>1285.8999999999996</v>
      </c>
      <c r="C14" s="56">
        <f>'Расчет субсидий'!D14-1</f>
        <v>0.20548632985851278</v>
      </c>
      <c r="D14" s="56">
        <f>C14*'Расчет субсидий'!E14</f>
        <v>4.1097265971702557</v>
      </c>
      <c r="E14" s="57">
        <f t="shared" si="0"/>
        <v>842.41774321399828</v>
      </c>
      <c r="F14" s="62" t="s">
        <v>394</v>
      </c>
      <c r="G14" s="62" t="s">
        <v>394</v>
      </c>
      <c r="H14" s="63" t="s">
        <v>394</v>
      </c>
      <c r="I14" s="56">
        <f>'Расчет субсидий'!L14-1</f>
        <v>-0.12727272727272732</v>
      </c>
      <c r="J14" s="56">
        <f>I14*'Расчет субсидий'!M14</f>
        <v>-1.9090909090909096</v>
      </c>
      <c r="K14" s="57">
        <f t="shared" si="1"/>
        <v>-391.32823490839593</v>
      </c>
      <c r="L14" s="56">
        <f>'Расчет субсидий'!P14-1</f>
        <v>0.20363073480764227</v>
      </c>
      <c r="M14" s="56">
        <f>L14*'Расчет субсидий'!Q14</f>
        <v>4.0726146961528453</v>
      </c>
      <c r="N14" s="57">
        <f t="shared" si="2"/>
        <v>834.81049169439723</v>
      </c>
      <c r="O14" s="28" t="s">
        <v>375</v>
      </c>
      <c r="P14" s="28" t="s">
        <v>375</v>
      </c>
      <c r="Q14" s="28" t="s">
        <v>375</v>
      </c>
      <c r="R14" s="28" t="s">
        <v>375</v>
      </c>
      <c r="S14" s="28" t="s">
        <v>375</v>
      </c>
      <c r="T14" s="28" t="s">
        <v>375</v>
      </c>
      <c r="U14" s="56">
        <f t="shared" si="3"/>
        <v>6.2732503842321918</v>
      </c>
    </row>
    <row r="15" spans="1:21" ht="15" customHeight="1">
      <c r="A15" s="29" t="s">
        <v>13</v>
      </c>
      <c r="B15" s="54">
        <f>'Расчет субсидий'!AD15</f>
        <v>-1468.8999999999996</v>
      </c>
      <c r="C15" s="56">
        <f>'Расчет субсидий'!D15-1</f>
        <v>-0.18995113583641565</v>
      </c>
      <c r="D15" s="56">
        <f>C15*'Расчет субсидий'!E15</f>
        <v>-3.799022716728313</v>
      </c>
      <c r="E15" s="57">
        <f t="shared" si="0"/>
        <v>-1262.8762743235741</v>
      </c>
      <c r="F15" s="62" t="s">
        <v>394</v>
      </c>
      <c r="G15" s="62" t="s">
        <v>394</v>
      </c>
      <c r="H15" s="63" t="s">
        <v>394</v>
      </c>
      <c r="I15" s="56">
        <f>'Расчет субсидий'!L15-1</f>
        <v>5.2631578947368363E-2</v>
      </c>
      <c r="J15" s="56">
        <f>I15*'Расчет субсидий'!M15</f>
        <v>0.52631578947368363</v>
      </c>
      <c r="K15" s="57">
        <f t="shared" si="1"/>
        <v>174.95860722322976</v>
      </c>
      <c r="L15" s="56">
        <f>'Расчет субсидий'!P15-1</f>
        <v>-5.7304130530648312E-2</v>
      </c>
      <c r="M15" s="56">
        <f>L15*'Расчет субсидий'!Q15</f>
        <v>-1.1460826106129662</v>
      </c>
      <c r="N15" s="57">
        <f t="shared" si="2"/>
        <v>-380.98233289965509</v>
      </c>
      <c r="O15" s="28" t="s">
        <v>375</v>
      </c>
      <c r="P15" s="28" t="s">
        <v>375</v>
      </c>
      <c r="Q15" s="28" t="s">
        <v>375</v>
      </c>
      <c r="R15" s="28" t="s">
        <v>375</v>
      </c>
      <c r="S15" s="28" t="s">
        <v>375</v>
      </c>
      <c r="T15" s="28" t="s">
        <v>375</v>
      </c>
      <c r="U15" s="56">
        <f t="shared" si="3"/>
        <v>-4.4187895378675961</v>
      </c>
    </row>
    <row r="16" spans="1:21" ht="15" customHeight="1">
      <c r="A16" s="29" t="s">
        <v>14</v>
      </c>
      <c r="B16" s="54">
        <f>'Расчет субсидий'!AD16</f>
        <v>2073.5272727272713</v>
      </c>
      <c r="C16" s="56">
        <f>'Расчет субсидий'!D16-1</f>
        <v>0.21785861831535458</v>
      </c>
      <c r="D16" s="56">
        <f>C16*'Расчет субсидий'!E16</f>
        <v>4.3571723663070916</v>
      </c>
      <c r="E16" s="57">
        <f t="shared" si="0"/>
        <v>825.43967725950847</v>
      </c>
      <c r="F16" s="62" t="s">
        <v>394</v>
      </c>
      <c r="G16" s="62" t="s">
        <v>394</v>
      </c>
      <c r="H16" s="63" t="s">
        <v>394</v>
      </c>
      <c r="I16" s="56">
        <f>'Расчет субсидий'!L16-1</f>
        <v>0.12426035502958577</v>
      </c>
      <c r="J16" s="56">
        <f>I16*'Расчет субсидий'!M16</f>
        <v>1.2426035502958577</v>
      </c>
      <c r="K16" s="57">
        <f t="shared" si="1"/>
        <v>235.40364880883891</v>
      </c>
      <c r="L16" s="56">
        <f>'Расчет субсидий'!P16-1</f>
        <v>0.26727807190190656</v>
      </c>
      <c r="M16" s="56">
        <f>L16*'Расчет субсидий'!Q16</f>
        <v>5.3455614380381311</v>
      </c>
      <c r="N16" s="57">
        <f t="shared" si="2"/>
        <v>1012.6839466589242</v>
      </c>
      <c r="O16" s="28" t="s">
        <v>375</v>
      </c>
      <c r="P16" s="28" t="s">
        <v>375</v>
      </c>
      <c r="Q16" s="28" t="s">
        <v>375</v>
      </c>
      <c r="R16" s="28" t="s">
        <v>375</v>
      </c>
      <c r="S16" s="28" t="s">
        <v>375</v>
      </c>
      <c r="T16" s="28" t="s">
        <v>375</v>
      </c>
      <c r="U16" s="56">
        <f t="shared" si="3"/>
        <v>10.945337354641079</v>
      </c>
    </row>
    <row r="17" spans="1:21" ht="15" customHeight="1">
      <c r="A17" s="30" t="s">
        <v>20</v>
      </c>
      <c r="B17" s="53">
        <f>'Расчет субсидий'!AD17</f>
        <v>838.85454545454604</v>
      </c>
      <c r="C17" s="53"/>
      <c r="D17" s="53"/>
      <c r="E17" s="53">
        <f>SUM(E18:E44)</f>
        <v>623.2139020568361</v>
      </c>
      <c r="F17" s="53"/>
      <c r="G17" s="53"/>
      <c r="H17" s="53">
        <f>SUM(H18:H44)</f>
        <v>0</v>
      </c>
      <c r="I17" s="53"/>
      <c r="J17" s="53"/>
      <c r="K17" s="53">
        <f>SUM(K18:K44)</f>
        <v>1011.3369636122404</v>
      </c>
      <c r="L17" s="53"/>
      <c r="M17" s="53"/>
      <c r="N17" s="53">
        <f>SUM(N18:N44)</f>
        <v>-3162.444745633094</v>
      </c>
      <c r="O17" s="53"/>
      <c r="P17" s="53"/>
      <c r="Q17" s="53">
        <f>SUM(Q18:Q44)</f>
        <v>1071.4882274316083</v>
      </c>
      <c r="R17" s="53"/>
      <c r="S17" s="53"/>
      <c r="T17" s="53">
        <f>SUM(T18:T44)</f>
        <v>1295.2601979869544</v>
      </c>
      <c r="U17" s="53"/>
    </row>
    <row r="18" spans="1:21" ht="15" customHeight="1">
      <c r="A18" s="31" t="s">
        <v>0</v>
      </c>
      <c r="B18" s="54">
        <f>'Расчет субсидий'!AD18</f>
        <v>-261.86363636363626</v>
      </c>
      <c r="C18" s="56">
        <f>'Расчет субсидий'!D18-1</f>
        <v>-0.15296988053171801</v>
      </c>
      <c r="D18" s="56">
        <f>C18*'Расчет субсидий'!E18</f>
        <v>-1.5296988053171801</v>
      </c>
      <c r="E18" s="57">
        <f t="shared" ref="E18:E44" si="4">$B18*D18/$U18</f>
        <v>-46.915119959905645</v>
      </c>
      <c r="F18" s="62" t="s">
        <v>394</v>
      </c>
      <c r="G18" s="62" t="s">
        <v>394</v>
      </c>
      <c r="H18" s="63" t="s">
        <v>394</v>
      </c>
      <c r="I18" s="56">
        <f>'Расчет субсидий'!L18-1</f>
        <v>0.11111111111111116</v>
      </c>
      <c r="J18" s="56">
        <f>I18*'Расчет субсидий'!M18</f>
        <v>1.6666666666666674</v>
      </c>
      <c r="K18" s="57">
        <f t="shared" ref="K18:K44" si="5">$B18*J18/$U18</f>
        <v>51.115857793737277</v>
      </c>
      <c r="L18" s="56">
        <f>'Расчет субсидий'!P18-1</f>
        <v>-0.42359903651358288</v>
      </c>
      <c r="M18" s="56">
        <f>L18*'Расчет субсидий'!Q18</f>
        <v>-8.4719807302716568</v>
      </c>
      <c r="N18" s="57">
        <f t="shared" ref="N18:N44" si="6">$B18*M18/$U18</f>
        <v>-259.83153734390896</v>
      </c>
      <c r="O18" s="56">
        <f>'Расчет субсидий'!T18-1</f>
        <v>3.4677419354838701E-2</v>
      </c>
      <c r="P18" s="56">
        <f>O18*'Расчет субсидий'!U18</f>
        <v>0.34677419354838701</v>
      </c>
      <c r="Q18" s="57">
        <f t="shared" ref="Q18:Q44" si="7">$B18*P18/$U18</f>
        <v>10.635396218374362</v>
      </c>
      <c r="R18" s="56">
        <f>'Расчет субсидий'!X18-1</f>
        <v>-5.5000000000000049E-2</v>
      </c>
      <c r="S18" s="56">
        <f>R18*'Расчет субсидий'!Y18</f>
        <v>-0.55000000000000049</v>
      </c>
      <c r="T18" s="57">
        <f t="shared" ref="T18:T44" si="8">$B18*S18/$U18</f>
        <v>-16.868233071933307</v>
      </c>
      <c r="U18" s="56">
        <f>D18+J18+M18+P18+S18</f>
        <v>-8.5382386753737816</v>
      </c>
    </row>
    <row r="19" spans="1:21" ht="15" customHeight="1">
      <c r="A19" s="31" t="s">
        <v>21</v>
      </c>
      <c r="B19" s="54">
        <f>'Расчет субсидий'!AD19</f>
        <v>425.0272727272727</v>
      </c>
      <c r="C19" s="56">
        <f>'Расчет субсидий'!D19-1</f>
        <v>0.20054146358861202</v>
      </c>
      <c r="D19" s="56">
        <f>C19*'Расчет субсидий'!E19</f>
        <v>2.0054146358861202</v>
      </c>
      <c r="E19" s="57">
        <f t="shared" si="4"/>
        <v>134.4323547013777</v>
      </c>
      <c r="F19" s="62" t="s">
        <v>394</v>
      </c>
      <c r="G19" s="62" t="s">
        <v>394</v>
      </c>
      <c r="H19" s="63" t="s">
        <v>394</v>
      </c>
      <c r="I19" s="56">
        <f>'Расчет субсидий'!L19-1</f>
        <v>8.3333333333333259E-2</v>
      </c>
      <c r="J19" s="56">
        <f>I19*'Расчет субсидий'!M19</f>
        <v>0.4166666666666663</v>
      </c>
      <c r="K19" s="57">
        <f t="shared" si="5"/>
        <v>27.931122134662022</v>
      </c>
      <c r="L19" s="56">
        <f>'Расчет субсидий'!P19-1</f>
        <v>0.21957772845484702</v>
      </c>
      <c r="M19" s="56">
        <f>L19*'Расчет субсидий'!Q19</f>
        <v>4.3915545690969404</v>
      </c>
      <c r="N19" s="57">
        <f t="shared" si="6"/>
        <v>294.3865128731515</v>
      </c>
      <c r="O19" s="56">
        <f>'Расчет субсидий'!T19-1</f>
        <v>-0.15763779527559063</v>
      </c>
      <c r="P19" s="56">
        <f>O19*'Расчет субсидий'!U19</f>
        <v>-0.78818897637795315</v>
      </c>
      <c r="Q19" s="57">
        <f t="shared" si="7"/>
        <v>-52.836006154576488</v>
      </c>
      <c r="R19" s="56">
        <f>'Расчет субсидий'!X19-1</f>
        <v>6.2992125984252079E-2</v>
      </c>
      <c r="S19" s="56">
        <f>R19*'Расчет субсидий'!Y19</f>
        <v>0.31496062992126039</v>
      </c>
      <c r="T19" s="57">
        <f t="shared" si="8"/>
        <v>21.113289172657961</v>
      </c>
      <c r="U19" s="56">
        <f t="shared" ref="U19:U44" si="9">D19+J19+M19+P19+S19</f>
        <v>6.3404075251930339</v>
      </c>
    </row>
    <row r="20" spans="1:21" ht="15" customHeight="1">
      <c r="A20" s="31" t="s">
        <v>22</v>
      </c>
      <c r="B20" s="54">
        <f>'Расчет субсидий'!AD20</f>
        <v>-672.15454545454554</v>
      </c>
      <c r="C20" s="56">
        <f>'Расчет субсидий'!D20-1</f>
        <v>-9.0127741380618742E-2</v>
      </c>
      <c r="D20" s="56">
        <f>C20*'Расчет субсидий'!E20</f>
        <v>-0.90127741380618742</v>
      </c>
      <c r="E20" s="57">
        <f t="shared" si="4"/>
        <v>-37.650138458363401</v>
      </c>
      <c r="F20" s="62" t="s">
        <v>394</v>
      </c>
      <c r="G20" s="62" t="s">
        <v>394</v>
      </c>
      <c r="H20" s="63" t="s">
        <v>394</v>
      </c>
      <c r="I20" s="56">
        <f>'Расчет субсидий'!L20-1</f>
        <v>0.13043478260869557</v>
      </c>
      <c r="J20" s="56">
        <f>I20*'Расчет субсидий'!M20</f>
        <v>1.3043478260869557</v>
      </c>
      <c r="K20" s="57">
        <f t="shared" si="5"/>
        <v>54.488080470858961</v>
      </c>
      <c r="L20" s="56">
        <f>'Расчет субсидий'!P20-1</f>
        <v>-1</v>
      </c>
      <c r="M20" s="56">
        <f>L20*'Расчет субсидий'!Q20</f>
        <v>-20</v>
      </c>
      <c r="N20" s="57">
        <f t="shared" si="6"/>
        <v>-835.48390055317134</v>
      </c>
      <c r="O20" s="56">
        <f>'Расчет субсидий'!T20-1</f>
        <v>0.20067441273048736</v>
      </c>
      <c r="P20" s="56">
        <f>O20*'Расчет субсидий'!U20</f>
        <v>2.0067441273048736</v>
      </c>
      <c r="Q20" s="57">
        <f t="shared" si="7"/>
        <v>83.83012054464227</v>
      </c>
      <c r="R20" s="56">
        <f>'Расчет субсидий'!X20-1</f>
        <v>0.30000000000000004</v>
      </c>
      <c r="S20" s="56">
        <f>R20*'Расчет субсидий'!Y20</f>
        <v>1.5000000000000002</v>
      </c>
      <c r="T20" s="57">
        <f t="shared" si="8"/>
        <v>62.661292541487853</v>
      </c>
      <c r="U20" s="56">
        <f t="shared" si="9"/>
        <v>-16.090185460414357</v>
      </c>
    </row>
    <row r="21" spans="1:21" ht="15" customHeight="1">
      <c r="A21" s="31" t="s">
        <v>23</v>
      </c>
      <c r="B21" s="54">
        <f>'Расчет субсидий'!AD21</f>
        <v>416.5090909090909</v>
      </c>
      <c r="C21" s="56">
        <f>'Расчет субсидий'!D21-1</f>
        <v>-3.7176724137930606E-3</v>
      </c>
      <c r="D21" s="56">
        <f>C21*'Расчет субсидий'!E21</f>
        <v>-3.7176724137930606E-2</v>
      </c>
      <c r="E21" s="57">
        <f t="shared" si="4"/>
        <v>-2.1699190968136337</v>
      </c>
      <c r="F21" s="62" t="s">
        <v>394</v>
      </c>
      <c r="G21" s="62" t="s">
        <v>394</v>
      </c>
      <c r="H21" s="63" t="s">
        <v>394</v>
      </c>
      <c r="I21" s="56">
        <f>'Расчет субсидий'!L21-1</f>
        <v>6.4638783269961975E-2</v>
      </c>
      <c r="J21" s="56">
        <f>I21*'Расчет субсидий'!M21</f>
        <v>0.64638783269961975</v>
      </c>
      <c r="K21" s="57">
        <f t="shared" si="5"/>
        <v>37.728157460001412</v>
      </c>
      <c r="L21" s="56">
        <f>'Расчет субсидий'!P21-1</f>
        <v>0.27492557789733807</v>
      </c>
      <c r="M21" s="56">
        <f>L21*'Расчет субсидий'!Q21</f>
        <v>5.4985115579467614</v>
      </c>
      <c r="N21" s="57">
        <f t="shared" si="6"/>
        <v>320.93535700919625</v>
      </c>
      <c r="O21" s="56">
        <f>'Расчет субсидий'!T21-1</f>
        <v>2.6234567901234573E-2</v>
      </c>
      <c r="P21" s="56">
        <f>O21*'Расчет субсидий'!U21</f>
        <v>0.13117283950617287</v>
      </c>
      <c r="Q21" s="57">
        <f t="shared" si="7"/>
        <v>7.6562541759107816</v>
      </c>
      <c r="R21" s="56">
        <f>'Расчет субсидий'!X21-1</f>
        <v>0.17941176470588238</v>
      </c>
      <c r="S21" s="56">
        <f>R21*'Расчет субсидий'!Y21</f>
        <v>0.89705882352941191</v>
      </c>
      <c r="T21" s="57">
        <f t="shared" si="8"/>
        <v>52.359241360796084</v>
      </c>
      <c r="U21" s="56">
        <f t="shared" si="9"/>
        <v>7.1359543295440355</v>
      </c>
    </row>
    <row r="22" spans="1:21" ht="15" customHeight="1">
      <c r="A22" s="31" t="s">
        <v>24</v>
      </c>
      <c r="B22" s="54">
        <f>'Расчет субсидий'!AD22</f>
        <v>738.80909090909063</v>
      </c>
      <c r="C22" s="56">
        <f>'Расчет субсидий'!D22-1</f>
        <v>0.19516048561450194</v>
      </c>
      <c r="D22" s="56">
        <f>C22*'Расчет субсидий'!E22</f>
        <v>1.9516048561450194</v>
      </c>
      <c r="E22" s="57">
        <f t="shared" si="4"/>
        <v>172.44211401817142</v>
      </c>
      <c r="F22" s="62" t="s">
        <v>394</v>
      </c>
      <c r="G22" s="62" t="s">
        <v>394</v>
      </c>
      <c r="H22" s="63" t="s">
        <v>394</v>
      </c>
      <c r="I22" s="56">
        <f>'Расчет субсидий'!L22-1</f>
        <v>6.5573770491803351E-2</v>
      </c>
      <c r="J22" s="56">
        <f>I22*'Расчет субсидий'!M22</f>
        <v>0.65573770491803351</v>
      </c>
      <c r="K22" s="57">
        <f t="shared" si="5"/>
        <v>57.940415408090736</v>
      </c>
      <c r="L22" s="56">
        <f>'Расчет субсидий'!P22-1</f>
        <v>0.19702067485859165</v>
      </c>
      <c r="M22" s="56">
        <f>L22*'Расчет субсидий'!Q22</f>
        <v>3.940413497171833</v>
      </c>
      <c r="N22" s="57">
        <f t="shared" si="6"/>
        <v>348.17152223131961</v>
      </c>
      <c r="O22" s="56">
        <f>'Расчет субсидий'!T22-1</f>
        <v>0.17402597402597397</v>
      </c>
      <c r="P22" s="56">
        <f>O22*'Расчет субсидий'!U22</f>
        <v>0.87012987012986986</v>
      </c>
      <c r="Q22" s="57">
        <f t="shared" si="7"/>
        <v>76.883921354826782</v>
      </c>
      <c r="R22" s="56">
        <f>'Расчет субсидий'!X22-1</f>
        <v>0.18870967741935485</v>
      </c>
      <c r="S22" s="56">
        <f>R22*'Расчет субсидий'!Y22</f>
        <v>0.94354838709677424</v>
      </c>
      <c r="T22" s="57">
        <f t="shared" si="8"/>
        <v>83.371117896682094</v>
      </c>
      <c r="U22" s="56">
        <f t="shared" si="9"/>
        <v>8.3614343154615298</v>
      </c>
    </row>
    <row r="23" spans="1:21" ht="15" customHeight="1">
      <c r="A23" s="31" t="s">
        <v>25</v>
      </c>
      <c r="B23" s="54">
        <f>'Расчет субсидий'!AD23</f>
        <v>-286.74545454545432</v>
      </c>
      <c r="C23" s="56">
        <f>'Расчет субсидий'!D23-1</f>
        <v>0.21849376067933513</v>
      </c>
      <c r="D23" s="56">
        <f>C23*'Расчет субсидий'!E23</f>
        <v>2.1849376067933513</v>
      </c>
      <c r="E23" s="57">
        <f t="shared" si="4"/>
        <v>138.5348994724564</v>
      </c>
      <c r="F23" s="62" t="s">
        <v>394</v>
      </c>
      <c r="G23" s="62" t="s">
        <v>394</v>
      </c>
      <c r="H23" s="63" t="s">
        <v>394</v>
      </c>
      <c r="I23" s="56">
        <f>'Расчет субсидий'!L23-1</f>
        <v>4.5627376425855459E-2</v>
      </c>
      <c r="J23" s="56">
        <f>I23*'Расчет субсидий'!M23</f>
        <v>0.68441064638783189</v>
      </c>
      <c r="K23" s="57">
        <f t="shared" si="5"/>
        <v>43.394722027952469</v>
      </c>
      <c r="L23" s="56">
        <f>'Расчет субсидий'!P23-1</f>
        <v>-0.45789392951643215</v>
      </c>
      <c r="M23" s="56">
        <f>L23*'Расчет субсидий'!Q23</f>
        <v>-9.157878590328643</v>
      </c>
      <c r="N23" s="57">
        <f t="shared" si="6"/>
        <v>-580.65080940873293</v>
      </c>
      <c r="O23" s="56">
        <f>'Расчет субсидий'!T23-1</f>
        <v>0.17656391659111526</v>
      </c>
      <c r="P23" s="56">
        <f>O23*'Расчет субсидий'!U23</f>
        <v>0.88281958295557628</v>
      </c>
      <c r="Q23" s="57">
        <f t="shared" si="7"/>
        <v>55.974743533550139</v>
      </c>
      <c r="R23" s="56">
        <f>'Расчет субсидий'!X23-1</f>
        <v>0.17664670658682624</v>
      </c>
      <c r="S23" s="56">
        <f>R23*'Расчет субсидий'!Y23</f>
        <v>0.8832335329341312</v>
      </c>
      <c r="T23" s="57">
        <f t="shared" si="8"/>
        <v>56.0009898293196</v>
      </c>
      <c r="U23" s="56">
        <f t="shared" si="9"/>
        <v>-4.522477221257752</v>
      </c>
    </row>
    <row r="24" spans="1:21" ht="15" customHeight="1">
      <c r="A24" s="31" t="s">
        <v>26</v>
      </c>
      <c r="B24" s="54">
        <f>'Расчет субсидий'!AD24</f>
        <v>-6.0363636363636033</v>
      </c>
      <c r="C24" s="56">
        <f>'Расчет субсидий'!D24-1</f>
        <v>7.1690378586930503E-3</v>
      </c>
      <c r="D24" s="56">
        <f>C24*'Расчет субсидий'!E24</f>
        <v>7.1690378586930503E-2</v>
      </c>
      <c r="E24" s="57">
        <f t="shared" si="4"/>
        <v>5.4823346220760536</v>
      </c>
      <c r="F24" s="62" t="s">
        <v>394</v>
      </c>
      <c r="G24" s="62" t="s">
        <v>394</v>
      </c>
      <c r="H24" s="63" t="s">
        <v>394</v>
      </c>
      <c r="I24" s="56">
        <f>'Расчет субсидий'!L24-1</f>
        <v>9.8265895953757232E-2</v>
      </c>
      <c r="J24" s="56">
        <f>I24*'Расчет субсидий'!M24</f>
        <v>0.49132947976878616</v>
      </c>
      <c r="K24" s="57">
        <f t="shared" si="5"/>
        <v>37.573139811457132</v>
      </c>
      <c r="L24" s="56">
        <f>'Расчет субсидий'!P24-1</f>
        <v>-0.11126316213996601</v>
      </c>
      <c r="M24" s="56">
        <f>L24*'Расчет субсидий'!Q24</f>
        <v>-2.2252632427993202</v>
      </c>
      <c r="N24" s="57">
        <f t="shared" si="6"/>
        <v>-170.17119953466107</v>
      </c>
      <c r="O24" s="56">
        <f>'Расчет субсидий'!T24-1</f>
        <v>0.1591903719912473</v>
      </c>
      <c r="P24" s="56">
        <f>O24*'Расчет субсидий'!U24</f>
        <v>0.79595185995623652</v>
      </c>
      <c r="Q24" s="57">
        <f t="shared" si="7"/>
        <v>60.868341405849741</v>
      </c>
      <c r="R24" s="56">
        <f>'Расчет субсидий'!X24-1</f>
        <v>0.15747126436781622</v>
      </c>
      <c r="S24" s="56">
        <f>R24*'Расчет субсидий'!Y24</f>
        <v>0.78735632183908111</v>
      </c>
      <c r="T24" s="57">
        <f t="shared" si="8"/>
        <v>60.211020058914549</v>
      </c>
      <c r="U24" s="56">
        <f t="shared" si="9"/>
        <v>-7.8935202648285907E-2</v>
      </c>
    </row>
    <row r="25" spans="1:21" ht="15" customHeight="1">
      <c r="A25" s="31" t="s">
        <v>27</v>
      </c>
      <c r="B25" s="54">
        <f>'Расчет субсидий'!AD25</f>
        <v>-3.6090909090909236</v>
      </c>
      <c r="C25" s="56">
        <f>'Расчет субсидий'!D25-1</f>
        <v>0.23107807535179292</v>
      </c>
      <c r="D25" s="56">
        <f>C25*'Расчет субсидий'!E25</f>
        <v>2.3107807535179292</v>
      </c>
      <c r="E25" s="57">
        <f t="shared" si="4"/>
        <v>47.636599148359963</v>
      </c>
      <c r="F25" s="62" t="s">
        <v>394</v>
      </c>
      <c r="G25" s="62" t="s">
        <v>394</v>
      </c>
      <c r="H25" s="63" t="s">
        <v>394</v>
      </c>
      <c r="I25" s="56">
        <f>'Расчет субсидий'!L25-1</f>
        <v>7.6923076923076872E-2</v>
      </c>
      <c r="J25" s="56">
        <f>I25*'Расчет субсидий'!M25</f>
        <v>0.76923076923076872</v>
      </c>
      <c r="K25" s="57">
        <f t="shared" si="5"/>
        <v>15.857643677637807</v>
      </c>
      <c r="L25" s="56">
        <f>'Расчет субсидий'!P25-1</f>
        <v>-0.19847428935739875</v>
      </c>
      <c r="M25" s="56">
        <f>L25*'Расчет субсидий'!Q25</f>
        <v>-3.969485787147975</v>
      </c>
      <c r="N25" s="57">
        <f t="shared" si="6"/>
        <v>-81.830698554852333</v>
      </c>
      <c r="O25" s="56">
        <f>'Расчет субсидий'!T25-1</f>
        <v>0.16595744680851077</v>
      </c>
      <c r="P25" s="56">
        <f>O25*'Расчет субсидий'!U25</f>
        <v>0.82978723404255383</v>
      </c>
      <c r="Q25" s="57">
        <f t="shared" si="7"/>
        <v>17.106011371409316</v>
      </c>
      <c r="R25" s="56">
        <f>'Расчет субсидий'!X25-1</f>
        <v>-2.3076923076923106E-2</v>
      </c>
      <c r="S25" s="56">
        <f>R25*'Расчет субсидий'!Y25</f>
        <v>-0.11538461538461553</v>
      </c>
      <c r="T25" s="57">
        <f t="shared" si="8"/>
        <v>-2.3786465516456752</v>
      </c>
      <c r="U25" s="56">
        <f t="shared" si="9"/>
        <v>-0.17507164574133871</v>
      </c>
    </row>
    <row r="26" spans="1:21" ht="15" customHeight="1">
      <c r="A26" s="31" t="s">
        <v>28</v>
      </c>
      <c r="B26" s="54">
        <f>'Расчет субсидий'!AD26</f>
        <v>-143.4545454545455</v>
      </c>
      <c r="C26" s="56">
        <f>'Расчет субсидий'!D26-1</f>
        <v>2.2243558969435195E-2</v>
      </c>
      <c r="D26" s="56">
        <f>C26*'Расчет субсидий'!E26</f>
        <v>0.22243558969435195</v>
      </c>
      <c r="E26" s="57">
        <f t="shared" si="4"/>
        <v>15.76697755153911</v>
      </c>
      <c r="F26" s="62" t="s">
        <v>394</v>
      </c>
      <c r="G26" s="62" t="s">
        <v>394</v>
      </c>
      <c r="H26" s="63" t="s">
        <v>394</v>
      </c>
      <c r="I26" s="56">
        <f>'Расчет субсидий'!L26-1</f>
        <v>0.12244897959183665</v>
      </c>
      <c r="J26" s="56">
        <f>I26*'Расчет субсидий'!M26</f>
        <v>1.8367346938775497</v>
      </c>
      <c r="K26" s="57">
        <f t="shared" si="5"/>
        <v>130.19388995391381</v>
      </c>
      <c r="L26" s="56">
        <f>'Расчет субсидий'!P26-1</f>
        <v>-0.23482225896455522</v>
      </c>
      <c r="M26" s="56">
        <f>L26*'Расчет субсидий'!Q26</f>
        <v>-4.6964451792911044</v>
      </c>
      <c r="N26" s="57">
        <f t="shared" si="6"/>
        <v>-332.89972083903956</v>
      </c>
      <c r="O26" s="56">
        <f>'Расчет субсидий'!T26-1</f>
        <v>-9.3409090909090886E-2</v>
      </c>
      <c r="P26" s="56">
        <f>O26*'Расчет субсидий'!U26</f>
        <v>-0.46704545454545443</v>
      </c>
      <c r="Q26" s="57">
        <f t="shared" si="7"/>
        <v>-33.105741790175145</v>
      </c>
      <c r="R26" s="56">
        <f>'Расчет субсидий'!X26-1</f>
        <v>0.21610169491525411</v>
      </c>
      <c r="S26" s="56">
        <f>R26*'Расчет субсидий'!Y26</f>
        <v>1.0805084745762705</v>
      </c>
      <c r="T26" s="57">
        <f t="shared" si="8"/>
        <v>76.590049669216256</v>
      </c>
      <c r="U26" s="56">
        <f t="shared" si="9"/>
        <v>-2.0238118756883861</v>
      </c>
    </row>
    <row r="27" spans="1:21" ht="15" customHeight="1">
      <c r="A27" s="31" t="s">
        <v>29</v>
      </c>
      <c r="B27" s="54">
        <f>'Расчет субсидий'!AD27</f>
        <v>-69.127272727272725</v>
      </c>
      <c r="C27" s="56">
        <f>'Расчет субсидий'!D27-1</f>
        <v>3.7074278300356811E-2</v>
      </c>
      <c r="D27" s="56">
        <f>C27*'Расчет субсидий'!E27</f>
        <v>0.37074278300356811</v>
      </c>
      <c r="E27" s="57">
        <f t="shared" si="4"/>
        <v>5.5725835798788657</v>
      </c>
      <c r="F27" s="62" t="s">
        <v>394</v>
      </c>
      <c r="G27" s="62" t="s">
        <v>394</v>
      </c>
      <c r="H27" s="63" t="s">
        <v>394</v>
      </c>
      <c r="I27" s="56">
        <f>'Расчет субсидий'!L27-1</f>
        <v>-2.4390243902439046E-2</v>
      </c>
      <c r="J27" s="56">
        <f>I27*'Расчет субсидий'!M27</f>
        <v>-0.36585365853658569</v>
      </c>
      <c r="K27" s="57">
        <f t="shared" si="5"/>
        <v>-5.4990958250965205</v>
      </c>
      <c r="L27" s="56">
        <f>'Расчет субсидий'!P27-1</f>
        <v>-0.38481016639929533</v>
      </c>
      <c r="M27" s="56">
        <f>L27*'Расчет субсидий'!Q27</f>
        <v>-7.6962033279859066</v>
      </c>
      <c r="N27" s="57">
        <f t="shared" si="6"/>
        <v>-115.68056954605797</v>
      </c>
      <c r="O27" s="56">
        <f>'Расчет субсидий'!T27-1</f>
        <v>0.205125</v>
      </c>
      <c r="P27" s="56">
        <f>O27*'Расчет субсидий'!U27</f>
        <v>1.025625</v>
      </c>
      <c r="Q27" s="57">
        <f t="shared" si="7"/>
        <v>15.416027758679945</v>
      </c>
      <c r="R27" s="56">
        <f>'Расчет субсидий'!X27-1</f>
        <v>0.20666666666666655</v>
      </c>
      <c r="S27" s="56">
        <f>R27*'Расчет субсидий'!Y27</f>
        <v>2.0666666666666655</v>
      </c>
      <c r="T27" s="57">
        <f t="shared" si="8"/>
        <v>31.063781305322969</v>
      </c>
      <c r="U27" s="56">
        <f t="shared" si="9"/>
        <v>-4.5990225368522593</v>
      </c>
    </row>
    <row r="28" spans="1:21" ht="15" customHeight="1">
      <c r="A28" s="31" t="s">
        <v>30</v>
      </c>
      <c r="B28" s="54">
        <f>'Расчет субсидий'!AD28</f>
        <v>-359.79090909090883</v>
      </c>
      <c r="C28" s="56">
        <f>'Расчет субсидий'!D28-1</f>
        <v>0.22054153554150835</v>
      </c>
      <c r="D28" s="56">
        <f>C28*'Расчет субсидий'!E28</f>
        <v>2.2054153554150835</v>
      </c>
      <c r="E28" s="57">
        <f t="shared" si="4"/>
        <v>195.48005011306628</v>
      </c>
      <c r="F28" s="62" t="s">
        <v>394</v>
      </c>
      <c r="G28" s="62" t="s">
        <v>394</v>
      </c>
      <c r="H28" s="63" t="s">
        <v>394</v>
      </c>
      <c r="I28" s="56">
        <f>'Расчет субсидий'!L28-1</f>
        <v>-0.19191919191919193</v>
      </c>
      <c r="J28" s="56">
        <f>I28*'Расчет субсидий'!M28</f>
        <v>-1.9191919191919193</v>
      </c>
      <c r="K28" s="57">
        <f t="shared" si="5"/>
        <v>-170.11023869905827</v>
      </c>
      <c r="L28" s="56">
        <f>'Расчет субсидий'!P28-1</f>
        <v>-0.42778583358148081</v>
      </c>
      <c r="M28" s="56">
        <f>L28*'Расчет субсидий'!Q28</f>
        <v>-8.5557166716296162</v>
      </c>
      <c r="N28" s="57">
        <f t="shared" si="6"/>
        <v>-758.34781852626406</v>
      </c>
      <c r="O28" s="56">
        <f>'Расчет субсидий'!T28-1</f>
        <v>0.21965217391304348</v>
      </c>
      <c r="P28" s="56">
        <f>O28*'Расчет субсидий'!U28</f>
        <v>2.1965217391304348</v>
      </c>
      <c r="Q28" s="57">
        <f t="shared" si="7"/>
        <v>194.69175209349331</v>
      </c>
      <c r="R28" s="56">
        <f>'Расчет субсидий'!X28-1</f>
        <v>0.20137931034482759</v>
      </c>
      <c r="S28" s="56">
        <f>R28*'Расчет субсидий'!Y28</f>
        <v>2.0137931034482759</v>
      </c>
      <c r="T28" s="57">
        <f t="shared" si="8"/>
        <v>178.49534592785392</v>
      </c>
      <c r="U28" s="56">
        <f t="shared" si="9"/>
        <v>-4.0591783928277412</v>
      </c>
    </row>
    <row r="29" spans="1:21" ht="15" customHeight="1">
      <c r="A29" s="31" t="s">
        <v>31</v>
      </c>
      <c r="B29" s="54">
        <f>'Расчет субсидий'!AD29</f>
        <v>1953.9090909090901</v>
      </c>
      <c r="C29" s="56">
        <f>'Расчет субсидий'!D29-1</f>
        <v>0.22220058290358402</v>
      </c>
      <c r="D29" s="56">
        <f>C29*'Расчет субсидий'!E29</f>
        <v>2.2220058290358402</v>
      </c>
      <c r="E29" s="57">
        <f t="shared" si="4"/>
        <v>377.87300047681708</v>
      </c>
      <c r="F29" s="62" t="s">
        <v>394</v>
      </c>
      <c r="G29" s="62" t="s">
        <v>394</v>
      </c>
      <c r="H29" s="63" t="s">
        <v>394</v>
      </c>
      <c r="I29" s="56">
        <f>'Расчет субсидий'!L29-1</f>
        <v>0.12612612612612617</v>
      </c>
      <c r="J29" s="56">
        <f>I29*'Расчет субсидий'!M29</f>
        <v>0.63063063063063085</v>
      </c>
      <c r="K29" s="57">
        <f t="shared" si="5"/>
        <v>107.24467302247577</v>
      </c>
      <c r="L29" s="56">
        <f>'Расчет субсидий'!P29-1</f>
        <v>0.236030660657641</v>
      </c>
      <c r="M29" s="56">
        <f>L29*'Расчет субсидий'!Q29</f>
        <v>4.72061321315282</v>
      </c>
      <c r="N29" s="57">
        <f t="shared" si="6"/>
        <v>802.78469823752789</v>
      </c>
      <c r="O29" s="56">
        <f>'Расчет субсидий'!T29-1</f>
        <v>3.9119804400977953E-2</v>
      </c>
      <c r="P29" s="56">
        <f>O29*'Расчет субсидий'!U29</f>
        <v>0.19559902200488977</v>
      </c>
      <c r="Q29" s="57">
        <f t="shared" si="7"/>
        <v>33.26345429408255</v>
      </c>
      <c r="R29" s="56">
        <f>'Расчет субсидий'!X29-1</f>
        <v>0.24804792810783827</v>
      </c>
      <c r="S29" s="56">
        <f>R29*'Расчет субсидий'!Y29</f>
        <v>3.720718921617574</v>
      </c>
      <c r="T29" s="57">
        <f t="shared" si="8"/>
        <v>632.74326487818701</v>
      </c>
      <c r="U29" s="56">
        <f t="shared" si="9"/>
        <v>11.489567616441754</v>
      </c>
    </row>
    <row r="30" spans="1:21" ht="15" customHeight="1">
      <c r="A30" s="31" t="s">
        <v>32</v>
      </c>
      <c r="B30" s="54">
        <f>'Расчет субсидий'!AD30</f>
        <v>-47.527272727272702</v>
      </c>
      <c r="C30" s="56">
        <f>'Расчет субсидий'!D30-1</f>
        <v>3.8365122615804381E-3</v>
      </c>
      <c r="D30" s="56">
        <f>C30*'Расчет субсидий'!E30</f>
        <v>3.8365122615804381E-2</v>
      </c>
      <c r="E30" s="57">
        <f t="shared" si="4"/>
        <v>1.0954721389869544</v>
      </c>
      <c r="F30" s="62" t="s">
        <v>394</v>
      </c>
      <c r="G30" s="62" t="s">
        <v>394</v>
      </c>
      <c r="H30" s="63" t="s">
        <v>394</v>
      </c>
      <c r="I30" s="56">
        <f>'Расчет субсидий'!L30-1</f>
        <v>0.21475177304964532</v>
      </c>
      <c r="J30" s="56">
        <f>I30*'Расчет субсидий'!M30</f>
        <v>2.1475177304964532</v>
      </c>
      <c r="K30" s="57">
        <f t="shared" si="5"/>
        <v>61.319909369199735</v>
      </c>
      <c r="L30" s="56">
        <f>'Расчет субсидий'!P30-1</f>
        <v>-0.30979836441521347</v>
      </c>
      <c r="M30" s="56">
        <f>L30*'Расчет субсидий'!Q30</f>
        <v>-6.1959672883042689</v>
      </c>
      <c r="N30" s="57">
        <f t="shared" si="6"/>
        <v>-176.91875004240924</v>
      </c>
      <c r="O30" s="56">
        <f>'Расчет субсидий'!T30-1</f>
        <v>1.6194331983805377E-3</v>
      </c>
      <c r="P30" s="56">
        <f>O30*'Расчет субсидий'!U30</f>
        <v>1.6194331983805377E-2</v>
      </c>
      <c r="Q30" s="57">
        <f t="shared" si="7"/>
        <v>0.46241060338631657</v>
      </c>
      <c r="R30" s="56">
        <f>'Расчет субсидий'!X30-1</f>
        <v>0.23294117647058821</v>
      </c>
      <c r="S30" s="56">
        <f>R30*'Расчет субсидий'!Y30</f>
        <v>2.3294117647058821</v>
      </c>
      <c r="T30" s="57">
        <f t="shared" si="8"/>
        <v>66.51368520356354</v>
      </c>
      <c r="U30" s="56">
        <f t="shared" si="9"/>
        <v>-1.6644783385023239</v>
      </c>
    </row>
    <row r="31" spans="1:21" ht="15" customHeight="1">
      <c r="A31" s="31" t="s">
        <v>33</v>
      </c>
      <c r="B31" s="54">
        <f>'Расчет субсидий'!AD31</f>
        <v>100.91818181818189</v>
      </c>
      <c r="C31" s="56">
        <f>'Расчет субсидий'!D31-1</f>
        <v>7.3342881633627455E-2</v>
      </c>
      <c r="D31" s="56">
        <f>C31*'Расчет субсидий'!E31</f>
        <v>0.73342881633627455</v>
      </c>
      <c r="E31" s="57">
        <f t="shared" si="4"/>
        <v>39.535578210695846</v>
      </c>
      <c r="F31" s="62" t="s">
        <v>394</v>
      </c>
      <c r="G31" s="62" t="s">
        <v>394</v>
      </c>
      <c r="H31" s="63" t="s">
        <v>394</v>
      </c>
      <c r="I31" s="56">
        <f>'Расчет субсидий'!L31-1</f>
        <v>0.20068965517241377</v>
      </c>
      <c r="J31" s="56">
        <f>I31*'Расчет субсидий'!M31</f>
        <v>2.0068965517241377</v>
      </c>
      <c r="K31" s="57">
        <f t="shared" si="5"/>
        <v>108.182026413708</v>
      </c>
      <c r="L31" s="56">
        <f>'Расчет субсидий'!P31-1</f>
        <v>-0.19658398970261637</v>
      </c>
      <c r="M31" s="56">
        <f>L31*'Расчет субсидий'!Q31</f>
        <v>-3.9316797940523274</v>
      </c>
      <c r="N31" s="57">
        <f t="shared" si="6"/>
        <v>-211.93772392752436</v>
      </c>
      <c r="O31" s="56">
        <f>'Расчет субсидий'!T31-1</f>
        <v>0.20383517196625567</v>
      </c>
      <c r="P31" s="56">
        <f>O31*'Расчет субсидий'!U31</f>
        <v>2.0383517196625567</v>
      </c>
      <c r="Q31" s="57">
        <f t="shared" si="7"/>
        <v>109.87762143869234</v>
      </c>
      <c r="R31" s="56">
        <f>'Расчет субсидий'!X31-1</f>
        <v>0.20502937720329029</v>
      </c>
      <c r="S31" s="56">
        <f>R31*'Расчет субсидий'!Y31</f>
        <v>1.0251468860164514</v>
      </c>
      <c r="T31" s="57">
        <f t="shared" si="8"/>
        <v>55.260679682610068</v>
      </c>
      <c r="U31" s="56">
        <f t="shared" si="9"/>
        <v>1.872144179687093</v>
      </c>
    </row>
    <row r="32" spans="1:21" ht="15" customHeight="1">
      <c r="A32" s="31" t="s">
        <v>34</v>
      </c>
      <c r="B32" s="54">
        <f>'Расчет субсидий'!AD32</f>
        <v>-82.481818181818198</v>
      </c>
      <c r="C32" s="56">
        <f>'Расчет субсидий'!D32-1</f>
        <v>-6.8274818883846899E-2</v>
      </c>
      <c r="D32" s="56">
        <f>C32*'Расчет субсидий'!E32</f>
        <v>-0.68274818883846899</v>
      </c>
      <c r="E32" s="57">
        <f t="shared" si="4"/>
        <v>-30.732553167802084</v>
      </c>
      <c r="F32" s="62" t="s">
        <v>394</v>
      </c>
      <c r="G32" s="62" t="s">
        <v>394</v>
      </c>
      <c r="H32" s="63" t="s">
        <v>394</v>
      </c>
      <c r="I32" s="56">
        <f>'Расчет субсидий'!L32-1</f>
        <v>-5.4054054054054057E-2</v>
      </c>
      <c r="J32" s="56">
        <f>I32*'Расчет субсидий'!M32</f>
        <v>-0.81081081081081086</v>
      </c>
      <c r="K32" s="57">
        <f t="shared" si="5"/>
        <v>-36.497037648191203</v>
      </c>
      <c r="L32" s="56">
        <f>'Расчет субсидий'!P32-1</f>
        <v>-4.5428164900587764E-2</v>
      </c>
      <c r="M32" s="56">
        <f>L32*'Расчет субсидий'!Q32</f>
        <v>-0.90856329801175528</v>
      </c>
      <c r="N32" s="57">
        <f t="shared" si="6"/>
        <v>-40.897171635069753</v>
      </c>
      <c r="O32" s="56">
        <f>'Расчет субсидий'!T32-1</f>
        <v>0.14122137404580148</v>
      </c>
      <c r="P32" s="56">
        <f>O32*'Расчет субсидий'!U32</f>
        <v>1.4122137404580148</v>
      </c>
      <c r="Q32" s="57">
        <f t="shared" si="7"/>
        <v>63.567995598439886</v>
      </c>
      <c r="R32" s="56">
        <f>'Расчет субсидий'!X32-1</f>
        <v>-8.4249084249084283E-2</v>
      </c>
      <c r="S32" s="56">
        <f>R32*'Расчет субсидий'!Y32</f>
        <v>-0.84249084249084283</v>
      </c>
      <c r="T32" s="57">
        <f t="shared" si="8"/>
        <v>-37.923051329195033</v>
      </c>
      <c r="U32" s="56">
        <f t="shared" si="9"/>
        <v>-1.8323993996938632</v>
      </c>
    </row>
    <row r="33" spans="1:21" ht="15" customHeight="1">
      <c r="A33" s="31" t="s">
        <v>1</v>
      </c>
      <c r="B33" s="54">
        <f>'Расчет субсидий'!AD33</f>
        <v>-505.85454545454468</v>
      </c>
      <c r="C33" s="56">
        <f>'Расчет субсидий'!D33-1</f>
        <v>-0.25878649752260929</v>
      </c>
      <c r="D33" s="56">
        <f>C33*'Расчет субсидий'!E33</f>
        <v>-2.5878649752260929</v>
      </c>
      <c r="E33" s="57">
        <f t="shared" si="4"/>
        <v>-246.93506451862459</v>
      </c>
      <c r="F33" s="62" t="s">
        <v>394</v>
      </c>
      <c r="G33" s="62" t="s">
        <v>394</v>
      </c>
      <c r="H33" s="63" t="s">
        <v>394</v>
      </c>
      <c r="I33" s="56">
        <f>'Расчет субсидий'!L33-1</f>
        <v>-6.8100358422939045E-2</v>
      </c>
      <c r="J33" s="56">
        <f>I33*'Расчет субсидий'!M33</f>
        <v>-0.68100358422939045</v>
      </c>
      <c r="K33" s="57">
        <f t="shared" si="5"/>
        <v>-64.981622155308642</v>
      </c>
      <c r="L33" s="56">
        <f>'Расчет субсидий'!P33-1</f>
        <v>-0.21235358407184779</v>
      </c>
      <c r="M33" s="56">
        <f>L33*'Расчет субсидий'!Q33</f>
        <v>-4.2470716814369558</v>
      </c>
      <c r="N33" s="57">
        <f t="shared" si="6"/>
        <v>-405.25720225385118</v>
      </c>
      <c r="O33" s="56">
        <f>'Расчет субсидий'!T33-1</f>
        <v>-8.8552568024472533E-3</v>
      </c>
      <c r="P33" s="56">
        <f>O33*'Расчет субсидий'!U33</f>
        <v>-4.4276284012236267E-2</v>
      </c>
      <c r="Q33" s="57">
        <f t="shared" si="7"/>
        <v>-4.224859934298272</v>
      </c>
      <c r="R33" s="56">
        <f>'Расчет субсидий'!X33-1</f>
        <v>0.2258890594167946</v>
      </c>
      <c r="S33" s="56">
        <f>R33*'Расчет субсидий'!Y33</f>
        <v>2.258890594167946</v>
      </c>
      <c r="T33" s="57">
        <f t="shared" si="8"/>
        <v>215.54420340753791</v>
      </c>
      <c r="U33" s="56">
        <f t="shared" si="9"/>
        <v>-5.3013259307367289</v>
      </c>
    </row>
    <row r="34" spans="1:21" ht="15" customHeight="1">
      <c r="A34" s="31" t="s">
        <v>35</v>
      </c>
      <c r="B34" s="54">
        <f>'Расчет субсидий'!AD34</f>
        <v>-375.4454545454546</v>
      </c>
      <c r="C34" s="56">
        <f>'Расчет субсидий'!D34-1</f>
        <v>0.18070966681096245</v>
      </c>
      <c r="D34" s="56">
        <f>C34*'Расчет субсидий'!E34</f>
        <v>1.8070966681096245</v>
      </c>
      <c r="E34" s="57">
        <f t="shared" si="4"/>
        <v>93.264384272020393</v>
      </c>
      <c r="F34" s="62" t="s">
        <v>394</v>
      </c>
      <c r="G34" s="62" t="s">
        <v>394</v>
      </c>
      <c r="H34" s="63" t="s">
        <v>394</v>
      </c>
      <c r="I34" s="56">
        <f>'Расчет субсидий'!L34-1</f>
        <v>3.8461538461538547E-2</v>
      </c>
      <c r="J34" s="56">
        <f>I34*'Расчет субсидий'!M34</f>
        <v>0.38461538461538547</v>
      </c>
      <c r="K34" s="57">
        <f t="shared" si="5"/>
        <v>19.850026653651149</v>
      </c>
      <c r="L34" s="56">
        <f>'Расчет субсидий'!P34-1</f>
        <v>-0.4331661877248929</v>
      </c>
      <c r="M34" s="56">
        <f>L34*'Расчет субсидий'!Q34</f>
        <v>-8.6633237544978581</v>
      </c>
      <c r="N34" s="57">
        <f t="shared" si="6"/>
        <v>-447.11473933357723</v>
      </c>
      <c r="O34" s="56">
        <f>'Расчет субсидий'!T34-1</f>
        <v>8.4289276807980151E-2</v>
      </c>
      <c r="P34" s="56">
        <f>O34*'Расчет субсидий'!U34</f>
        <v>0.42144638403990076</v>
      </c>
      <c r="Q34" s="57">
        <f t="shared" si="7"/>
        <v>21.750877086319967</v>
      </c>
      <c r="R34" s="56">
        <f>'Расчет субсидий'!X34-1</f>
        <v>-0.24489795918367352</v>
      </c>
      <c r="S34" s="56">
        <f>R34*'Расчет субсидий'!Y34</f>
        <v>-1.2244897959183676</v>
      </c>
      <c r="T34" s="57">
        <f t="shared" si="8"/>
        <v>-63.196003223868836</v>
      </c>
      <c r="U34" s="56">
        <f t="shared" si="9"/>
        <v>-7.2746551136513151</v>
      </c>
    </row>
    <row r="35" spans="1:21" ht="15" customHeight="1">
      <c r="A35" s="31" t="s">
        <v>36</v>
      </c>
      <c r="B35" s="54">
        <f>'Расчет субсидий'!AD35</f>
        <v>-14.927272727272793</v>
      </c>
      <c r="C35" s="56">
        <f>'Расчет субсидий'!D35-1</f>
        <v>5.2042905899561287E-2</v>
      </c>
      <c r="D35" s="56">
        <f>C35*'Расчет субсидий'!E35</f>
        <v>0.52042905899561287</v>
      </c>
      <c r="E35" s="57">
        <f t="shared" si="4"/>
        <v>16.582965909005452</v>
      </c>
      <c r="F35" s="62" t="s">
        <v>394</v>
      </c>
      <c r="G35" s="62" t="s">
        <v>394</v>
      </c>
      <c r="H35" s="63" t="s">
        <v>394</v>
      </c>
      <c r="I35" s="56">
        <f>'Расчет субсидий'!L35-1</f>
        <v>6.6176470588235281E-2</v>
      </c>
      <c r="J35" s="56">
        <f>I35*'Расчет субсидий'!M35</f>
        <v>0.99264705882352922</v>
      </c>
      <c r="K35" s="57">
        <f t="shared" si="5"/>
        <v>31.629733297202144</v>
      </c>
      <c r="L35" s="56">
        <f>'Расчет субсидий'!P35-1</f>
        <v>-0.25047942857672256</v>
      </c>
      <c r="M35" s="56">
        <f>L35*'Расчет субсидий'!Q35</f>
        <v>-5.0095885715344508</v>
      </c>
      <c r="N35" s="57">
        <f t="shared" si="6"/>
        <v>-159.625668597801</v>
      </c>
      <c r="O35" s="56">
        <f>'Расчет субсидий'!T35-1</f>
        <v>0.20962264150943399</v>
      </c>
      <c r="P35" s="56">
        <f>O35*'Расчет субсидий'!U35</f>
        <v>2.0962264150943399</v>
      </c>
      <c r="Q35" s="57">
        <f t="shared" si="7"/>
        <v>66.794216383984022</v>
      </c>
      <c r="R35" s="56">
        <f>'Расчет субсидий'!X35-1</f>
        <v>0.18636363636363651</v>
      </c>
      <c r="S35" s="56">
        <f>R35*'Расчет субсидий'!Y35</f>
        <v>0.93181818181818254</v>
      </c>
      <c r="T35" s="57">
        <f t="shared" si="8"/>
        <v>29.691480280336584</v>
      </c>
      <c r="U35" s="56">
        <f t="shared" si="9"/>
        <v>-0.46846785680278646</v>
      </c>
    </row>
    <row r="36" spans="1:21" ht="15" customHeight="1">
      <c r="A36" s="31" t="s">
        <v>37</v>
      </c>
      <c r="B36" s="54">
        <f>'Расчет субсидий'!AD36</f>
        <v>22.60909090909081</v>
      </c>
      <c r="C36" s="56">
        <f>'Расчет субсидий'!D36-1</f>
        <v>0.20801957397812321</v>
      </c>
      <c r="D36" s="56">
        <f>C36*'Расчет субсидий'!E36</f>
        <v>2.0801957397812321</v>
      </c>
      <c r="E36" s="57">
        <f t="shared" si="4"/>
        <v>202.47740299075059</v>
      </c>
      <c r="F36" s="62" t="s">
        <v>394</v>
      </c>
      <c r="G36" s="62" t="s">
        <v>394</v>
      </c>
      <c r="H36" s="63" t="s">
        <v>394</v>
      </c>
      <c r="I36" s="56">
        <f>'Расчет субсидий'!L36-1</f>
        <v>0.1272727272727272</v>
      </c>
      <c r="J36" s="56">
        <f>I36*'Расчет субсидий'!M36</f>
        <v>1.9090909090909081</v>
      </c>
      <c r="K36" s="57">
        <f t="shared" si="5"/>
        <v>185.82278674728479</v>
      </c>
      <c r="L36" s="56">
        <f>'Расчет субсидий'!P36-1</f>
        <v>-0.19077109795836933</v>
      </c>
      <c r="M36" s="56">
        <f>L36*'Расчет субсидий'!Q36</f>
        <v>-3.8154219591673866</v>
      </c>
      <c r="N36" s="57">
        <f t="shared" si="6"/>
        <v>-371.37694056009337</v>
      </c>
      <c r="O36" s="56">
        <f>'Расчет субсидий'!T36-1</f>
        <v>5.486044273339763E-3</v>
      </c>
      <c r="P36" s="56">
        <f>O36*'Расчет субсидий'!U36</f>
        <v>5.486044273339763E-2</v>
      </c>
      <c r="Q36" s="57">
        <f t="shared" si="7"/>
        <v>5.339882088571791</v>
      </c>
      <c r="R36" s="56">
        <f>'Расчет субсидий'!X36-1</f>
        <v>3.5542918073572238E-4</v>
      </c>
      <c r="S36" s="56">
        <f>R36*'Расчет субсидий'!Y36</f>
        <v>3.5542918073572238E-3</v>
      </c>
      <c r="T36" s="57">
        <f t="shared" si="8"/>
        <v>0.34595964257703787</v>
      </c>
      <c r="U36" s="56">
        <f t="shared" si="9"/>
        <v>0.23227942424550818</v>
      </c>
    </row>
    <row r="37" spans="1:21" ht="15" customHeight="1">
      <c r="A37" s="31" t="s">
        <v>38</v>
      </c>
      <c r="B37" s="54">
        <f>'Расчет субсидий'!AD37</f>
        <v>398.06363636363631</v>
      </c>
      <c r="C37" s="56">
        <f>'Расчет субсидий'!D37-1</f>
        <v>3.4257949443385227E-2</v>
      </c>
      <c r="D37" s="56">
        <f>C37*'Расчет субсидий'!E37</f>
        <v>0.34257949443385227</v>
      </c>
      <c r="E37" s="57">
        <f t="shared" si="4"/>
        <v>14.898040284043033</v>
      </c>
      <c r="F37" s="62" t="s">
        <v>394</v>
      </c>
      <c r="G37" s="62" t="s">
        <v>394</v>
      </c>
      <c r="H37" s="63" t="s">
        <v>394</v>
      </c>
      <c r="I37" s="56">
        <f>'Расчет субсидий'!L37-1</f>
        <v>0.1631419939577039</v>
      </c>
      <c r="J37" s="56">
        <f>I37*'Расчет субсидий'!M37</f>
        <v>2.4471299093655583</v>
      </c>
      <c r="K37" s="57">
        <f t="shared" si="5"/>
        <v>106.42037997710376</v>
      </c>
      <c r="L37" s="56">
        <f>'Расчет субсидий'!P37-1</f>
        <v>0.26662567255956948</v>
      </c>
      <c r="M37" s="56">
        <f>L37*'Расчет субсидий'!Q37</f>
        <v>5.3325134511913896</v>
      </c>
      <c r="N37" s="57">
        <f t="shared" si="6"/>
        <v>231.89946129828937</v>
      </c>
      <c r="O37" s="56">
        <f>'Расчет субсидий'!T37-1</f>
        <v>2.1304347826087033E-2</v>
      </c>
      <c r="P37" s="56">
        <f>O37*'Расчет субсидий'!U37</f>
        <v>0.21304347826087033</v>
      </c>
      <c r="Q37" s="57">
        <f t="shared" si="7"/>
        <v>9.2647994785220202</v>
      </c>
      <c r="R37" s="56">
        <f>'Расчет субсидий'!X37-1</f>
        <v>8.181818181818179E-2</v>
      </c>
      <c r="S37" s="56">
        <f>R37*'Расчет субсидий'!Y37</f>
        <v>0.8181818181818179</v>
      </c>
      <c r="T37" s="57">
        <f t="shared" si="8"/>
        <v>35.580955325678119</v>
      </c>
      <c r="U37" s="56">
        <f t="shared" si="9"/>
        <v>9.1534481514334889</v>
      </c>
    </row>
    <row r="38" spans="1:21" ht="15" customHeight="1">
      <c r="A38" s="31" t="s">
        <v>39</v>
      </c>
      <c r="B38" s="54">
        <f>'Расчет субсидий'!AD38</f>
        <v>113.36363636363649</v>
      </c>
      <c r="C38" s="56">
        <f>'Расчет субсидий'!D38-1</f>
        <v>0.15699741695927671</v>
      </c>
      <c r="D38" s="56">
        <f>C38*'Расчет субсидий'!E38</f>
        <v>1.5699741695927671</v>
      </c>
      <c r="E38" s="57">
        <f t="shared" si="4"/>
        <v>64.555766685822903</v>
      </c>
      <c r="F38" s="62" t="s">
        <v>394</v>
      </c>
      <c r="G38" s="62" t="s">
        <v>394</v>
      </c>
      <c r="H38" s="63" t="s">
        <v>394</v>
      </c>
      <c r="I38" s="56">
        <f>'Расчет субсидий'!L38-1</f>
        <v>9.0909090909090828E-2</v>
      </c>
      <c r="J38" s="56">
        <f>I38*'Расчет субсидий'!M38</f>
        <v>0.90909090909090828</v>
      </c>
      <c r="K38" s="57">
        <f t="shared" si="5"/>
        <v>37.380908399721029</v>
      </c>
      <c r="L38" s="56">
        <f>'Расчет субсидий'!P38-1</f>
        <v>-2.3796815229960577E-3</v>
      </c>
      <c r="M38" s="56">
        <f>L38*'Расчет субсидий'!Q38</f>
        <v>-4.7593630459921155E-2</v>
      </c>
      <c r="N38" s="57">
        <f t="shared" si="6"/>
        <v>-1.9570024546957356</v>
      </c>
      <c r="O38" s="56">
        <f>'Расчет субсидий'!T38-1</f>
        <v>2.5625000000000009E-2</v>
      </c>
      <c r="P38" s="56">
        <f>O38*'Расчет субсидий'!U38</f>
        <v>0.12812500000000004</v>
      </c>
      <c r="Q38" s="57">
        <f t="shared" si="7"/>
        <v>5.2683717775856884</v>
      </c>
      <c r="R38" s="56">
        <f>'Расчет субсидий'!X38-1</f>
        <v>3.9473684210526327E-2</v>
      </c>
      <c r="S38" s="56">
        <f>R38*'Расчет субсидий'!Y38</f>
        <v>0.19736842105263164</v>
      </c>
      <c r="T38" s="57">
        <f t="shared" si="8"/>
        <v>8.1155919552026017</v>
      </c>
      <c r="U38" s="56">
        <f t="shared" si="9"/>
        <v>2.756964869276386</v>
      </c>
    </row>
    <row r="39" spans="1:21" ht="15" customHeight="1">
      <c r="A39" s="31" t="s">
        <v>40</v>
      </c>
      <c r="B39" s="54">
        <f>'Расчет субсидий'!AD39</f>
        <v>-1211.7636363636357</v>
      </c>
      <c r="C39" s="56">
        <f>'Расчет субсидий'!D39-1</f>
        <v>-0.37885910141508317</v>
      </c>
      <c r="D39" s="56">
        <f>C39*'Расчет субсидий'!E39</f>
        <v>-3.7885910141508319</v>
      </c>
      <c r="E39" s="57">
        <f t="shared" si="4"/>
        <v>-512.17564408889791</v>
      </c>
      <c r="F39" s="62" t="s">
        <v>394</v>
      </c>
      <c r="G39" s="62" t="s">
        <v>394</v>
      </c>
      <c r="H39" s="63" t="s">
        <v>394</v>
      </c>
      <c r="I39" s="56">
        <f>'Расчет субсидий'!L39-1</f>
        <v>-6.3545150501672198E-2</v>
      </c>
      <c r="J39" s="56">
        <f>I39*'Расчет субсидий'!M39</f>
        <v>-0.31772575250836099</v>
      </c>
      <c r="K39" s="57">
        <f t="shared" si="5"/>
        <v>-42.953011113308015</v>
      </c>
      <c r="L39" s="56">
        <f>'Расчет субсидий'!P39-1</f>
        <v>-0.18389952780692553</v>
      </c>
      <c r="M39" s="56">
        <f>L39*'Расчет субсидий'!Q39</f>
        <v>-3.6779905561385107</v>
      </c>
      <c r="N39" s="57">
        <f t="shared" si="6"/>
        <v>-497.22368421584622</v>
      </c>
      <c r="O39" s="56">
        <f>'Расчет субсидий'!T39-1</f>
        <v>0.14145267791636096</v>
      </c>
      <c r="P39" s="56">
        <f>O39*'Расчет субсидий'!U39</f>
        <v>1.4145267791636096</v>
      </c>
      <c r="Q39" s="57">
        <f t="shared" si="7"/>
        <v>191.22839110716231</v>
      </c>
      <c r="R39" s="56">
        <f>'Расчет субсидий'!X39-1</f>
        <v>-0.25937007874015749</v>
      </c>
      <c r="S39" s="56">
        <f>R39*'Расчет субсидий'!Y39</f>
        <v>-2.5937007874015752</v>
      </c>
      <c r="T39" s="57">
        <f t="shared" si="8"/>
        <v>-350.63968805274578</v>
      </c>
      <c r="U39" s="56">
        <f t="shared" si="9"/>
        <v>-8.9634813310356698</v>
      </c>
    </row>
    <row r="40" spans="1:21" ht="15" customHeight="1">
      <c r="A40" s="31" t="s">
        <v>41</v>
      </c>
      <c r="B40" s="54">
        <f>'Расчет субсидий'!AD40</f>
        <v>152.34545454545469</v>
      </c>
      <c r="C40" s="56">
        <f>'Расчет субсидий'!D40-1</f>
        <v>-8.6268986078831933E-2</v>
      </c>
      <c r="D40" s="56">
        <f>C40*'Расчет субсидий'!E40</f>
        <v>-0.86268986078831933</v>
      </c>
      <c r="E40" s="57">
        <f t="shared" si="4"/>
        <v>-56.860904508124591</v>
      </c>
      <c r="F40" s="62" t="s">
        <v>394</v>
      </c>
      <c r="G40" s="62" t="s">
        <v>394</v>
      </c>
      <c r="H40" s="63" t="s">
        <v>394</v>
      </c>
      <c r="I40" s="56">
        <f>'Расчет субсидий'!L40-1</f>
        <v>-8.3969465648854991E-2</v>
      </c>
      <c r="J40" s="56">
        <f>I40*'Расчет субсидий'!M40</f>
        <v>-0.41984732824427495</v>
      </c>
      <c r="K40" s="57">
        <f t="shared" si="5"/>
        <v>-27.672631758386597</v>
      </c>
      <c r="L40" s="56">
        <f>'Расчет субсидий'!P40-1</f>
        <v>0.10081699874059491</v>
      </c>
      <c r="M40" s="56">
        <f>L40*'Расчет субсидий'!Q40</f>
        <v>2.0163399748118982</v>
      </c>
      <c r="N40" s="57">
        <f t="shared" si="6"/>
        <v>132.89934190130225</v>
      </c>
      <c r="O40" s="56">
        <f>'Расчет субсидий'!T40-1</f>
        <v>9.2400690846286659E-2</v>
      </c>
      <c r="P40" s="56">
        <f>O40*'Расчет субсидий'!U40</f>
        <v>0.4620034542314333</v>
      </c>
      <c r="Q40" s="57">
        <f t="shared" si="7"/>
        <v>30.45119165938959</v>
      </c>
      <c r="R40" s="56">
        <f>'Расчет субсидий'!X40-1</f>
        <v>0.22311377245508979</v>
      </c>
      <c r="S40" s="56">
        <f>R40*'Расчет субсидий'!Y40</f>
        <v>1.1155688622754489</v>
      </c>
      <c r="T40" s="57">
        <f t="shared" si="8"/>
        <v>73.528457251274034</v>
      </c>
      <c r="U40" s="56">
        <f t="shared" si="9"/>
        <v>2.3113751022861861</v>
      </c>
    </row>
    <row r="41" spans="1:21" ht="15" customHeight="1">
      <c r="A41" s="31" t="s">
        <v>2</v>
      </c>
      <c r="B41" s="54">
        <f>'Расчет субсидий'!AD41</f>
        <v>-18.309090909091083</v>
      </c>
      <c r="C41" s="56">
        <f>'Расчет субсидий'!D41-1</f>
        <v>0.12934532733633186</v>
      </c>
      <c r="D41" s="56">
        <f>C41*'Расчет субсидий'!E41</f>
        <v>1.2934532733633186</v>
      </c>
      <c r="E41" s="57">
        <f t="shared" si="4"/>
        <v>89.445046695292802</v>
      </c>
      <c r="F41" s="62" t="s">
        <v>394</v>
      </c>
      <c r="G41" s="62" t="s">
        <v>394</v>
      </c>
      <c r="H41" s="63" t="s">
        <v>394</v>
      </c>
      <c r="I41" s="56">
        <f>'Расчет субсидий'!L41-1</f>
        <v>0</v>
      </c>
      <c r="J41" s="56">
        <f>I41*'Расчет субсидий'!M41</f>
        <v>0</v>
      </c>
      <c r="K41" s="57">
        <f t="shared" si="5"/>
        <v>0</v>
      </c>
      <c r="L41" s="56">
        <f>'Расчет субсидий'!P41-1</f>
        <v>-0.15650463613374532</v>
      </c>
      <c r="M41" s="56">
        <f>L41*'Расчет субсидий'!Q41</f>
        <v>-3.1300927226749065</v>
      </c>
      <c r="N41" s="57">
        <f t="shared" si="6"/>
        <v>-216.45257351450681</v>
      </c>
      <c r="O41" s="56">
        <f>'Расчет субсидий'!T41-1</f>
        <v>0.19595375722543351</v>
      </c>
      <c r="P41" s="56">
        <f>O41*'Расчет субсидий'!U41</f>
        <v>0.97976878612716756</v>
      </c>
      <c r="Q41" s="57">
        <f t="shared" si="7"/>
        <v>67.753096791706739</v>
      </c>
      <c r="R41" s="56">
        <f>'Расчет субсидий'!X41-1</f>
        <v>0.11842105263157898</v>
      </c>
      <c r="S41" s="56">
        <f>R41*'Расчет субсидий'!Y41</f>
        <v>0.59210526315789491</v>
      </c>
      <c r="T41" s="57">
        <f t="shared" si="8"/>
        <v>40.945339118416172</v>
      </c>
      <c r="U41" s="56">
        <f t="shared" si="9"/>
        <v>-0.26476540002652538</v>
      </c>
    </row>
    <row r="42" spans="1:21" ht="15" customHeight="1">
      <c r="A42" s="31" t="s">
        <v>42</v>
      </c>
      <c r="B42" s="54">
        <f>'Расчет субсидий'!AD42</f>
        <v>35.918181818181665</v>
      </c>
      <c r="C42" s="56">
        <f>'Расчет субсидий'!D42-1</f>
        <v>0.16344291218089513</v>
      </c>
      <c r="D42" s="56">
        <f>C42*'Расчет субсидий'!E42</f>
        <v>1.6344291218089513</v>
      </c>
      <c r="E42" s="57">
        <f t="shared" si="4"/>
        <v>66.16346687031151</v>
      </c>
      <c r="F42" s="62" t="s">
        <v>394</v>
      </c>
      <c r="G42" s="62" t="s">
        <v>394</v>
      </c>
      <c r="H42" s="63" t="s">
        <v>394</v>
      </c>
      <c r="I42" s="56">
        <f>'Расчет субсидий'!L42-1</f>
        <v>0.21953488372093011</v>
      </c>
      <c r="J42" s="56">
        <f>I42*'Расчет субсидий'!M42</f>
        <v>2.1953488372093011</v>
      </c>
      <c r="K42" s="57">
        <f t="shared" si="5"/>
        <v>88.870106461828584</v>
      </c>
      <c r="L42" s="56">
        <f>'Расчет субсидий'!P42-1</f>
        <v>-0.16088216081115636</v>
      </c>
      <c r="M42" s="56">
        <f>L42*'Расчет субсидий'!Q42</f>
        <v>-3.2176432162231272</v>
      </c>
      <c r="N42" s="57">
        <f t="shared" si="6"/>
        <v>-130.25369377990455</v>
      </c>
      <c r="O42" s="56">
        <f>'Расчет субсидий'!T42-1</f>
        <v>2.3980815347721673E-3</v>
      </c>
      <c r="P42" s="56">
        <f>O42*'Расчет субсидий'!U42</f>
        <v>1.1990407673860837E-2</v>
      </c>
      <c r="Q42" s="57">
        <f t="shared" si="7"/>
        <v>0.48538473177287927</v>
      </c>
      <c r="R42" s="56">
        <f>'Расчет субсидий'!X42-1</f>
        <v>5.2631578947368363E-2</v>
      </c>
      <c r="S42" s="56">
        <f>R42*'Расчет субсидий'!Y42</f>
        <v>0.26315789473684181</v>
      </c>
      <c r="T42" s="57">
        <f t="shared" si="8"/>
        <v>10.652917534173246</v>
      </c>
      <c r="U42" s="56">
        <f t="shared" si="9"/>
        <v>0.88728304520582779</v>
      </c>
    </row>
    <row r="43" spans="1:21" ht="15" customHeight="1">
      <c r="A43" s="31" t="s">
        <v>3</v>
      </c>
      <c r="B43" s="54">
        <f>'Расчет субсидий'!AD43</f>
        <v>219.40909090909099</v>
      </c>
      <c r="C43" s="56">
        <f>'Расчет субсидий'!D43-1</f>
        <v>-0.19324577523150654</v>
      </c>
      <c r="D43" s="56">
        <f>C43*'Расчет субсидий'!E43</f>
        <v>-1.9324577523150654</v>
      </c>
      <c r="E43" s="57">
        <f t="shared" si="4"/>
        <v>-84.170690503297934</v>
      </c>
      <c r="F43" s="62" t="s">
        <v>394</v>
      </c>
      <c r="G43" s="62" t="s">
        <v>394</v>
      </c>
      <c r="H43" s="63" t="s">
        <v>394</v>
      </c>
      <c r="I43" s="56">
        <f>'Расчет субсидий'!L43-1</f>
        <v>0.13513513513513509</v>
      </c>
      <c r="J43" s="56">
        <f>I43*'Расчет субсидий'!M43</f>
        <v>1.3513513513513509</v>
      </c>
      <c r="K43" s="57">
        <f t="shared" si="5"/>
        <v>58.859851512688216</v>
      </c>
      <c r="L43" s="56">
        <f>'Расчет субсидий'!P43-1</f>
        <v>0.24341019301171096</v>
      </c>
      <c r="M43" s="56">
        <f>L43*'Расчет субсидий'!Q43</f>
        <v>4.8682038602342192</v>
      </c>
      <c r="N43" s="57">
        <f t="shared" si="6"/>
        <v>212.04089969669252</v>
      </c>
      <c r="O43" s="56">
        <f>'Расчет субсидий'!T43-1</f>
        <v>1.3490364025696033E-2</v>
      </c>
      <c r="P43" s="56">
        <f>O43*'Расчет субсидий'!U43</f>
        <v>6.7451820128480167E-2</v>
      </c>
      <c r="Q43" s="57">
        <f t="shared" si="7"/>
        <v>2.9379510465969445</v>
      </c>
      <c r="R43" s="56">
        <f>'Расчет субсидий'!X43-1</f>
        <v>0.13656387665198255</v>
      </c>
      <c r="S43" s="56">
        <f>R43*'Расчет субсидий'!Y43</f>
        <v>0.68281938325991276</v>
      </c>
      <c r="T43" s="57">
        <f t="shared" si="8"/>
        <v>29.741079156411228</v>
      </c>
      <c r="U43" s="56">
        <f t="shared" si="9"/>
        <v>5.0373686626588974</v>
      </c>
    </row>
    <row r="44" spans="1:21" ht="15" customHeight="1">
      <c r="A44" s="31" t="s">
        <v>43</v>
      </c>
      <c r="B44" s="54">
        <f>'Расчет субсидий'!AD44</f>
        <v>321.06363636363631</v>
      </c>
      <c r="C44" s="56">
        <f>'Расчет субсидий'!D44-1</f>
        <v>-6.7030893797657476E-2</v>
      </c>
      <c r="D44" s="56">
        <f>C44*'Расчет субсидий'!E44</f>
        <v>-0.67030893797657476</v>
      </c>
      <c r="E44" s="57">
        <f t="shared" si="4"/>
        <v>-40.415101382006434</v>
      </c>
      <c r="F44" s="62" t="s">
        <v>394</v>
      </c>
      <c r="G44" s="62" t="s">
        <v>394</v>
      </c>
      <c r="H44" s="63" t="s">
        <v>394</v>
      </c>
      <c r="I44" s="56">
        <f>'Расчет субсидий'!L44-1</f>
        <v>0.16129032258064524</v>
      </c>
      <c r="J44" s="56">
        <f>I44*'Расчет субсидий'!M44</f>
        <v>1.6129032258064524</v>
      </c>
      <c r="K44" s="57">
        <f t="shared" si="5"/>
        <v>97.24717021841505</v>
      </c>
      <c r="L44" s="56">
        <f>'Расчет субсидий'!P44-1</f>
        <v>0.23912203032096979</v>
      </c>
      <c r="M44" s="56">
        <f>L44*'Расчет субсидий'!Q44</f>
        <v>4.7824406064193958</v>
      </c>
      <c r="N44" s="57">
        <f t="shared" si="6"/>
        <v>288.34886574139466</v>
      </c>
      <c r="O44" s="56">
        <f>'Расчет субсидий'!T44-1</f>
        <v>9.9999999999999867E-2</v>
      </c>
      <c r="P44" s="56">
        <f>O44*'Расчет субсидий'!U44</f>
        <v>0.49999999999999933</v>
      </c>
      <c r="Q44" s="57">
        <f t="shared" si="7"/>
        <v>30.14662276770861</v>
      </c>
      <c r="R44" s="56">
        <f>'Расчет субсидий'!X44-1</f>
        <v>-0.18000000000000005</v>
      </c>
      <c r="S44" s="56">
        <f>R44*'Расчет субсидий'!Y44</f>
        <v>-0.90000000000000024</v>
      </c>
      <c r="T44" s="57">
        <f t="shared" si="8"/>
        <v>-54.263920981875593</v>
      </c>
      <c r="U44" s="56">
        <f t="shared" si="9"/>
        <v>5.3250348942492725</v>
      </c>
    </row>
    <row r="45" spans="1:21" ht="15" customHeight="1">
      <c r="A45" s="32" t="s">
        <v>44</v>
      </c>
      <c r="B45" s="53">
        <f>'Расчет субсидий'!AD45</f>
        <v>-1437.7181818181816</v>
      </c>
      <c r="C45" s="53"/>
      <c r="D45" s="53"/>
      <c r="E45" s="53">
        <f>SUM(E47:E376)</f>
        <v>14.037067714521353</v>
      </c>
      <c r="F45" s="53"/>
      <c r="G45" s="53"/>
      <c r="H45" s="53"/>
      <c r="I45" s="53"/>
      <c r="J45" s="53"/>
      <c r="K45" s="53"/>
      <c r="L45" s="53"/>
      <c r="M45" s="53"/>
      <c r="N45" s="53">
        <f>SUM(N47:N376)</f>
        <v>-3689.2842397448558</v>
      </c>
      <c r="O45" s="53"/>
      <c r="P45" s="53"/>
      <c r="Q45" s="53">
        <f>SUM(Q47:Q376)</f>
        <v>1085.8989333959219</v>
      </c>
      <c r="R45" s="53"/>
      <c r="S45" s="53"/>
      <c r="T45" s="53">
        <f>SUM(T47:T376)</f>
        <v>1151.6300568162308</v>
      </c>
      <c r="U45" s="53"/>
    </row>
    <row r="46" spans="1:21" ht="15" customHeight="1">
      <c r="A46" s="33" t="s">
        <v>45</v>
      </c>
      <c r="B46" s="58"/>
      <c r="C46" s="59"/>
      <c r="D46" s="59"/>
      <c r="E46" s="60"/>
      <c r="F46" s="59"/>
      <c r="G46" s="59"/>
      <c r="H46" s="60"/>
      <c r="I46" s="60"/>
      <c r="J46" s="60"/>
      <c r="K46" s="60"/>
      <c r="L46" s="59"/>
      <c r="M46" s="59"/>
      <c r="N46" s="60"/>
      <c r="O46" s="59"/>
      <c r="P46" s="59"/>
      <c r="Q46" s="60"/>
      <c r="R46" s="59"/>
      <c r="S46" s="59"/>
      <c r="T46" s="60"/>
      <c r="U46" s="60"/>
    </row>
    <row r="47" spans="1:21" ht="15" customHeight="1">
      <c r="A47" s="34" t="s">
        <v>46</v>
      </c>
      <c r="B47" s="54">
        <f>'Расчет субсидий'!AD47</f>
        <v>-25.23636363636362</v>
      </c>
      <c r="C47" s="56">
        <f>'Расчет субсидий'!D47-1</f>
        <v>0.17999999999999994</v>
      </c>
      <c r="D47" s="56">
        <f>C47*'Расчет субсидий'!E47</f>
        <v>1.7999999999999994</v>
      </c>
      <c r="E47" s="57">
        <f>$B47*D47/$U47</f>
        <v>5.4623632587837374</v>
      </c>
      <c r="F47" s="28" t="s">
        <v>375</v>
      </c>
      <c r="G47" s="28" t="s">
        <v>375</v>
      </c>
      <c r="H47" s="28" t="s">
        <v>375</v>
      </c>
      <c r="I47" s="28" t="s">
        <v>375</v>
      </c>
      <c r="J47" s="28" t="s">
        <v>375</v>
      </c>
      <c r="K47" s="28" t="s">
        <v>375</v>
      </c>
      <c r="L47" s="56">
        <f>'Расчет субсидий'!P47-1</f>
        <v>-0.63383434601854804</v>
      </c>
      <c r="M47" s="56">
        <f>L47*'Расчет субсидий'!Q47</f>
        <v>-12.676686920370962</v>
      </c>
      <c r="N47" s="57">
        <f>$B47*M47/$U47</f>
        <v>-38.469260487188187</v>
      </c>
      <c r="O47" s="56">
        <f>'Расчет субсидий'!T47-1</f>
        <v>4.0909090909090784E-2</v>
      </c>
      <c r="P47" s="56">
        <f>O47*'Расчет субсидий'!U47</f>
        <v>1.2272727272727235</v>
      </c>
      <c r="Q47" s="57">
        <f>$B47*P47/$U47</f>
        <v>3.7243385855343565</v>
      </c>
      <c r="R47" s="56">
        <f>'Расчет субсидий'!X47-1</f>
        <v>6.6666666666666652E-2</v>
      </c>
      <c r="S47" s="56">
        <f>R47*'Расчет субсидий'!Y47</f>
        <v>1.333333333333333</v>
      </c>
      <c r="T47" s="57">
        <f>$B47*S47/$U47</f>
        <v>4.0461950065064736</v>
      </c>
      <c r="U47" s="56">
        <f>D47+M47+P47+S47</f>
        <v>-8.3160808597649059</v>
      </c>
    </row>
    <row r="48" spans="1:21" ht="15" customHeight="1">
      <c r="A48" s="34" t="s">
        <v>47</v>
      </c>
      <c r="B48" s="54">
        <f>'Расчет субсидий'!AD48</f>
        <v>-66.490909090909042</v>
      </c>
      <c r="C48" s="56">
        <f>'Расчет субсидий'!D48-1</f>
        <v>-0.15081553398058245</v>
      </c>
      <c r="D48" s="56">
        <f>C48*'Расчет субсидий'!E48</f>
        <v>-1.5081553398058245</v>
      </c>
      <c r="E48" s="57">
        <f>$B48*D48/$U48</f>
        <v>-7.8767277791562496</v>
      </c>
      <c r="F48" s="28" t="s">
        <v>375</v>
      </c>
      <c r="G48" s="28" t="s">
        <v>375</v>
      </c>
      <c r="H48" s="28" t="s">
        <v>375</v>
      </c>
      <c r="I48" s="28" t="s">
        <v>375</v>
      </c>
      <c r="J48" s="28" t="s">
        <v>375</v>
      </c>
      <c r="K48" s="28" t="s">
        <v>375</v>
      </c>
      <c r="L48" s="56">
        <f>'Расчет субсидий'!P48-1</f>
        <v>-0.42938546506531083</v>
      </c>
      <c r="M48" s="56">
        <f>L48*'Расчет субсидий'!Q48</f>
        <v>-8.5877093013062158</v>
      </c>
      <c r="N48" s="57">
        <f>$B48*M48/$U48</f>
        <v>-44.851512723899013</v>
      </c>
      <c r="O48" s="56">
        <f>'Расчет субсидий'!T48-1</f>
        <v>0.19459459459459461</v>
      </c>
      <c r="P48" s="56">
        <f>O48*'Расчет субсидий'!U48</f>
        <v>4.8648648648648649</v>
      </c>
      <c r="Q48" s="57">
        <f>$B48*P48/$U48</f>
        <v>25.408003546806992</v>
      </c>
      <c r="R48" s="56">
        <f>'Расчет субсидий'!X48-1</f>
        <v>-0.29999999999999993</v>
      </c>
      <c r="S48" s="56">
        <f>R48*'Расчет субсидий'!Y48</f>
        <v>-7.4999999999999982</v>
      </c>
      <c r="T48" s="57">
        <f>$B48*S48/$U48</f>
        <v>-39.170672134660769</v>
      </c>
      <c r="U48" s="56">
        <f>D48+M48+P48+S48</f>
        <v>-12.730999776247174</v>
      </c>
    </row>
    <row r="49" spans="1:21" ht="15" customHeight="1">
      <c r="A49" s="34" t="s">
        <v>48</v>
      </c>
      <c r="B49" s="54">
        <f>'Расчет субсидий'!AD49</f>
        <v>-42.509090909090901</v>
      </c>
      <c r="C49" s="56">
        <f>'Расчет субсидий'!D49-1</f>
        <v>-0.24736842105263157</v>
      </c>
      <c r="D49" s="56">
        <f>C49*'Расчет субсидий'!E49</f>
        <v>-2.4736842105263159</v>
      </c>
      <c r="E49" s="57">
        <f>$B49*D49/$U49</f>
        <v>-6.8867058362710516</v>
      </c>
      <c r="F49" s="28" t="s">
        <v>375</v>
      </c>
      <c r="G49" s="28" t="s">
        <v>375</v>
      </c>
      <c r="H49" s="28" t="s">
        <v>375</v>
      </c>
      <c r="I49" s="28" t="s">
        <v>375</v>
      </c>
      <c r="J49" s="28" t="s">
        <v>375</v>
      </c>
      <c r="K49" s="28" t="s">
        <v>375</v>
      </c>
      <c r="L49" s="56">
        <f>'Расчет субсидий'!P49-1</f>
        <v>-0.70643939393939392</v>
      </c>
      <c r="M49" s="56">
        <f>L49*'Расчет субсидий'!Q49</f>
        <v>-14.128787878787879</v>
      </c>
      <c r="N49" s="57">
        <f>$B49*M49/$U49</f>
        <v>-39.334368360455315</v>
      </c>
      <c r="O49" s="56">
        <f>'Расчет субсидий'!T49-1</f>
        <v>0</v>
      </c>
      <c r="P49" s="56">
        <f>O49*'Расчет субсидий'!U49</f>
        <v>0</v>
      </c>
      <c r="Q49" s="57">
        <f>$B49*P49/$U49</f>
        <v>0</v>
      </c>
      <c r="R49" s="56">
        <f>'Расчет субсидий'!X49-1</f>
        <v>6.6666666666666652E-2</v>
      </c>
      <c r="S49" s="56">
        <f>R49*'Расчет субсидий'!Y49</f>
        <v>1.333333333333333</v>
      </c>
      <c r="T49" s="57">
        <f>$B49*S49/$U49</f>
        <v>3.7119832876354599</v>
      </c>
      <c r="U49" s="56">
        <f t="shared" ref="U49:U111" si="10">D49+M49+P49+S49</f>
        <v>-15.269138755980862</v>
      </c>
    </row>
    <row r="50" spans="1:21" ht="15" customHeight="1">
      <c r="A50" s="34" t="s">
        <v>49</v>
      </c>
      <c r="B50" s="54">
        <f>'Расчет субсидий'!AD50</f>
        <v>-11.672727272727286</v>
      </c>
      <c r="C50" s="56">
        <f>'Расчет субсидий'!D50-1</f>
        <v>-1</v>
      </c>
      <c r="D50" s="56">
        <f>C50*'Расчет субсидий'!E50</f>
        <v>0</v>
      </c>
      <c r="E50" s="57">
        <f>$B50*D50/$U50</f>
        <v>0</v>
      </c>
      <c r="F50" s="28" t="s">
        <v>375</v>
      </c>
      <c r="G50" s="28" t="s">
        <v>375</v>
      </c>
      <c r="H50" s="28" t="s">
        <v>375</v>
      </c>
      <c r="I50" s="28" t="s">
        <v>375</v>
      </c>
      <c r="J50" s="28" t="s">
        <v>375</v>
      </c>
      <c r="K50" s="28" t="s">
        <v>375</v>
      </c>
      <c r="L50" s="56">
        <f>'Расчет субсидий'!P50-1</f>
        <v>-0.43701799485861181</v>
      </c>
      <c r="M50" s="56">
        <f>L50*'Расчет субсидий'!Q50</f>
        <v>-8.7403598971722367</v>
      </c>
      <c r="N50" s="57">
        <f>$B50*M50/$U50</f>
        <v>-16.913691653281486</v>
      </c>
      <c r="O50" s="56">
        <f>'Расчет субсидий'!T50-1</f>
        <v>3.3333333333333437E-2</v>
      </c>
      <c r="P50" s="56">
        <f>O50*'Расчет субсидий'!U50</f>
        <v>0.83333333333333592</v>
      </c>
      <c r="Q50" s="57">
        <f>$B50*P50/$U50</f>
        <v>1.6126044247859113</v>
      </c>
      <c r="R50" s="56">
        <f>'Расчет субсидий'!X50-1</f>
        <v>7.4999999999999956E-2</v>
      </c>
      <c r="S50" s="56">
        <f>R50*'Расчет субсидий'!Y50</f>
        <v>1.8749999999999989</v>
      </c>
      <c r="T50" s="57">
        <f>$B50*S50/$U50</f>
        <v>3.6283599557682864</v>
      </c>
      <c r="U50" s="56">
        <f t="shared" si="10"/>
        <v>-6.0320265638389019</v>
      </c>
    </row>
    <row r="51" spans="1:21" ht="15" customHeight="1">
      <c r="A51" s="34" t="s">
        <v>50</v>
      </c>
      <c r="B51" s="54">
        <f>'Расчет субсидий'!AD51</f>
        <v>-60.090909090909065</v>
      </c>
      <c r="C51" s="56">
        <f>'Расчет субсидий'!D51-1</f>
        <v>6.6666666666666652E-2</v>
      </c>
      <c r="D51" s="56">
        <f>C51*'Расчет субсидий'!E51</f>
        <v>0.66666666666666652</v>
      </c>
      <c r="E51" s="57">
        <f>$B51*D51/$U51</f>
        <v>2.4512088991294179</v>
      </c>
      <c r="F51" s="28" t="s">
        <v>375</v>
      </c>
      <c r="G51" s="28" t="s">
        <v>375</v>
      </c>
      <c r="H51" s="28" t="s">
        <v>375</v>
      </c>
      <c r="I51" s="28" t="s">
        <v>375</v>
      </c>
      <c r="J51" s="28" t="s">
        <v>375</v>
      </c>
      <c r="K51" s="28" t="s">
        <v>375</v>
      </c>
      <c r="L51" s="56">
        <f>'Расчет субсидий'!P51-1</f>
        <v>-0.74811256005490723</v>
      </c>
      <c r="M51" s="56">
        <f>L51*'Расчет субсидий'!Q51</f>
        <v>-14.962251201098145</v>
      </c>
      <c r="N51" s="57">
        <f>$B51*M51/$U51</f>
        <v>-55.013404942712405</v>
      </c>
      <c r="O51" s="56">
        <f>'Расчет субсидий'!T51-1</f>
        <v>-0.15714285714285714</v>
      </c>
      <c r="P51" s="56">
        <f>O51*'Расчет субсидий'!U51</f>
        <v>-4.7142857142857144</v>
      </c>
      <c r="Q51" s="57">
        <f>$B51*P51/$U51</f>
        <v>-17.333548643843745</v>
      </c>
      <c r="R51" s="56">
        <f>'Расчет субсидий'!X51-1</f>
        <v>0.1333333333333333</v>
      </c>
      <c r="S51" s="56">
        <f>R51*'Расчет субсидий'!Y51</f>
        <v>2.6666666666666661</v>
      </c>
      <c r="T51" s="57">
        <f>$B51*S51/$U51</f>
        <v>9.8048355965176714</v>
      </c>
      <c r="U51" s="56">
        <f t="shared" si="10"/>
        <v>-16.343203582050528</v>
      </c>
    </row>
    <row r="52" spans="1:21" ht="15" customHeight="1">
      <c r="A52" s="33" t="s">
        <v>51</v>
      </c>
      <c r="B52" s="58"/>
      <c r="C52" s="59"/>
      <c r="D52" s="59"/>
      <c r="E52" s="60"/>
      <c r="F52" s="59"/>
      <c r="G52" s="59"/>
      <c r="H52" s="60"/>
      <c r="I52" s="60"/>
      <c r="J52" s="60"/>
      <c r="K52" s="60"/>
      <c r="L52" s="59"/>
      <c r="M52" s="59"/>
      <c r="N52" s="60"/>
      <c r="O52" s="59"/>
      <c r="P52" s="59"/>
      <c r="Q52" s="60"/>
      <c r="R52" s="59"/>
      <c r="S52" s="59"/>
      <c r="T52" s="60"/>
      <c r="U52" s="60"/>
    </row>
    <row r="53" spans="1:21" ht="15" customHeight="1">
      <c r="A53" s="34" t="s">
        <v>52</v>
      </c>
      <c r="B53" s="54">
        <f>'Расчет субсидий'!AD53</f>
        <v>-51.827272727272714</v>
      </c>
      <c r="C53" s="56">
        <f>'Расчет субсидий'!D53-1</f>
        <v>0.20056132746275512</v>
      </c>
      <c r="D53" s="56">
        <f>C53*'Расчет субсидий'!E53</f>
        <v>2.0056132746275512</v>
      </c>
      <c r="E53" s="57">
        <f t="shared" ref="E53:E65" si="11">$B53*D53/$U53</f>
        <v>6.4064386469095451</v>
      </c>
      <c r="F53" s="28" t="s">
        <v>375</v>
      </c>
      <c r="G53" s="28" t="s">
        <v>375</v>
      </c>
      <c r="H53" s="28" t="s">
        <v>375</v>
      </c>
      <c r="I53" s="28" t="s">
        <v>375</v>
      </c>
      <c r="J53" s="28" t="s">
        <v>375</v>
      </c>
      <c r="K53" s="28" t="s">
        <v>375</v>
      </c>
      <c r="L53" s="56">
        <f>'Расчет субсидий'!P53-1</f>
        <v>0.30000000000000004</v>
      </c>
      <c r="M53" s="56">
        <f>L53*'Расчет субсидий'!Q53</f>
        <v>6.0000000000000009</v>
      </c>
      <c r="N53" s="57">
        <f t="shared" ref="N53:N65" si="12">$B53*M53/$U53</f>
        <v>19.165525262389107</v>
      </c>
      <c r="O53" s="56">
        <f>'Расчет субсидий'!T53-1</f>
        <v>-1</v>
      </c>
      <c r="P53" s="56">
        <f>O53*'Расчет субсидий'!U53</f>
        <v>-25</v>
      </c>
      <c r="Q53" s="57">
        <f t="shared" ref="Q53:Q65" si="13">$B53*P53/$U53</f>
        <v>-79.856355259954597</v>
      </c>
      <c r="R53" s="56">
        <f>'Расчет субсидий'!X53-1</f>
        <v>3.0769230769230882E-2</v>
      </c>
      <c r="S53" s="56">
        <f>R53*'Расчет субсидий'!Y53</f>
        <v>0.76923076923077205</v>
      </c>
      <c r="T53" s="57">
        <f t="shared" ref="T53:T65" si="14">$B53*S53/$U53</f>
        <v>2.4571186233832276</v>
      </c>
      <c r="U53" s="56">
        <f t="shared" si="10"/>
        <v>-16.225155956141673</v>
      </c>
    </row>
    <row r="54" spans="1:21" ht="15" customHeight="1">
      <c r="A54" s="34" t="s">
        <v>53</v>
      </c>
      <c r="B54" s="54">
        <f>'Расчет субсидий'!AD54</f>
        <v>-15.38181818181819</v>
      </c>
      <c r="C54" s="56">
        <f>'Расчет субсидий'!D54-1</f>
        <v>0</v>
      </c>
      <c r="D54" s="56">
        <f>C54*'Расчет субсидий'!E54</f>
        <v>0</v>
      </c>
      <c r="E54" s="57">
        <f t="shared" si="11"/>
        <v>0</v>
      </c>
      <c r="F54" s="28" t="s">
        <v>375</v>
      </c>
      <c r="G54" s="28" t="s">
        <v>375</v>
      </c>
      <c r="H54" s="28" t="s">
        <v>375</v>
      </c>
      <c r="I54" s="28" t="s">
        <v>375</v>
      </c>
      <c r="J54" s="28" t="s">
        <v>375</v>
      </c>
      <c r="K54" s="28" t="s">
        <v>375</v>
      </c>
      <c r="L54" s="56">
        <f>'Расчет субсидий'!P54-1</f>
        <v>-0.59518072289156621</v>
      </c>
      <c r="M54" s="56">
        <f>L54*'Расчет субсидий'!Q54</f>
        <v>-11.903614457831324</v>
      </c>
      <c r="N54" s="57">
        <f t="shared" si="12"/>
        <v>-16.674887974955514</v>
      </c>
      <c r="O54" s="56">
        <f>'Расчет субсидий'!T54-1</f>
        <v>0</v>
      </c>
      <c r="P54" s="56">
        <f>O54*'Расчет субсидий'!U54</f>
        <v>0</v>
      </c>
      <c r="Q54" s="57">
        <f t="shared" si="13"/>
        <v>0</v>
      </c>
      <c r="R54" s="56">
        <f>'Расчет субсидий'!X54-1</f>
        <v>3.0769230769230882E-2</v>
      </c>
      <c r="S54" s="56">
        <f>R54*'Расчет субсидий'!Y54</f>
        <v>0.92307692307692646</v>
      </c>
      <c r="T54" s="57">
        <f t="shared" si="14"/>
        <v>1.293069793137321</v>
      </c>
      <c r="U54" s="56">
        <f t="shared" si="10"/>
        <v>-10.980537534754397</v>
      </c>
    </row>
    <row r="55" spans="1:21" ht="15" customHeight="1">
      <c r="A55" s="34" t="s">
        <v>54</v>
      </c>
      <c r="B55" s="54">
        <f>'Расчет субсидий'!AD55</f>
        <v>-12.254545454545479</v>
      </c>
      <c r="C55" s="56">
        <f>'Расчет субсидий'!D55-1</f>
        <v>-1</v>
      </c>
      <c r="D55" s="56">
        <f>C55*'Расчет субсидий'!E55</f>
        <v>0</v>
      </c>
      <c r="E55" s="57">
        <f t="shared" si="11"/>
        <v>0</v>
      </c>
      <c r="F55" s="28" t="s">
        <v>375</v>
      </c>
      <c r="G55" s="28" t="s">
        <v>375</v>
      </c>
      <c r="H55" s="28" t="s">
        <v>375</v>
      </c>
      <c r="I55" s="28" t="s">
        <v>375</v>
      </c>
      <c r="J55" s="28" t="s">
        <v>375</v>
      </c>
      <c r="K55" s="28" t="s">
        <v>375</v>
      </c>
      <c r="L55" s="56">
        <f>'Расчет субсидий'!P55-1</f>
        <v>-0.25989304812834224</v>
      </c>
      <c r="M55" s="56">
        <f>L55*'Расчет субсидий'!Q55</f>
        <v>-5.1978609625668444</v>
      </c>
      <c r="N55" s="57">
        <f t="shared" si="12"/>
        <v>-17.406523871811672</v>
      </c>
      <c r="O55" s="56">
        <f>'Расчет субсидий'!T55-1</f>
        <v>0</v>
      </c>
      <c r="P55" s="56">
        <f>O55*'Расчет субсидий'!U55</f>
        <v>0</v>
      </c>
      <c r="Q55" s="57">
        <f t="shared" si="13"/>
        <v>0</v>
      </c>
      <c r="R55" s="56">
        <f>'Расчет субсидий'!X55-1</f>
        <v>7.6923076923076872E-2</v>
      </c>
      <c r="S55" s="56">
        <f>R55*'Расчет субсидий'!Y55</f>
        <v>1.5384615384615374</v>
      </c>
      <c r="T55" s="57">
        <f t="shared" si="14"/>
        <v>5.1519784172661929</v>
      </c>
      <c r="U55" s="56">
        <f t="shared" si="10"/>
        <v>-3.6593994241053069</v>
      </c>
    </row>
    <row r="56" spans="1:21" ht="15" customHeight="1">
      <c r="A56" s="34" t="s">
        <v>55</v>
      </c>
      <c r="B56" s="54">
        <f>'Расчет субсидий'!AD56</f>
        <v>-22.909090909090907</v>
      </c>
      <c r="C56" s="56">
        <f>'Расчет субсидий'!D56-1</f>
        <v>-1</v>
      </c>
      <c r="D56" s="56">
        <f>C56*'Расчет субсидий'!E56</f>
        <v>0</v>
      </c>
      <c r="E56" s="57">
        <f t="shared" si="11"/>
        <v>0</v>
      </c>
      <c r="F56" s="28" t="s">
        <v>375</v>
      </c>
      <c r="G56" s="28" t="s">
        <v>375</v>
      </c>
      <c r="H56" s="28" t="s">
        <v>375</v>
      </c>
      <c r="I56" s="28" t="s">
        <v>375</v>
      </c>
      <c r="J56" s="28" t="s">
        <v>375</v>
      </c>
      <c r="K56" s="28" t="s">
        <v>375</v>
      </c>
      <c r="L56" s="56">
        <f>'Расчет субсидий'!P56-1</f>
        <v>-1.5942028985507117E-2</v>
      </c>
      <c r="M56" s="56">
        <f>L56*'Расчет субсидий'!Q56</f>
        <v>-0.31884057971014235</v>
      </c>
      <c r="N56" s="57">
        <f t="shared" si="12"/>
        <v>-0.93731206298983671</v>
      </c>
      <c r="O56" s="56">
        <f>'Расчет субсидий'!T56-1</f>
        <v>-0.3418181818181818</v>
      </c>
      <c r="P56" s="56">
        <f>O56*'Расчет субсидий'!U56</f>
        <v>-8.545454545454545</v>
      </c>
      <c r="Q56" s="57">
        <f t="shared" si="13"/>
        <v>-25.121512564264997</v>
      </c>
      <c r="R56" s="56">
        <f>'Расчет субсидий'!X56-1</f>
        <v>4.2857142857142927E-2</v>
      </c>
      <c r="S56" s="56">
        <f>R56*'Расчет субсидий'!Y56</f>
        <v>1.0714285714285732</v>
      </c>
      <c r="T56" s="57">
        <f t="shared" si="14"/>
        <v>3.1497337181639296</v>
      </c>
      <c r="U56" s="56">
        <f t="shared" si="10"/>
        <v>-7.7928665537361148</v>
      </c>
    </row>
    <row r="57" spans="1:21" ht="15" customHeight="1">
      <c r="A57" s="34" t="s">
        <v>56</v>
      </c>
      <c r="B57" s="54">
        <f>'Расчет субсидий'!AD57</f>
        <v>-24.618181818181824</v>
      </c>
      <c r="C57" s="56">
        <f>'Расчет субсидий'!D57-1</f>
        <v>-1</v>
      </c>
      <c r="D57" s="56">
        <f>C57*'Расчет субсидий'!E57</f>
        <v>0</v>
      </c>
      <c r="E57" s="57">
        <f t="shared" si="11"/>
        <v>0</v>
      </c>
      <c r="F57" s="28" t="s">
        <v>375</v>
      </c>
      <c r="G57" s="28" t="s">
        <v>375</v>
      </c>
      <c r="H57" s="28" t="s">
        <v>375</v>
      </c>
      <c r="I57" s="28" t="s">
        <v>375</v>
      </c>
      <c r="J57" s="28" t="s">
        <v>375</v>
      </c>
      <c r="K57" s="28" t="s">
        <v>375</v>
      </c>
      <c r="L57" s="56">
        <f>'Расчет субсидий'!P57-1</f>
        <v>-0.43608247422680413</v>
      </c>
      <c r="M57" s="56">
        <f>L57*'Расчет субсидий'!Q57</f>
        <v>-8.7216494845360835</v>
      </c>
      <c r="N57" s="57">
        <f t="shared" si="12"/>
        <v>-21.415612524182954</v>
      </c>
      <c r="O57" s="56">
        <f>'Расчет субсидий'!T57-1</f>
        <v>-5.7812500000000044E-2</v>
      </c>
      <c r="P57" s="56">
        <f>O57*'Расчет субсидий'!U57</f>
        <v>-1.7343750000000013</v>
      </c>
      <c r="Q57" s="57">
        <f t="shared" si="13"/>
        <v>-4.2586787095131138</v>
      </c>
      <c r="R57" s="56">
        <f>'Расчет субсидий'!X57-1</f>
        <v>2.1505376344086002E-2</v>
      </c>
      <c r="S57" s="56">
        <f>R57*'Расчет субсидий'!Y57</f>
        <v>0.43010752688172005</v>
      </c>
      <c r="T57" s="57">
        <f t="shared" si="14"/>
        <v>1.0561094155142452</v>
      </c>
      <c r="U57" s="56">
        <f t="shared" si="10"/>
        <v>-10.025916957654365</v>
      </c>
    </row>
    <row r="58" spans="1:21" ht="15" customHeight="1">
      <c r="A58" s="34" t="s">
        <v>57</v>
      </c>
      <c r="B58" s="54">
        <f>'Расчет субсидий'!AD58</f>
        <v>-5.327272727272728</v>
      </c>
      <c r="C58" s="56">
        <f>'Расчет субсидий'!D58-1</f>
        <v>-1</v>
      </c>
      <c r="D58" s="56">
        <f>C58*'Расчет субсидий'!E58</f>
        <v>0</v>
      </c>
      <c r="E58" s="57">
        <f t="shared" si="11"/>
        <v>0</v>
      </c>
      <c r="F58" s="28" t="s">
        <v>375</v>
      </c>
      <c r="G58" s="28" t="s">
        <v>375</v>
      </c>
      <c r="H58" s="28" t="s">
        <v>375</v>
      </c>
      <c r="I58" s="28" t="s">
        <v>375</v>
      </c>
      <c r="J58" s="28" t="s">
        <v>375</v>
      </c>
      <c r="K58" s="28" t="s">
        <v>375</v>
      </c>
      <c r="L58" s="56">
        <f>'Расчет субсидий'!P58-1</f>
        <v>-0.51052631578947372</v>
      </c>
      <c r="M58" s="56">
        <f>L58*'Расчет субсидий'!Q58</f>
        <v>-10.210526315789474</v>
      </c>
      <c r="N58" s="57">
        <f t="shared" si="12"/>
        <v>-5.327272727272728</v>
      </c>
      <c r="O58" s="56">
        <f>'Расчет субсидий'!T58-1</f>
        <v>0</v>
      </c>
      <c r="P58" s="56">
        <f>O58*'Расчет субсидий'!U58</f>
        <v>0</v>
      </c>
      <c r="Q58" s="57">
        <f t="shared" si="13"/>
        <v>0</v>
      </c>
      <c r="R58" s="56">
        <f>'Расчет субсидий'!X58-1</f>
        <v>0</v>
      </c>
      <c r="S58" s="56">
        <f>R58*'Расчет субсидий'!Y58</f>
        <v>0</v>
      </c>
      <c r="T58" s="57">
        <f t="shared" si="14"/>
        <v>0</v>
      </c>
      <c r="U58" s="56">
        <f t="shared" si="10"/>
        <v>-10.210526315789474</v>
      </c>
    </row>
    <row r="59" spans="1:21" ht="15" customHeight="1">
      <c r="A59" s="34" t="s">
        <v>58</v>
      </c>
      <c r="B59" s="54">
        <f>'Расчет субсидий'!AD59</f>
        <v>15.481818181818198</v>
      </c>
      <c r="C59" s="56">
        <f>'Расчет субсидий'!D59-1</f>
        <v>-1</v>
      </c>
      <c r="D59" s="56">
        <f>C59*'Расчет субсидий'!E59</f>
        <v>0</v>
      </c>
      <c r="E59" s="57">
        <f t="shared" si="11"/>
        <v>0</v>
      </c>
      <c r="F59" s="28" t="s">
        <v>375</v>
      </c>
      <c r="G59" s="28" t="s">
        <v>375</v>
      </c>
      <c r="H59" s="28" t="s">
        <v>375</v>
      </c>
      <c r="I59" s="28" t="s">
        <v>375</v>
      </c>
      <c r="J59" s="28" t="s">
        <v>375</v>
      </c>
      <c r="K59" s="28" t="s">
        <v>375</v>
      </c>
      <c r="L59" s="56">
        <f>'Расчет субсидий'!P59-1</f>
        <v>0.26714285714285713</v>
      </c>
      <c r="M59" s="56">
        <f>L59*'Расчет субсидий'!Q59</f>
        <v>5.3428571428571425</v>
      </c>
      <c r="N59" s="57">
        <f t="shared" si="12"/>
        <v>9.3062828755114122</v>
      </c>
      <c r="O59" s="56">
        <f>'Расчет субсидий'!T59-1</f>
        <v>1.8181818181818077E-2</v>
      </c>
      <c r="P59" s="56">
        <f>O59*'Расчет субсидий'!U59</f>
        <v>0.54545454545454231</v>
      </c>
      <c r="Q59" s="57">
        <f t="shared" si="13"/>
        <v>0.95008235481642456</v>
      </c>
      <c r="R59" s="56">
        <f>'Расчет субсидий'!X59-1</f>
        <v>0.14999999999999991</v>
      </c>
      <c r="S59" s="56">
        <f>R59*'Расчет субсидий'!Y59</f>
        <v>2.9999999999999982</v>
      </c>
      <c r="T59" s="57">
        <f t="shared" si="14"/>
        <v>5.2254529514903618</v>
      </c>
      <c r="U59" s="56">
        <f t="shared" si="10"/>
        <v>8.8883116883116831</v>
      </c>
    </row>
    <row r="60" spans="1:21" ht="15" customHeight="1">
      <c r="A60" s="34" t="s">
        <v>59</v>
      </c>
      <c r="B60" s="54">
        <f>'Расчет субсидий'!AD60</f>
        <v>-39.609090909090895</v>
      </c>
      <c r="C60" s="56">
        <f>'Расчет субсидий'!D60-1</f>
        <v>-1</v>
      </c>
      <c r="D60" s="56">
        <f>C60*'Расчет субсидий'!E60</f>
        <v>0</v>
      </c>
      <c r="E60" s="57">
        <f t="shared" si="11"/>
        <v>0</v>
      </c>
      <c r="F60" s="28" t="s">
        <v>375</v>
      </c>
      <c r="G60" s="28" t="s">
        <v>375</v>
      </c>
      <c r="H60" s="28" t="s">
        <v>375</v>
      </c>
      <c r="I60" s="28" t="s">
        <v>375</v>
      </c>
      <c r="J60" s="28" t="s">
        <v>375</v>
      </c>
      <c r="K60" s="28" t="s">
        <v>375</v>
      </c>
      <c r="L60" s="56">
        <f>'Расчет субсидий'!P60-1</f>
        <v>0.15492957746478875</v>
      </c>
      <c r="M60" s="56">
        <f>L60*'Расчет субсидий'!Q60</f>
        <v>3.098591549295775</v>
      </c>
      <c r="N60" s="57">
        <f t="shared" si="12"/>
        <v>8.2814996703271699</v>
      </c>
      <c r="O60" s="56">
        <f>'Расчет субсидий'!T60-1</f>
        <v>-0.65789473684210531</v>
      </c>
      <c r="P60" s="56">
        <f>O60*'Расчет субсидий'!U60</f>
        <v>-19.736842105263158</v>
      </c>
      <c r="Q60" s="57">
        <f t="shared" si="13"/>
        <v>-52.749982947957143</v>
      </c>
      <c r="R60" s="56">
        <f>'Расчет субсидий'!X60-1</f>
        <v>9.0909090909090828E-2</v>
      </c>
      <c r="S60" s="56">
        <f>R60*'Расчет субсидий'!Y60</f>
        <v>1.8181818181818166</v>
      </c>
      <c r="T60" s="57">
        <f t="shared" si="14"/>
        <v>4.8593923685390781</v>
      </c>
      <c r="U60" s="56">
        <f t="shared" si="10"/>
        <v>-14.820068737785565</v>
      </c>
    </row>
    <row r="61" spans="1:21" ht="15" customHeight="1">
      <c r="A61" s="34" t="s">
        <v>60</v>
      </c>
      <c r="B61" s="54">
        <f>'Расчет субсидий'!AD61</f>
        <v>14.190909090909088</v>
      </c>
      <c r="C61" s="56">
        <f>'Расчет субсидий'!D61-1</f>
        <v>8.5754547783756019E-2</v>
      </c>
      <c r="D61" s="56">
        <f>C61*'Расчет субсидий'!E61</f>
        <v>0.85754547783756019</v>
      </c>
      <c r="E61" s="57">
        <f t="shared" si="11"/>
        <v>1.4048750121546372</v>
      </c>
      <c r="F61" s="28" t="s">
        <v>375</v>
      </c>
      <c r="G61" s="28" t="s">
        <v>375</v>
      </c>
      <c r="H61" s="28" t="s">
        <v>375</v>
      </c>
      <c r="I61" s="28" t="s">
        <v>375</v>
      </c>
      <c r="J61" s="28" t="s">
        <v>375</v>
      </c>
      <c r="K61" s="28" t="s">
        <v>375</v>
      </c>
      <c r="L61" s="56">
        <f>'Расчет субсидий'!P61-1</f>
        <v>0.26642468239564421</v>
      </c>
      <c r="M61" s="56">
        <f>L61*'Расчет субсидий'!Q61</f>
        <v>5.3284936479128842</v>
      </c>
      <c r="N61" s="57">
        <f t="shared" si="12"/>
        <v>8.7294117593090768</v>
      </c>
      <c r="O61" s="56">
        <f>'Расчет субсидий'!T61-1</f>
        <v>4.4444444444444509E-2</v>
      </c>
      <c r="P61" s="56">
        <f>O61*'Расчет субсидий'!U61</f>
        <v>1.3333333333333353</v>
      </c>
      <c r="Q61" s="57">
        <f t="shared" si="13"/>
        <v>2.1843350950859719</v>
      </c>
      <c r="R61" s="56">
        <f>'Расчет субсидий'!X61-1</f>
        <v>5.7142857142857162E-2</v>
      </c>
      <c r="S61" s="56">
        <f>R61*'Расчет субсидий'!Y61</f>
        <v>1.1428571428571432</v>
      </c>
      <c r="T61" s="57">
        <f t="shared" si="14"/>
        <v>1.8722872243594022</v>
      </c>
      <c r="U61" s="56">
        <f t="shared" si="10"/>
        <v>8.662229601940922</v>
      </c>
    </row>
    <row r="62" spans="1:21" ht="15" customHeight="1">
      <c r="A62" s="34" t="s">
        <v>61</v>
      </c>
      <c r="B62" s="54">
        <f>'Расчет субсидий'!AD62</f>
        <v>1.6909090909090878</v>
      </c>
      <c r="C62" s="56">
        <f>'Расчет субсидий'!D62-1</f>
        <v>-1</v>
      </c>
      <c r="D62" s="56">
        <f>C62*'Расчет субсидий'!E62</f>
        <v>0</v>
      </c>
      <c r="E62" s="57">
        <f t="shared" si="11"/>
        <v>0</v>
      </c>
      <c r="F62" s="28" t="s">
        <v>375</v>
      </c>
      <c r="G62" s="28" t="s">
        <v>375</v>
      </c>
      <c r="H62" s="28" t="s">
        <v>375</v>
      </c>
      <c r="I62" s="28" t="s">
        <v>375</v>
      </c>
      <c r="J62" s="28" t="s">
        <v>375</v>
      </c>
      <c r="K62" s="28" t="s">
        <v>375</v>
      </c>
      <c r="L62" s="56">
        <f>'Расчет субсидий'!P62-1</f>
        <v>0.24809523809523815</v>
      </c>
      <c r="M62" s="56">
        <f>L62*'Расчет субсидий'!Q62</f>
        <v>4.9619047619047629</v>
      </c>
      <c r="N62" s="57">
        <f t="shared" si="12"/>
        <v>5.8636551421954115</v>
      </c>
      <c r="O62" s="56">
        <f>'Расчет субсидий'!T62-1</f>
        <v>-0.15103448275862075</v>
      </c>
      <c r="P62" s="56">
        <f>O62*'Расчет субсидий'!U62</f>
        <v>-4.5310344827586224</v>
      </c>
      <c r="Q62" s="57">
        <f t="shared" si="13"/>
        <v>-5.3544807728420221</v>
      </c>
      <c r="R62" s="56">
        <f>'Расчет субсидий'!X62-1</f>
        <v>5.0000000000000044E-2</v>
      </c>
      <c r="S62" s="56">
        <f>R62*'Расчет субсидий'!Y62</f>
        <v>1.0000000000000009</v>
      </c>
      <c r="T62" s="57">
        <f t="shared" si="14"/>
        <v>1.1817347215556981</v>
      </c>
      <c r="U62" s="56">
        <f t="shared" si="10"/>
        <v>1.4308702791461414</v>
      </c>
    </row>
    <row r="63" spans="1:21" ht="15" customHeight="1">
      <c r="A63" s="34" t="s">
        <v>62</v>
      </c>
      <c r="B63" s="54">
        <f>'Расчет субсидий'!AD63</f>
        <v>-47.454545454545453</v>
      </c>
      <c r="C63" s="56">
        <f>'Расчет субсидий'!D63-1</f>
        <v>-1</v>
      </c>
      <c r="D63" s="56">
        <f>C63*'Расчет субсидий'!E63</f>
        <v>-10</v>
      </c>
      <c r="E63" s="57">
        <f t="shared" si="11"/>
        <v>-14.182699368482888</v>
      </c>
      <c r="F63" s="28" t="s">
        <v>375</v>
      </c>
      <c r="G63" s="28" t="s">
        <v>375</v>
      </c>
      <c r="H63" s="28" t="s">
        <v>375</v>
      </c>
      <c r="I63" s="28" t="s">
        <v>375</v>
      </c>
      <c r="J63" s="28" t="s">
        <v>375</v>
      </c>
      <c r="K63" s="28" t="s">
        <v>375</v>
      </c>
      <c r="L63" s="56">
        <f>'Расчет субсидий'!P63-1</f>
        <v>0.30000000000000004</v>
      </c>
      <c r="M63" s="56">
        <f>L63*'Расчет субсидий'!Q63</f>
        <v>6.0000000000000009</v>
      </c>
      <c r="N63" s="57">
        <f t="shared" si="12"/>
        <v>8.509619621089735</v>
      </c>
      <c r="O63" s="56">
        <f>'Расчет субсидий'!T63-1</f>
        <v>-1</v>
      </c>
      <c r="P63" s="56">
        <f>O63*'Расчет субсидий'!U63</f>
        <v>-30</v>
      </c>
      <c r="Q63" s="57">
        <f t="shared" si="13"/>
        <v>-42.548098105448666</v>
      </c>
      <c r="R63" s="56">
        <f>'Расчет субсидий'!X63-1</f>
        <v>2.7027027027026973E-2</v>
      </c>
      <c r="S63" s="56">
        <f>R63*'Расчет субсидий'!Y63</f>
        <v>0.54054054054053946</v>
      </c>
      <c r="T63" s="57">
        <f t="shared" si="14"/>
        <v>0.76663239829637086</v>
      </c>
      <c r="U63" s="56">
        <f t="shared" si="10"/>
        <v>-33.45945945945946</v>
      </c>
    </row>
    <row r="64" spans="1:21" ht="15" customHeight="1">
      <c r="A64" s="34" t="s">
        <v>63</v>
      </c>
      <c r="B64" s="54">
        <f>'Расчет субсидий'!AD64</f>
        <v>-12.24545454545455</v>
      </c>
      <c r="C64" s="56">
        <f>'Расчет субсидий'!D64-1</f>
        <v>-1</v>
      </c>
      <c r="D64" s="56">
        <f>C64*'Расчет субсидий'!E64</f>
        <v>0</v>
      </c>
      <c r="E64" s="57">
        <f t="shared" si="11"/>
        <v>0</v>
      </c>
      <c r="F64" s="28" t="s">
        <v>375</v>
      </c>
      <c r="G64" s="28" t="s">
        <v>375</v>
      </c>
      <c r="H64" s="28" t="s">
        <v>375</v>
      </c>
      <c r="I64" s="28" t="s">
        <v>375</v>
      </c>
      <c r="J64" s="28" t="s">
        <v>375</v>
      </c>
      <c r="K64" s="28" t="s">
        <v>375</v>
      </c>
      <c r="L64" s="56">
        <f>'Расчет субсидий'!P64-1</f>
        <v>-0.46517739816031534</v>
      </c>
      <c r="M64" s="56">
        <f>L64*'Расчет субсидий'!Q64</f>
        <v>-9.3035479632063058</v>
      </c>
      <c r="N64" s="57">
        <f t="shared" si="12"/>
        <v>-14.348544346648616</v>
      </c>
      <c r="O64" s="56">
        <f>'Расчет субсидий'!T64-1</f>
        <v>0</v>
      </c>
      <c r="P64" s="56">
        <f>O64*'Расчет субсидий'!U64</f>
        <v>0</v>
      </c>
      <c r="Q64" s="57">
        <f t="shared" si="13"/>
        <v>0</v>
      </c>
      <c r="R64" s="56">
        <f>'Расчет субсидий'!X64-1</f>
        <v>9.0909090909090828E-2</v>
      </c>
      <c r="S64" s="56">
        <f>R64*'Расчет субсидий'!Y64</f>
        <v>1.3636363636363624</v>
      </c>
      <c r="T64" s="57">
        <f t="shared" si="14"/>
        <v>2.1030898011940655</v>
      </c>
      <c r="U64" s="56">
        <f t="shared" si="10"/>
        <v>-7.9399115995699434</v>
      </c>
    </row>
    <row r="65" spans="1:21" ht="15" customHeight="1">
      <c r="A65" s="34" t="s">
        <v>64</v>
      </c>
      <c r="B65" s="54">
        <f>'Расчет субсидий'!AD65</f>
        <v>22.190909090909088</v>
      </c>
      <c r="C65" s="56">
        <f>'Расчет субсидий'!D65-1</f>
        <v>-1</v>
      </c>
      <c r="D65" s="56">
        <f>C65*'Расчет субсидий'!E65</f>
        <v>0</v>
      </c>
      <c r="E65" s="57">
        <f t="shared" si="11"/>
        <v>0</v>
      </c>
      <c r="F65" s="28" t="s">
        <v>375</v>
      </c>
      <c r="G65" s="28" t="s">
        <v>375</v>
      </c>
      <c r="H65" s="28" t="s">
        <v>375</v>
      </c>
      <c r="I65" s="28" t="s">
        <v>375</v>
      </c>
      <c r="J65" s="28" t="s">
        <v>375</v>
      </c>
      <c r="K65" s="28" t="s">
        <v>375</v>
      </c>
      <c r="L65" s="56">
        <f>'Расчет субсидий'!P65-1</f>
        <v>0.26484848484848489</v>
      </c>
      <c r="M65" s="56">
        <f>L65*'Расчет субсидий'!Q65</f>
        <v>5.2969696969696978</v>
      </c>
      <c r="N65" s="57">
        <f t="shared" si="12"/>
        <v>9.8291816711575652</v>
      </c>
      <c r="O65" s="56">
        <f>'Расчет субсидий'!T65-1</f>
        <v>9.000000000000008E-2</v>
      </c>
      <c r="P65" s="56">
        <f>O65*'Расчет субсидий'!U65</f>
        <v>2.2500000000000018</v>
      </c>
      <c r="Q65" s="57">
        <f t="shared" si="13"/>
        <v>4.1751529695849525</v>
      </c>
      <c r="R65" s="56">
        <f>'Расчет субсидий'!X65-1</f>
        <v>0.17647058823529416</v>
      </c>
      <c r="S65" s="56">
        <f>R65*'Расчет субсидий'!Y65</f>
        <v>4.4117647058823541</v>
      </c>
      <c r="T65" s="57">
        <f t="shared" si="14"/>
        <v>8.1865744501665692</v>
      </c>
      <c r="U65" s="56">
        <f t="shared" si="10"/>
        <v>11.958734402852054</v>
      </c>
    </row>
    <row r="66" spans="1:21" ht="15" customHeight="1">
      <c r="A66" s="33" t="s">
        <v>65</v>
      </c>
      <c r="B66" s="58"/>
      <c r="C66" s="59"/>
      <c r="D66" s="59"/>
      <c r="E66" s="60"/>
      <c r="F66" s="59"/>
      <c r="G66" s="59"/>
      <c r="H66" s="60"/>
      <c r="I66" s="60"/>
      <c r="J66" s="60"/>
      <c r="K66" s="60"/>
      <c r="L66" s="59"/>
      <c r="M66" s="59"/>
      <c r="N66" s="60"/>
      <c r="O66" s="59"/>
      <c r="P66" s="59"/>
      <c r="Q66" s="60"/>
      <c r="R66" s="59"/>
      <c r="S66" s="59"/>
      <c r="T66" s="60"/>
      <c r="U66" s="60"/>
    </row>
    <row r="67" spans="1:21" ht="15" customHeight="1">
      <c r="A67" s="34" t="s">
        <v>66</v>
      </c>
      <c r="B67" s="54">
        <f>'Расчет субсидий'!AD67</f>
        <v>-54.509090909090958</v>
      </c>
      <c r="C67" s="56">
        <f>'Расчет субсидий'!D67-1</f>
        <v>-0.9285714285714286</v>
      </c>
      <c r="D67" s="56">
        <f>C67*'Расчет субсидий'!E67</f>
        <v>-9.2857142857142865</v>
      </c>
      <c r="E67" s="57">
        <f>$B67*D67/$U67</f>
        <v>-39.584288936990966</v>
      </c>
      <c r="F67" s="28" t="s">
        <v>375</v>
      </c>
      <c r="G67" s="28" t="s">
        <v>375</v>
      </c>
      <c r="H67" s="28" t="s">
        <v>375</v>
      </c>
      <c r="I67" s="28" t="s">
        <v>375</v>
      </c>
      <c r="J67" s="28" t="s">
        <v>375</v>
      </c>
      <c r="K67" s="28" t="s">
        <v>375</v>
      </c>
      <c r="L67" s="56">
        <f>'Расчет субсидий'!P67-1</f>
        <v>-0.64084967320261432</v>
      </c>
      <c r="M67" s="56">
        <f>L67*'Расчет субсидий'!Q67</f>
        <v>-12.816993464052286</v>
      </c>
      <c r="N67" s="57">
        <f>$B67*M67/$U67</f>
        <v>-54.637861662953725</v>
      </c>
      <c r="O67" s="56">
        <f>'Расчет субсидий'!T67-1</f>
        <v>0.19458868543317864</v>
      </c>
      <c r="P67" s="56">
        <f>O67*'Расчет субсидий'!U67</f>
        <v>5.8376605629953593</v>
      </c>
      <c r="Q67" s="57">
        <f>$B67*P67/$U67</f>
        <v>24.885499955258449</v>
      </c>
      <c r="R67" s="56">
        <f>'Расчет субсидий'!X67-1</f>
        <v>0.17391304347826098</v>
      </c>
      <c r="S67" s="56">
        <f>R67*'Расчет субсидий'!Y67</f>
        <v>3.4782608695652195</v>
      </c>
      <c r="T67" s="57">
        <f>$B67*S67/$U67</f>
        <v>14.827559735595285</v>
      </c>
      <c r="U67" s="56">
        <f t="shared" si="10"/>
        <v>-12.786786317205994</v>
      </c>
    </row>
    <row r="68" spans="1:21" ht="15" customHeight="1">
      <c r="A68" s="34" t="s">
        <v>67</v>
      </c>
      <c r="B68" s="54">
        <f>'Расчет субсидий'!AD68</f>
        <v>23.545454545454504</v>
      </c>
      <c r="C68" s="56">
        <f>'Расчет субсидий'!D68-1</f>
        <v>-0.3190089397289243</v>
      </c>
      <c r="D68" s="56">
        <f>C68*'Расчет субсидий'!E68</f>
        <v>-3.1900893972892428</v>
      </c>
      <c r="E68" s="57">
        <f>$B68*D68/$U68</f>
        <v>-21.820016763542736</v>
      </c>
      <c r="F68" s="28" t="s">
        <v>375</v>
      </c>
      <c r="G68" s="28" t="s">
        <v>375</v>
      </c>
      <c r="H68" s="28" t="s">
        <v>375</v>
      </c>
      <c r="I68" s="28" t="s">
        <v>375</v>
      </c>
      <c r="J68" s="28" t="s">
        <v>375</v>
      </c>
      <c r="K68" s="28" t="s">
        <v>375</v>
      </c>
      <c r="L68" s="56">
        <f>'Расчет субсидий'!P68-1</f>
        <v>-0.29337809843560259</v>
      </c>
      <c r="M68" s="56">
        <f>L68*'Расчет субсидий'!Q68</f>
        <v>-5.8675619687120513</v>
      </c>
      <c r="N68" s="57">
        <f>$B68*M68/$U68</f>
        <v>-40.133765726821217</v>
      </c>
      <c r="O68" s="56">
        <f>'Расчет субсидий'!T68-1</f>
        <v>-0.20000000000000007</v>
      </c>
      <c r="P68" s="56">
        <f>O68*'Расчет субсидий'!U68</f>
        <v>-1.0000000000000004</v>
      </c>
      <c r="Q68" s="57">
        <f>$B68*P68/$U68</f>
        <v>-6.8399389628654799</v>
      </c>
      <c r="R68" s="56">
        <f>'Расчет субсидий'!X68-1</f>
        <v>0.30000000000000004</v>
      </c>
      <c r="S68" s="56">
        <f>R68*'Расчет субсидий'!Y68</f>
        <v>13.500000000000002</v>
      </c>
      <c r="T68" s="57">
        <f>$B68*S68/$U68</f>
        <v>92.339175998683942</v>
      </c>
      <c r="U68" s="56">
        <f t="shared" si="10"/>
        <v>3.4423486339987068</v>
      </c>
    </row>
    <row r="69" spans="1:21" ht="15" customHeight="1">
      <c r="A69" s="34" t="s">
        <v>68</v>
      </c>
      <c r="B69" s="54">
        <f>'Расчет субсидий'!AD69</f>
        <v>-18.845454545454544</v>
      </c>
      <c r="C69" s="56">
        <f>'Расчет субсидий'!D69-1</f>
        <v>-0.36544502617801045</v>
      </c>
      <c r="D69" s="56">
        <f>C69*'Расчет субсидий'!E69</f>
        <v>-3.6544502617801045</v>
      </c>
      <c r="E69" s="57">
        <f>$B69*D69/$U69</f>
        <v>-7.2782260904734919</v>
      </c>
      <c r="F69" s="28" t="s">
        <v>375</v>
      </c>
      <c r="G69" s="28" t="s">
        <v>375</v>
      </c>
      <c r="H69" s="28" t="s">
        <v>375</v>
      </c>
      <c r="I69" s="28" t="s">
        <v>375</v>
      </c>
      <c r="J69" s="28" t="s">
        <v>375</v>
      </c>
      <c r="K69" s="28" t="s">
        <v>375</v>
      </c>
      <c r="L69" s="56">
        <f>'Расчет субсидий'!P69-1</f>
        <v>-0.77688299384178117</v>
      </c>
      <c r="M69" s="56">
        <f>L69*'Расчет субсидий'!Q69</f>
        <v>-15.537659876835622</v>
      </c>
      <c r="N69" s="57">
        <f>$B69*M69/$U69</f>
        <v>-30.944900983657938</v>
      </c>
      <c r="O69" s="56">
        <f>'Расчет субсидий'!T69-1</f>
        <v>0.14230769230769225</v>
      </c>
      <c r="P69" s="56">
        <f>O69*'Расчет субсидий'!U69</f>
        <v>2.8461538461538449</v>
      </c>
      <c r="Q69" s="57">
        <f>$B69*P69/$U69</f>
        <v>5.6684178731955193</v>
      </c>
      <c r="R69" s="56">
        <f>'Расчет субсидий'!X69-1</f>
        <v>0.22945054945054943</v>
      </c>
      <c r="S69" s="56">
        <f>R69*'Расчет субсидий'!Y69</f>
        <v>6.883516483516483</v>
      </c>
      <c r="T69" s="57">
        <f>$B69*S69/$U69</f>
        <v>13.709254655481368</v>
      </c>
      <c r="U69" s="56">
        <f t="shared" si="10"/>
        <v>-9.4624398089454012</v>
      </c>
    </row>
    <row r="70" spans="1:21" ht="15" customHeight="1">
      <c r="A70" s="34" t="s">
        <v>69</v>
      </c>
      <c r="B70" s="54">
        <f>'Расчет субсидий'!AD70</f>
        <v>8.8909090909091049</v>
      </c>
      <c r="C70" s="56">
        <f>'Расчет субсидий'!D70-1</f>
        <v>-6.2806389892105519E-2</v>
      </c>
      <c r="D70" s="56">
        <f>C70*'Расчет субсидий'!E70</f>
        <v>-0.62806389892105519</v>
      </c>
      <c r="E70" s="57">
        <f>$B70*D70/$U70</f>
        <v>-1.0478269144107302</v>
      </c>
      <c r="F70" s="28" t="s">
        <v>375</v>
      </c>
      <c r="G70" s="28" t="s">
        <v>375</v>
      </c>
      <c r="H70" s="28" t="s">
        <v>375</v>
      </c>
      <c r="I70" s="28" t="s">
        <v>375</v>
      </c>
      <c r="J70" s="28" t="s">
        <v>375</v>
      </c>
      <c r="K70" s="28" t="s">
        <v>375</v>
      </c>
      <c r="L70" s="56">
        <f>'Расчет субсидий'!P70-1</f>
        <v>-0.30213776722090258</v>
      </c>
      <c r="M70" s="56">
        <f>L70*'Расчет субсидий'!Q70</f>
        <v>-6.0427553444180511</v>
      </c>
      <c r="N70" s="57">
        <f>$B70*M70/$U70</f>
        <v>-10.081397287692841</v>
      </c>
      <c r="O70" s="56">
        <f>'Расчет субсидий'!T70-1</f>
        <v>0</v>
      </c>
      <c r="P70" s="56">
        <f>O70*'Расчет субсидий'!U70</f>
        <v>0</v>
      </c>
      <c r="Q70" s="57">
        <f>$B70*P70/$U70</f>
        <v>0</v>
      </c>
      <c r="R70" s="56">
        <f>'Расчет субсидий'!X70-1</f>
        <v>0.30000000000000004</v>
      </c>
      <c r="S70" s="56">
        <f>R70*'Расчет субсидий'!Y70</f>
        <v>12.000000000000002</v>
      </c>
      <c r="T70" s="57">
        <f>$B70*S70/$U70</f>
        <v>20.020133293012673</v>
      </c>
      <c r="U70" s="56">
        <f t="shared" si="10"/>
        <v>5.3291807566608957</v>
      </c>
    </row>
    <row r="71" spans="1:21" ht="15" customHeight="1">
      <c r="A71" s="34" t="s">
        <v>70</v>
      </c>
      <c r="B71" s="54">
        <f>'Расчет субсидий'!AD71</f>
        <v>23.145454545454584</v>
      </c>
      <c r="C71" s="56">
        <f>'Расчет субсидий'!D71-1</f>
        <v>-1</v>
      </c>
      <c r="D71" s="56">
        <f>C71*'Расчет субсидий'!E71</f>
        <v>0</v>
      </c>
      <c r="E71" s="57">
        <f>$B71*D71/$U71</f>
        <v>0</v>
      </c>
      <c r="F71" s="28" t="s">
        <v>375</v>
      </c>
      <c r="G71" s="28" t="s">
        <v>375</v>
      </c>
      <c r="H71" s="28" t="s">
        <v>375</v>
      </c>
      <c r="I71" s="28" t="s">
        <v>375</v>
      </c>
      <c r="J71" s="28" t="s">
        <v>375</v>
      </c>
      <c r="K71" s="28" t="s">
        <v>375</v>
      </c>
      <c r="L71" s="56">
        <f>'Расчет субсидий'!P71-1</f>
        <v>-0.38759213759213762</v>
      </c>
      <c r="M71" s="56">
        <f>L71*'Расчет субсидий'!Q71</f>
        <v>-7.7518427518427524</v>
      </c>
      <c r="N71" s="57">
        <f>$B71*M71/$U71</f>
        <v>-30.273011275306221</v>
      </c>
      <c r="O71" s="56">
        <f>'Расчет субсидий'!T71-1</f>
        <v>0.23392857142857149</v>
      </c>
      <c r="P71" s="56">
        <f>O71*'Расчет субсидий'!U71</f>
        <v>4.6785714285714297</v>
      </c>
      <c r="Q71" s="57">
        <f>$B71*P71/$U71</f>
        <v>18.271067943915575</v>
      </c>
      <c r="R71" s="56">
        <f>'Расчет субсидий'!X71-1</f>
        <v>0.30000000000000004</v>
      </c>
      <c r="S71" s="56">
        <f>R71*'Расчет субсидий'!Y71</f>
        <v>9.0000000000000018</v>
      </c>
      <c r="T71" s="57">
        <f>$B71*S71/$U71</f>
        <v>35.147397876845226</v>
      </c>
      <c r="U71" s="56">
        <f t="shared" si="10"/>
        <v>5.9267286767286791</v>
      </c>
    </row>
    <row r="72" spans="1:21" ht="15" customHeight="1">
      <c r="A72" s="33" t="s">
        <v>71</v>
      </c>
      <c r="B72" s="58"/>
      <c r="C72" s="59"/>
      <c r="D72" s="59"/>
      <c r="E72" s="60"/>
      <c r="F72" s="59"/>
      <c r="G72" s="59"/>
      <c r="H72" s="60"/>
      <c r="I72" s="60"/>
      <c r="J72" s="60"/>
      <c r="K72" s="60"/>
      <c r="L72" s="59"/>
      <c r="M72" s="59"/>
      <c r="N72" s="60"/>
      <c r="O72" s="59"/>
      <c r="P72" s="59"/>
      <c r="Q72" s="60"/>
      <c r="R72" s="59"/>
      <c r="S72" s="59"/>
      <c r="T72" s="60"/>
      <c r="U72" s="60"/>
    </row>
    <row r="73" spans="1:21" ht="15" customHeight="1">
      <c r="A73" s="34" t="s">
        <v>72</v>
      </c>
      <c r="B73" s="54">
        <f>'Расчет субсидий'!AD73</f>
        <v>-2.3454545454545439</v>
      </c>
      <c r="C73" s="56">
        <f>'Расчет субсидий'!D73-1</f>
        <v>-8.6602357984994605E-2</v>
      </c>
      <c r="D73" s="56">
        <f>C73*'Расчет субсидий'!E73</f>
        <v>-0.86602357984994605</v>
      </c>
      <c r="E73" s="57">
        <f t="shared" ref="E73:E80" si="15">$B73*D73/$U73</f>
        <v>-1.0885280142029108</v>
      </c>
      <c r="F73" s="28" t="s">
        <v>375</v>
      </c>
      <c r="G73" s="28" t="s">
        <v>375</v>
      </c>
      <c r="H73" s="28" t="s">
        <v>375</v>
      </c>
      <c r="I73" s="28" t="s">
        <v>375</v>
      </c>
      <c r="J73" s="28" t="s">
        <v>375</v>
      </c>
      <c r="K73" s="28" t="s">
        <v>375</v>
      </c>
      <c r="L73" s="56">
        <f>'Расчет субсидий'!P73-1</f>
        <v>-0.58333333333333337</v>
      </c>
      <c r="M73" s="56">
        <f>L73*'Расчет субсидий'!Q73</f>
        <v>-11.666666666666668</v>
      </c>
      <c r="N73" s="57">
        <f t="shared" ref="N73:N80" si="16">$B73*M73/$U73</f>
        <v>-14.664142864602338</v>
      </c>
      <c r="O73" s="56">
        <f>'Расчет субсидий'!T73-1</f>
        <v>0.15555555555555545</v>
      </c>
      <c r="P73" s="56">
        <f>O73*'Расчет субсидий'!U73</f>
        <v>4.6666666666666634</v>
      </c>
      <c r="Q73" s="57">
        <f t="shared" ref="Q73:Q80" si="17">$B73*P73/$U73</f>
        <v>5.8656571458409301</v>
      </c>
      <c r="R73" s="56">
        <f>'Расчет субсидий'!X73-1</f>
        <v>0.30000000000000004</v>
      </c>
      <c r="S73" s="56">
        <f>R73*'Расчет субсидий'!Y73</f>
        <v>6.0000000000000009</v>
      </c>
      <c r="T73" s="57">
        <f t="shared" ref="T73:T80" si="18">$B73*S73/$U73</f>
        <v>7.5415591875097734</v>
      </c>
      <c r="U73" s="56">
        <f t="shared" si="10"/>
        <v>-1.8660235798499496</v>
      </c>
    </row>
    <row r="74" spans="1:21" ht="15" customHeight="1">
      <c r="A74" s="34" t="s">
        <v>73</v>
      </c>
      <c r="B74" s="54">
        <f>'Расчет субсидий'!AD74</f>
        <v>61.345454545454515</v>
      </c>
      <c r="C74" s="56">
        <f>'Расчет субсидий'!D74-1</f>
        <v>1.3110143957147491E-2</v>
      </c>
      <c r="D74" s="56">
        <f>C74*'Расчет субсидий'!E74</f>
        <v>0.13110143957147491</v>
      </c>
      <c r="E74" s="57">
        <f t="shared" si="15"/>
        <v>0.76435962980264549</v>
      </c>
      <c r="F74" s="28" t="s">
        <v>375</v>
      </c>
      <c r="G74" s="28" t="s">
        <v>375</v>
      </c>
      <c r="H74" s="28" t="s">
        <v>375</v>
      </c>
      <c r="I74" s="28" t="s">
        <v>375</v>
      </c>
      <c r="J74" s="28" t="s">
        <v>375</v>
      </c>
      <c r="K74" s="28" t="s">
        <v>375</v>
      </c>
      <c r="L74" s="56">
        <f>'Расчет субсидий'!P74-1</f>
        <v>0.16739457292188731</v>
      </c>
      <c r="M74" s="56">
        <f>L74*'Расчет субсидий'!Q74</f>
        <v>3.3478914584377462</v>
      </c>
      <c r="N74" s="57">
        <f t="shared" si="16"/>
        <v>19.519183650121423</v>
      </c>
      <c r="O74" s="56">
        <f>'Расчет субсидий'!T74-1</f>
        <v>2.8571428571428914E-3</v>
      </c>
      <c r="P74" s="56">
        <f>O74*'Расчет субсидий'!U74</f>
        <v>5.7142857142857828E-2</v>
      </c>
      <c r="Q74" s="57">
        <f t="shared" si="17"/>
        <v>0.33315952345258365</v>
      </c>
      <c r="R74" s="56">
        <f>'Расчет субсидий'!X74-1</f>
        <v>0.23285714285714287</v>
      </c>
      <c r="S74" s="56">
        <f>R74*'Расчет субсидий'!Y74</f>
        <v>6.9857142857142858</v>
      </c>
      <c r="T74" s="57">
        <f t="shared" si="18"/>
        <v>40.728751742077861</v>
      </c>
      <c r="U74" s="56">
        <f t="shared" si="10"/>
        <v>10.521850040866365</v>
      </c>
    </row>
    <row r="75" spans="1:21" ht="15" customHeight="1">
      <c r="A75" s="34" t="s">
        <v>74</v>
      </c>
      <c r="B75" s="54">
        <f>'Расчет субсидий'!AD75</f>
        <v>4.3090909090909122</v>
      </c>
      <c r="C75" s="56">
        <f>'Расчет субсидий'!D75-1</f>
        <v>-0.2185430463576159</v>
      </c>
      <c r="D75" s="56">
        <f>C75*'Расчет субсидий'!E75</f>
        <v>-2.185430463576159</v>
      </c>
      <c r="E75" s="57">
        <f t="shared" si="15"/>
        <v>-1.9786393100295394</v>
      </c>
      <c r="F75" s="28" t="s">
        <v>375</v>
      </c>
      <c r="G75" s="28" t="s">
        <v>375</v>
      </c>
      <c r="H75" s="28" t="s">
        <v>375</v>
      </c>
      <c r="I75" s="28" t="s">
        <v>375</v>
      </c>
      <c r="J75" s="28" t="s">
        <v>375</v>
      </c>
      <c r="K75" s="28" t="s">
        <v>375</v>
      </c>
      <c r="L75" s="56">
        <f>'Расчет субсидий'!P75-1</f>
        <v>-5.7667103538663111E-2</v>
      </c>
      <c r="M75" s="56">
        <f>L75*'Расчет субсидий'!Q75</f>
        <v>-1.1533420707732622</v>
      </c>
      <c r="N75" s="57">
        <f t="shared" si="16"/>
        <v>-1.0442098237289998</v>
      </c>
      <c r="O75" s="56">
        <f>'Расчет субсидий'!T75-1</f>
        <v>0.22392857142857148</v>
      </c>
      <c r="P75" s="56">
        <f>O75*'Расчет субсидий'!U75</f>
        <v>5.5982142857142865</v>
      </c>
      <c r="Q75" s="57">
        <f t="shared" si="17"/>
        <v>5.0684965897095973</v>
      </c>
      <c r="R75" s="56">
        <f>'Расчет субсидий'!X75-1</f>
        <v>0.10000000000000009</v>
      </c>
      <c r="S75" s="56">
        <f>R75*'Расчет субсидий'!Y75</f>
        <v>2.5000000000000022</v>
      </c>
      <c r="T75" s="57">
        <f t="shared" si="18"/>
        <v>2.2634434531398537</v>
      </c>
      <c r="U75" s="56">
        <f t="shared" si="10"/>
        <v>4.7594417513648679</v>
      </c>
    </row>
    <row r="76" spans="1:21" ht="15" customHeight="1">
      <c r="A76" s="34" t="s">
        <v>75</v>
      </c>
      <c r="B76" s="54">
        <f>'Расчет субсидий'!AD76</f>
        <v>-9.5090909090909008</v>
      </c>
      <c r="C76" s="56">
        <f>'Расчет субсидий'!D76-1</f>
        <v>-4.4483985765124578E-2</v>
      </c>
      <c r="D76" s="56">
        <f>C76*'Расчет субсидий'!E76</f>
        <v>-0.44483985765124578</v>
      </c>
      <c r="E76" s="57">
        <f t="shared" si="15"/>
        <v>-0.68897195423309443</v>
      </c>
      <c r="F76" s="28" t="s">
        <v>375</v>
      </c>
      <c r="G76" s="28" t="s">
        <v>375</v>
      </c>
      <c r="H76" s="28" t="s">
        <v>375</v>
      </c>
      <c r="I76" s="28" t="s">
        <v>375</v>
      </c>
      <c r="J76" s="28" t="s">
        <v>375</v>
      </c>
      <c r="K76" s="28" t="s">
        <v>375</v>
      </c>
      <c r="L76" s="56">
        <f>'Расчет субсидий'!P76-1</f>
        <v>-0.45140543115769416</v>
      </c>
      <c r="M76" s="56">
        <f>L76*'Расчет субсидий'!Q76</f>
        <v>-9.0281086231538836</v>
      </c>
      <c r="N76" s="57">
        <f t="shared" si="16"/>
        <v>-13.982815465244457</v>
      </c>
      <c r="O76" s="56">
        <f>'Расчет субсидий'!T76-1</f>
        <v>6.6666666666666652E-2</v>
      </c>
      <c r="P76" s="56">
        <f>O76*'Расчет субсидий'!U76</f>
        <v>1.9999999999999996</v>
      </c>
      <c r="Q76" s="57">
        <f t="shared" si="17"/>
        <v>3.09761790623199</v>
      </c>
      <c r="R76" s="56">
        <f>'Расчет субсидий'!X76-1</f>
        <v>6.6666666666666652E-2</v>
      </c>
      <c r="S76" s="56">
        <f>R76*'Расчет субсидий'!Y76</f>
        <v>1.333333333333333</v>
      </c>
      <c r="T76" s="57">
        <f t="shared" si="18"/>
        <v>2.0650786041546603</v>
      </c>
      <c r="U76" s="56">
        <f t="shared" si="10"/>
        <v>-6.1396151474717966</v>
      </c>
    </row>
    <row r="77" spans="1:21" ht="15" customHeight="1">
      <c r="A77" s="34" t="s">
        <v>76</v>
      </c>
      <c r="B77" s="54">
        <f>'Расчет субсидий'!AD77</f>
        <v>2.6454545454545482</v>
      </c>
      <c r="C77" s="56">
        <f>'Расчет субсидий'!D77-1</f>
        <v>-2.6200873362445254E-3</v>
      </c>
      <c r="D77" s="56">
        <f>C77*'Расчет субсидий'!E77</f>
        <v>-2.6200873362445254E-2</v>
      </c>
      <c r="E77" s="57">
        <f t="shared" si="15"/>
        <v>-1.4397890183238711E-2</v>
      </c>
      <c r="F77" s="28" t="s">
        <v>375</v>
      </c>
      <c r="G77" s="28" t="s">
        <v>375</v>
      </c>
      <c r="H77" s="28" t="s">
        <v>375</v>
      </c>
      <c r="I77" s="28" t="s">
        <v>375</v>
      </c>
      <c r="J77" s="28" t="s">
        <v>375</v>
      </c>
      <c r="K77" s="28" t="s">
        <v>375</v>
      </c>
      <c r="L77" s="56">
        <f>'Расчет субсидий'!P77-1</f>
        <v>0.2841214750542298</v>
      </c>
      <c r="M77" s="56">
        <f>L77*'Расчет субсидий'!Q77</f>
        <v>5.682429501084596</v>
      </c>
      <c r="N77" s="57">
        <f t="shared" si="16"/>
        <v>3.1226056780183749</v>
      </c>
      <c r="O77" s="56">
        <f>'Расчет субсидий'!T77-1</f>
        <v>-9.473684210526323E-2</v>
      </c>
      <c r="P77" s="56">
        <f>O77*'Расчет субсидий'!U77</f>
        <v>-2.8421052631578969</v>
      </c>
      <c r="Q77" s="57">
        <f t="shared" si="17"/>
        <v>-1.5617921930344834</v>
      </c>
      <c r="R77" s="56">
        <f>'Расчет субсидий'!X77-1</f>
        <v>0.10000000000000009</v>
      </c>
      <c r="S77" s="56">
        <f>R77*'Расчет субсидий'!Y77</f>
        <v>2.0000000000000018</v>
      </c>
      <c r="T77" s="57">
        <f t="shared" si="18"/>
        <v>1.0990389506538958</v>
      </c>
      <c r="U77" s="56">
        <f t="shared" si="10"/>
        <v>4.8141233645642547</v>
      </c>
    </row>
    <row r="78" spans="1:21" ht="15" customHeight="1">
      <c r="A78" s="34" t="s">
        <v>77</v>
      </c>
      <c r="B78" s="54">
        <f>'Расчет субсидий'!AD78</f>
        <v>-33.690909090909088</v>
      </c>
      <c r="C78" s="56">
        <f>'Расчет субсидий'!D78-1</f>
        <v>-3.703703703703709E-2</v>
      </c>
      <c r="D78" s="56">
        <f>C78*'Расчет субсидий'!E78</f>
        <v>-0.3703703703703709</v>
      </c>
      <c r="E78" s="57">
        <f t="shared" si="15"/>
        <v>-0.84336328324243859</v>
      </c>
      <c r="F78" s="28" t="s">
        <v>375</v>
      </c>
      <c r="G78" s="28" t="s">
        <v>375</v>
      </c>
      <c r="H78" s="28" t="s">
        <v>375</v>
      </c>
      <c r="I78" s="28" t="s">
        <v>375</v>
      </c>
      <c r="J78" s="28" t="s">
        <v>375</v>
      </c>
      <c r="K78" s="28" t="s">
        <v>375</v>
      </c>
      <c r="L78" s="56">
        <f>'Расчет субсидий'!P78-1</f>
        <v>-0.60459770114942524</v>
      </c>
      <c r="M78" s="56">
        <f>L78*'Расчет субсидий'!Q78</f>
        <v>-12.091954022988505</v>
      </c>
      <c r="N78" s="57">
        <f t="shared" si="16"/>
        <v>-27.5343571232393</v>
      </c>
      <c r="O78" s="56">
        <f>'Расчет субсидий'!T78-1</f>
        <v>-0.14444444444444449</v>
      </c>
      <c r="P78" s="56">
        <f>O78*'Расчет субсидий'!U78</f>
        <v>-4.3333333333333348</v>
      </c>
      <c r="Q78" s="57">
        <f t="shared" si="17"/>
        <v>-9.8673504139365207</v>
      </c>
      <c r="R78" s="56">
        <f>'Расчет субсидий'!X78-1</f>
        <v>0.10000000000000009</v>
      </c>
      <c r="S78" s="56">
        <f>R78*'Расчет субсидий'!Y78</f>
        <v>2.0000000000000018</v>
      </c>
      <c r="T78" s="57">
        <f t="shared" si="18"/>
        <v>4.5541617295091656</v>
      </c>
      <c r="U78" s="56">
        <f t="shared" si="10"/>
        <v>-14.795657726692207</v>
      </c>
    </row>
    <row r="79" spans="1:21" ht="15" customHeight="1">
      <c r="A79" s="34" t="s">
        <v>78</v>
      </c>
      <c r="B79" s="54">
        <f>'Расчет субсидий'!AD79</f>
        <v>13.081818181818193</v>
      </c>
      <c r="C79" s="56">
        <f>'Расчет субсидий'!D79-1</f>
        <v>-5.7888762769579993E-2</v>
      </c>
      <c r="D79" s="56">
        <f>C79*'Расчет субсидий'!E79</f>
        <v>-0.57888762769579993</v>
      </c>
      <c r="E79" s="57">
        <f t="shared" si="15"/>
        <v>-1.2456431512650119</v>
      </c>
      <c r="F79" s="28" t="s">
        <v>375</v>
      </c>
      <c r="G79" s="28" t="s">
        <v>375</v>
      </c>
      <c r="H79" s="28" t="s">
        <v>375</v>
      </c>
      <c r="I79" s="28" t="s">
        <v>375</v>
      </c>
      <c r="J79" s="28" t="s">
        <v>375</v>
      </c>
      <c r="K79" s="28" t="s">
        <v>375</v>
      </c>
      <c r="L79" s="56">
        <f>'Расчет субсидий'!P79-1</f>
        <v>0.20248520710059159</v>
      </c>
      <c r="M79" s="56">
        <f>L79*'Расчет субсидий'!Q79</f>
        <v>4.0497041420118318</v>
      </c>
      <c r="N79" s="57">
        <f t="shared" si="16"/>
        <v>8.7141026821140155</v>
      </c>
      <c r="O79" s="56">
        <f>'Расчет субсидий'!T79-1</f>
        <v>4.3478260869564966E-3</v>
      </c>
      <c r="P79" s="56">
        <f>O79*'Расчет субсидий'!U79</f>
        <v>0.10869565217391242</v>
      </c>
      <c r="Q79" s="57">
        <f t="shared" si="17"/>
        <v>0.23388994379038144</v>
      </c>
      <c r="R79" s="56">
        <f>'Расчет субсидий'!X79-1</f>
        <v>0.10000000000000009</v>
      </c>
      <c r="S79" s="56">
        <f>R79*'Расчет субсидий'!Y79</f>
        <v>2.5000000000000022</v>
      </c>
      <c r="T79" s="57">
        <f t="shared" si="18"/>
        <v>5.379468707178809</v>
      </c>
      <c r="U79" s="56">
        <f t="shared" si="10"/>
        <v>6.0795121664899465</v>
      </c>
    </row>
    <row r="80" spans="1:21" ht="15" customHeight="1">
      <c r="A80" s="34" t="s">
        <v>79</v>
      </c>
      <c r="B80" s="54">
        <f>'Расчет субсидий'!AD80</f>
        <v>-28.109090909090909</v>
      </c>
      <c r="C80" s="56">
        <f>'Расчет субсидий'!D80-1</f>
        <v>-9.4550408719346057E-2</v>
      </c>
      <c r="D80" s="56">
        <f>C80*'Расчет субсидий'!E80</f>
        <v>-0.94550408719346057</v>
      </c>
      <c r="E80" s="57">
        <f t="shared" si="15"/>
        <v>-1.6304754240588182</v>
      </c>
      <c r="F80" s="28" t="s">
        <v>375</v>
      </c>
      <c r="G80" s="28" t="s">
        <v>375</v>
      </c>
      <c r="H80" s="28" t="s">
        <v>375</v>
      </c>
      <c r="I80" s="28" t="s">
        <v>375</v>
      </c>
      <c r="J80" s="28" t="s">
        <v>375</v>
      </c>
      <c r="K80" s="28" t="s">
        <v>375</v>
      </c>
      <c r="L80" s="56">
        <f>'Расчет субсидий'!P80-1</f>
        <v>-0.78686327077747986</v>
      </c>
      <c r="M80" s="56">
        <f>L80*'Расчет субсидий'!Q80</f>
        <v>-15.737265415549597</v>
      </c>
      <c r="N80" s="57">
        <f t="shared" si="16"/>
        <v>-27.138142340673184</v>
      </c>
      <c r="O80" s="56">
        <f>'Расчет субсидий'!T80-1</f>
        <v>3.3333333333334103E-3</v>
      </c>
      <c r="P80" s="56">
        <f>O80*'Расчет субсидий'!U80</f>
        <v>6.6666666666668206E-2</v>
      </c>
      <c r="Q80" s="57">
        <f t="shared" si="17"/>
        <v>0.11496339685487034</v>
      </c>
      <c r="R80" s="56">
        <f>'Расчет субсидий'!X80-1</f>
        <v>1.0526315789473717E-2</v>
      </c>
      <c r="S80" s="56">
        <f>R80*'Расчет субсидий'!Y80</f>
        <v>0.31578947368421151</v>
      </c>
      <c r="T80" s="57">
        <f t="shared" si="18"/>
        <v>0.54456345878621704</v>
      </c>
      <c r="U80" s="56">
        <f t="shared" si="10"/>
        <v>-16.300313362392174</v>
      </c>
    </row>
    <row r="81" spans="1:21" ht="15" customHeight="1">
      <c r="A81" s="33" t="s">
        <v>80</v>
      </c>
      <c r="B81" s="58"/>
      <c r="C81" s="59"/>
      <c r="D81" s="59"/>
      <c r="E81" s="60"/>
      <c r="F81" s="59"/>
      <c r="G81" s="59"/>
      <c r="H81" s="60"/>
      <c r="I81" s="60"/>
      <c r="J81" s="60"/>
      <c r="K81" s="60"/>
      <c r="L81" s="59"/>
      <c r="M81" s="59"/>
      <c r="N81" s="60"/>
      <c r="O81" s="59"/>
      <c r="P81" s="59"/>
      <c r="Q81" s="60"/>
      <c r="R81" s="59"/>
      <c r="S81" s="59"/>
      <c r="T81" s="60"/>
      <c r="U81" s="60"/>
    </row>
    <row r="82" spans="1:21" ht="15" customHeight="1">
      <c r="A82" s="34" t="s">
        <v>81</v>
      </c>
      <c r="B82" s="54">
        <f>'Расчет субсидий'!AD82</f>
        <v>12.790909090909082</v>
      </c>
      <c r="C82" s="56">
        <f>'Расчет субсидий'!D82-1</f>
        <v>0.23480324074074077</v>
      </c>
      <c r="D82" s="56">
        <f>C82*'Расчет субсидий'!E82</f>
        <v>2.3480324074074077</v>
      </c>
      <c r="E82" s="57">
        <f t="shared" ref="E82:E90" si="19">$B82*D82/$U82</f>
        <v>6.5333306462102483</v>
      </c>
      <c r="F82" s="28" t="s">
        <v>375</v>
      </c>
      <c r="G82" s="28" t="s">
        <v>375</v>
      </c>
      <c r="H82" s="28" t="s">
        <v>375</v>
      </c>
      <c r="I82" s="28" t="s">
        <v>375</v>
      </c>
      <c r="J82" s="28" t="s">
        <v>375</v>
      </c>
      <c r="K82" s="28" t="s">
        <v>375</v>
      </c>
      <c r="L82" s="56">
        <f>'Расчет субсидий'!P82-1</f>
        <v>-0.34722746133534521</v>
      </c>
      <c r="M82" s="56">
        <f>L82*'Расчет субсидий'!Q82</f>
        <v>-6.9445492267069042</v>
      </c>
      <c r="N82" s="57">
        <f t="shared" ref="N82:N90" si="20">$B82*M82/$U82</f>
        <v>-19.32300258881715</v>
      </c>
      <c r="O82" s="56">
        <f>'Расчет субсидий'!T82-1</f>
        <v>0.16956521739130426</v>
      </c>
      <c r="P82" s="56">
        <f>O82*'Расчет субсидий'!U82</f>
        <v>2.5434782608695636</v>
      </c>
      <c r="Q82" s="57">
        <f t="shared" ref="Q82:Q90" si="21">$B82*P82/$U82</f>
        <v>7.0771529461370744</v>
      </c>
      <c r="R82" s="56">
        <f>'Расчет субсидий'!X82-1</f>
        <v>0.18999999999999995</v>
      </c>
      <c r="S82" s="56">
        <f>R82*'Расчет субсидий'!Y82</f>
        <v>6.6499999999999986</v>
      </c>
      <c r="T82" s="57">
        <f t="shared" ref="T82:T90" si="22">$B82*S82/$U82</f>
        <v>18.503428087378907</v>
      </c>
      <c r="U82" s="56">
        <f t="shared" si="10"/>
        <v>4.5969614415700653</v>
      </c>
    </row>
    <row r="83" spans="1:21" ht="15" customHeight="1">
      <c r="A83" s="34" t="s">
        <v>82</v>
      </c>
      <c r="B83" s="54">
        <f>'Расчет субсидий'!AD83</f>
        <v>21.290909090909054</v>
      </c>
      <c r="C83" s="56">
        <f>'Расчет субсидий'!D83-1</f>
        <v>4.7468354430379778E-2</v>
      </c>
      <c r="D83" s="56">
        <f>C83*'Расчет субсидий'!E83</f>
        <v>0.47468354430379778</v>
      </c>
      <c r="E83" s="57">
        <f t="shared" si="19"/>
        <v>1.5979029732282697</v>
      </c>
      <c r="F83" s="28" t="s">
        <v>375</v>
      </c>
      <c r="G83" s="28" t="s">
        <v>375</v>
      </c>
      <c r="H83" s="28" t="s">
        <v>375</v>
      </c>
      <c r="I83" s="28" t="s">
        <v>375</v>
      </c>
      <c r="J83" s="28" t="s">
        <v>375</v>
      </c>
      <c r="K83" s="28" t="s">
        <v>375</v>
      </c>
      <c r="L83" s="56">
        <f>'Расчет субсидий'!P83-1</f>
        <v>-0.15603402445507697</v>
      </c>
      <c r="M83" s="56">
        <f>L83*'Расчет субсидий'!Q83</f>
        <v>-3.1206804891015394</v>
      </c>
      <c r="N83" s="57">
        <f t="shared" si="20"/>
        <v>-10.504987358144881</v>
      </c>
      <c r="O83" s="56">
        <f>'Расчет субсидий'!T83-1</f>
        <v>0.17311827956989245</v>
      </c>
      <c r="P83" s="56">
        <f>O83*'Расчет субсидий'!U83</f>
        <v>4.3279569892473111</v>
      </c>
      <c r="Q83" s="57">
        <f t="shared" si="21"/>
        <v>14.568980585297739</v>
      </c>
      <c r="R83" s="56">
        <f>'Расчет субсидий'!X83-1</f>
        <v>0.18571428571428572</v>
      </c>
      <c r="S83" s="56">
        <f>R83*'Расчет субсидий'!Y83</f>
        <v>4.6428571428571432</v>
      </c>
      <c r="T83" s="57">
        <f t="shared" si="22"/>
        <v>15.629012890527926</v>
      </c>
      <c r="U83" s="56">
        <f t="shared" si="10"/>
        <v>6.3248171873067127</v>
      </c>
    </row>
    <row r="84" spans="1:21" ht="15" customHeight="1">
      <c r="A84" s="34" t="s">
        <v>83</v>
      </c>
      <c r="B84" s="54">
        <f>'Расчет субсидий'!AD84</f>
        <v>21.827272727272771</v>
      </c>
      <c r="C84" s="56">
        <f>'Расчет субсидий'!D84-1</f>
        <v>2.6315789473684292E-2</v>
      </c>
      <c r="D84" s="56">
        <f>C84*'Расчет субсидий'!E84</f>
        <v>0.26315789473684292</v>
      </c>
      <c r="E84" s="57">
        <f t="shared" si="19"/>
        <v>1.1298119528035966</v>
      </c>
      <c r="F84" s="28" t="s">
        <v>375</v>
      </c>
      <c r="G84" s="28" t="s">
        <v>375</v>
      </c>
      <c r="H84" s="28" t="s">
        <v>375</v>
      </c>
      <c r="I84" s="28" t="s">
        <v>375</v>
      </c>
      <c r="J84" s="28" t="s">
        <v>375</v>
      </c>
      <c r="K84" s="28" t="s">
        <v>375</v>
      </c>
      <c r="L84" s="56">
        <f>'Расчет субсидий'!P84-1</f>
        <v>-0.19086021505376349</v>
      </c>
      <c r="M84" s="56">
        <f>L84*'Расчет субсидий'!Q84</f>
        <v>-3.8172043010752699</v>
      </c>
      <c r="N84" s="57">
        <f t="shared" si="20"/>
        <v>-16.388347573462877</v>
      </c>
      <c r="O84" s="56">
        <f>'Расчет субсидий'!T84-1</f>
        <v>0.16190476190476177</v>
      </c>
      <c r="P84" s="56">
        <f>O84*'Расчет субсидий'!U84</f>
        <v>3.2380952380952355</v>
      </c>
      <c r="Q84" s="57">
        <f t="shared" si="21"/>
        <v>13.902067076402297</v>
      </c>
      <c r="R84" s="56">
        <f>'Расчет субсидий'!X84-1</f>
        <v>0.18000000000000016</v>
      </c>
      <c r="S84" s="56">
        <f>R84*'Расчет субсидий'!Y84</f>
        <v>5.4000000000000048</v>
      </c>
      <c r="T84" s="57">
        <f t="shared" si="22"/>
        <v>23.183741271529751</v>
      </c>
      <c r="U84" s="56">
        <f t="shared" si="10"/>
        <v>5.0840488317568138</v>
      </c>
    </row>
    <row r="85" spans="1:21" ht="15" customHeight="1">
      <c r="A85" s="34" t="s">
        <v>84</v>
      </c>
      <c r="B85" s="54">
        <f>'Расчет субсидий'!AD85</f>
        <v>21.899999999999977</v>
      </c>
      <c r="C85" s="56">
        <f>'Расчет субсидий'!D85-1</f>
        <v>0.2040365111561866</v>
      </c>
      <c r="D85" s="56">
        <f>C85*'Расчет субсидий'!E85</f>
        <v>2.040365111561866</v>
      </c>
      <c r="E85" s="57">
        <f t="shared" si="19"/>
        <v>10.622410500759859</v>
      </c>
      <c r="F85" s="28" t="s">
        <v>375</v>
      </c>
      <c r="G85" s="28" t="s">
        <v>375</v>
      </c>
      <c r="H85" s="28" t="s">
        <v>375</v>
      </c>
      <c r="I85" s="28" t="s">
        <v>375</v>
      </c>
      <c r="J85" s="28" t="s">
        <v>375</v>
      </c>
      <c r="K85" s="28" t="s">
        <v>375</v>
      </c>
      <c r="L85" s="56">
        <f>'Расчет субсидий'!P85-1</f>
        <v>-0.34785819793205319</v>
      </c>
      <c r="M85" s="56">
        <f>L85*'Расчет субсидий'!Q85</f>
        <v>-6.9571639586410639</v>
      </c>
      <c r="N85" s="57">
        <f t="shared" si="20"/>
        <v>-36.219915284282727</v>
      </c>
      <c r="O85" s="56">
        <f>'Расчет субсидий'!T85-1</f>
        <v>0.16493506493506493</v>
      </c>
      <c r="P85" s="56">
        <f>O85*'Расчет субсидий'!U85</f>
        <v>4.1233766233766236</v>
      </c>
      <c r="Q85" s="57">
        <f t="shared" si="21"/>
        <v>21.466843798958728</v>
      </c>
      <c r="R85" s="56">
        <f>'Расчет субсидий'!X85-1</f>
        <v>0.19999999999999996</v>
      </c>
      <c r="S85" s="56">
        <f>R85*'Расчет субсидий'!Y85</f>
        <v>4.9999999999999991</v>
      </c>
      <c r="T85" s="57">
        <f t="shared" si="22"/>
        <v>26.030660984564122</v>
      </c>
      <c r="U85" s="56">
        <f t="shared" si="10"/>
        <v>4.2065777762974248</v>
      </c>
    </row>
    <row r="86" spans="1:21" ht="15" customHeight="1">
      <c r="A86" s="34" t="s">
        <v>85</v>
      </c>
      <c r="B86" s="54">
        <f>'Расчет субсидий'!AD86</f>
        <v>57.909090909090935</v>
      </c>
      <c r="C86" s="56">
        <f>'Расчет субсидий'!D86-1</f>
        <v>2.3809523809523725E-2</v>
      </c>
      <c r="D86" s="56">
        <f>C86*'Расчет субсидий'!E86</f>
        <v>0.23809523809523725</v>
      </c>
      <c r="E86" s="57">
        <f t="shared" si="19"/>
        <v>0.87755042851549192</v>
      </c>
      <c r="F86" s="28" t="s">
        <v>375</v>
      </c>
      <c r="G86" s="28" t="s">
        <v>375</v>
      </c>
      <c r="H86" s="28" t="s">
        <v>375</v>
      </c>
      <c r="I86" s="28" t="s">
        <v>375</v>
      </c>
      <c r="J86" s="28" t="s">
        <v>375</v>
      </c>
      <c r="K86" s="28" t="s">
        <v>375</v>
      </c>
      <c r="L86" s="56">
        <f>'Расчет субсидий'!P86-1</f>
        <v>0.30000000000000004</v>
      </c>
      <c r="M86" s="56">
        <f>L86*'Расчет субсидий'!Q86</f>
        <v>6.0000000000000009</v>
      </c>
      <c r="N86" s="57">
        <f t="shared" si="20"/>
        <v>22.114270798590479</v>
      </c>
      <c r="O86" s="56">
        <f>'Расчет субсидий'!T86-1</f>
        <v>0.17368421052631589</v>
      </c>
      <c r="P86" s="56">
        <f>O86*'Расчет субсидий'!U86</f>
        <v>3.4736842105263177</v>
      </c>
      <c r="Q86" s="57">
        <f t="shared" si="21"/>
        <v>12.802998883394494</v>
      </c>
      <c r="R86" s="56">
        <f>'Расчет субсидий'!X86-1</f>
        <v>0.19999999999999996</v>
      </c>
      <c r="S86" s="56">
        <f>R86*'Расчет субсидий'!Y86</f>
        <v>5.9999999999999982</v>
      </c>
      <c r="T86" s="57">
        <f t="shared" si="22"/>
        <v>22.114270798590468</v>
      </c>
      <c r="U86" s="56">
        <f t="shared" si="10"/>
        <v>15.711779448621554</v>
      </c>
    </row>
    <row r="87" spans="1:21" ht="15" customHeight="1">
      <c r="A87" s="34" t="s">
        <v>86</v>
      </c>
      <c r="B87" s="54">
        <f>'Расчет субсидий'!AD87</f>
        <v>44.27272727272728</v>
      </c>
      <c r="C87" s="56">
        <f>'Расчет субсидий'!D87-1</f>
        <v>2.6315789473684292E-2</v>
      </c>
      <c r="D87" s="56">
        <f>C87*'Расчет субсидий'!E87</f>
        <v>0.26315789473684292</v>
      </c>
      <c r="E87" s="57">
        <f t="shared" si="19"/>
        <v>0.74882755439379034</v>
      </c>
      <c r="F87" s="28" t="s">
        <v>375</v>
      </c>
      <c r="G87" s="28" t="s">
        <v>375</v>
      </c>
      <c r="H87" s="28" t="s">
        <v>375</v>
      </c>
      <c r="I87" s="28" t="s">
        <v>375</v>
      </c>
      <c r="J87" s="28" t="s">
        <v>375</v>
      </c>
      <c r="K87" s="28" t="s">
        <v>375</v>
      </c>
      <c r="L87" s="56">
        <f>'Расчет субсидий'!P87-1</f>
        <v>0.30000000000000004</v>
      </c>
      <c r="M87" s="56">
        <f>L87*'Расчет субсидий'!Q87</f>
        <v>6.0000000000000009</v>
      </c>
      <c r="N87" s="57">
        <f t="shared" si="20"/>
        <v>17.073268240178372</v>
      </c>
      <c r="O87" s="56">
        <f>'Расчет субсидий'!T87-1</f>
        <v>0.18484848484848482</v>
      </c>
      <c r="P87" s="56">
        <f>O87*'Расчет субсидий'!U87</f>
        <v>5.545454545454545</v>
      </c>
      <c r="Q87" s="57">
        <f t="shared" si="21"/>
        <v>15.779838828043641</v>
      </c>
      <c r="R87" s="56">
        <f>'Расчет субсидий'!X87-1</f>
        <v>0.1875</v>
      </c>
      <c r="S87" s="56">
        <f>R87*'Расчет субсидий'!Y87</f>
        <v>3.75</v>
      </c>
      <c r="T87" s="57">
        <f t="shared" si="22"/>
        <v>10.67079265011148</v>
      </c>
      <c r="U87" s="56">
        <f t="shared" si="10"/>
        <v>15.558612440191389</v>
      </c>
    </row>
    <row r="88" spans="1:21" ht="15" customHeight="1">
      <c r="A88" s="34" t="s">
        <v>87</v>
      </c>
      <c r="B88" s="54">
        <f>'Расчет субсидий'!AD88</f>
        <v>-20.890909090909105</v>
      </c>
      <c r="C88" s="56">
        <f>'Расчет субсидий'!D88-1</f>
        <v>5.555555555555558E-2</v>
      </c>
      <c r="D88" s="56">
        <f>C88*'Расчет субсидий'!E88</f>
        <v>0.5555555555555558</v>
      </c>
      <c r="E88" s="57">
        <f t="shared" si="19"/>
        <v>1.5480146780406299</v>
      </c>
      <c r="F88" s="28" t="s">
        <v>375</v>
      </c>
      <c r="G88" s="28" t="s">
        <v>375</v>
      </c>
      <c r="H88" s="28" t="s">
        <v>375</v>
      </c>
      <c r="I88" s="28" t="s">
        <v>375</v>
      </c>
      <c r="J88" s="28" t="s">
        <v>375</v>
      </c>
      <c r="K88" s="28" t="s">
        <v>375</v>
      </c>
      <c r="L88" s="56">
        <f>'Расчет субсидий'!P88-1</f>
        <v>-0.88875809299587993</v>
      </c>
      <c r="M88" s="56">
        <f>L88*'Расчет субсидий'!Q88</f>
        <v>-17.775161859917599</v>
      </c>
      <c r="N88" s="57">
        <f t="shared" si="20"/>
        <v>-49.529180634660747</v>
      </c>
      <c r="O88" s="56">
        <f>'Расчет субсидий'!T88-1</f>
        <v>0.18888888888888888</v>
      </c>
      <c r="P88" s="56">
        <f>O88*'Расчет субсидий'!U88</f>
        <v>4.7222222222222223</v>
      </c>
      <c r="Q88" s="57">
        <f t="shared" si="21"/>
        <v>13.158124763345347</v>
      </c>
      <c r="R88" s="56">
        <f>'Расчет субсидий'!X88-1</f>
        <v>0.19999999999999996</v>
      </c>
      <c r="S88" s="56">
        <f>R88*'Расчет субсидий'!Y88</f>
        <v>4.9999999999999991</v>
      </c>
      <c r="T88" s="57">
        <f t="shared" si="22"/>
        <v>13.93213210236566</v>
      </c>
      <c r="U88" s="56">
        <f t="shared" si="10"/>
        <v>-7.4973840821398214</v>
      </c>
    </row>
    <row r="89" spans="1:21" ht="15" customHeight="1">
      <c r="A89" s="34" t="s">
        <v>88</v>
      </c>
      <c r="B89" s="54">
        <f>'Расчет субсидий'!AD89</f>
        <v>35.045454545454533</v>
      </c>
      <c r="C89" s="56">
        <f>'Расчет субсидий'!D89-1</f>
        <v>2.9411764705882248E-2</v>
      </c>
      <c r="D89" s="56">
        <f>C89*'Расчет субсидий'!E89</f>
        <v>0.29411764705882248</v>
      </c>
      <c r="E89" s="57">
        <f t="shared" si="19"/>
        <v>0.69672871859750307</v>
      </c>
      <c r="F89" s="28" t="s">
        <v>375</v>
      </c>
      <c r="G89" s="28" t="s">
        <v>375</v>
      </c>
      <c r="H89" s="28" t="s">
        <v>375</v>
      </c>
      <c r="I89" s="28" t="s">
        <v>375</v>
      </c>
      <c r="J89" s="28" t="s">
        <v>375</v>
      </c>
      <c r="K89" s="28" t="s">
        <v>375</v>
      </c>
      <c r="L89" s="56">
        <f>'Расчет субсидий'!P89-1</f>
        <v>0.30000000000000004</v>
      </c>
      <c r="M89" s="56">
        <f>L89*'Расчет субсидий'!Q89</f>
        <v>6.0000000000000009</v>
      </c>
      <c r="N89" s="57">
        <f t="shared" si="20"/>
        <v>14.213265859389114</v>
      </c>
      <c r="O89" s="56">
        <f>'Расчет субсидий'!T89-1</f>
        <v>0.16500000000000004</v>
      </c>
      <c r="P89" s="56">
        <f>O89*'Расчет субсидий'!U89</f>
        <v>4.1250000000000009</v>
      </c>
      <c r="Q89" s="57">
        <f t="shared" si="21"/>
        <v>9.7716202783300155</v>
      </c>
      <c r="R89" s="56">
        <f>'Расчет субсидий'!X89-1</f>
        <v>0.17500000000000004</v>
      </c>
      <c r="S89" s="56">
        <f>R89*'Расчет субсидий'!Y89</f>
        <v>4.3750000000000009</v>
      </c>
      <c r="T89" s="57">
        <f t="shared" si="22"/>
        <v>10.363839689137896</v>
      </c>
      <c r="U89" s="56">
        <f t="shared" si="10"/>
        <v>14.794117647058826</v>
      </c>
    </row>
    <row r="90" spans="1:21" ht="15" customHeight="1">
      <c r="A90" s="34" t="s">
        <v>89</v>
      </c>
      <c r="B90" s="54">
        <f>'Расчет субсидий'!AD90</f>
        <v>56.981818181818198</v>
      </c>
      <c r="C90" s="56">
        <f>'Расчет субсидий'!D90-1</f>
        <v>2.0000000000000018E-3</v>
      </c>
      <c r="D90" s="56">
        <f>C90*'Расчет субсидий'!E90</f>
        <v>2.0000000000000018E-2</v>
      </c>
      <c r="E90" s="57">
        <f t="shared" si="19"/>
        <v>7.3430178069353411E-2</v>
      </c>
      <c r="F90" s="28" t="s">
        <v>375</v>
      </c>
      <c r="G90" s="28" t="s">
        <v>375</v>
      </c>
      <c r="H90" s="28" t="s">
        <v>375</v>
      </c>
      <c r="I90" s="28" t="s">
        <v>375</v>
      </c>
      <c r="J90" s="28" t="s">
        <v>375</v>
      </c>
      <c r="K90" s="28" t="s">
        <v>375</v>
      </c>
      <c r="L90" s="56">
        <f>'Расчет субсидий'!P90-1</f>
        <v>0.30000000000000004</v>
      </c>
      <c r="M90" s="56">
        <f>L90*'Расчет субсидий'!Q90</f>
        <v>6.0000000000000009</v>
      </c>
      <c r="N90" s="57">
        <f t="shared" si="20"/>
        <v>22.029053420806008</v>
      </c>
      <c r="O90" s="56">
        <f>'Расчет субсидий'!T90-1</f>
        <v>0.18333333333333335</v>
      </c>
      <c r="P90" s="56">
        <f>O90*'Расчет субсидий'!U90</f>
        <v>5.5</v>
      </c>
      <c r="Q90" s="57">
        <f t="shared" si="21"/>
        <v>20.19329896907217</v>
      </c>
      <c r="R90" s="56">
        <f>'Расчет субсидий'!X90-1</f>
        <v>0.19999999999999996</v>
      </c>
      <c r="S90" s="56">
        <f>R90*'Расчет субсидий'!Y90</f>
        <v>3.9999999999999991</v>
      </c>
      <c r="T90" s="57">
        <f t="shared" si="22"/>
        <v>14.686035613870667</v>
      </c>
      <c r="U90" s="56">
        <f t="shared" si="10"/>
        <v>15.52</v>
      </c>
    </row>
    <row r="91" spans="1:21" ht="15" customHeight="1">
      <c r="A91" s="33" t="s">
        <v>90</v>
      </c>
      <c r="B91" s="58"/>
      <c r="C91" s="59"/>
      <c r="D91" s="59"/>
      <c r="E91" s="60"/>
      <c r="F91" s="59"/>
      <c r="G91" s="59"/>
      <c r="H91" s="60"/>
      <c r="I91" s="60"/>
      <c r="J91" s="60"/>
      <c r="K91" s="60"/>
      <c r="L91" s="59"/>
      <c r="M91" s="59"/>
      <c r="N91" s="60"/>
      <c r="O91" s="59"/>
      <c r="P91" s="59"/>
      <c r="Q91" s="60"/>
      <c r="R91" s="59"/>
      <c r="S91" s="59"/>
      <c r="T91" s="60"/>
      <c r="U91" s="60"/>
    </row>
    <row r="92" spans="1:21" ht="15" customHeight="1">
      <c r="A92" s="34" t="s">
        <v>91</v>
      </c>
      <c r="B92" s="54">
        <f>'Расчет субсидий'!AD92</f>
        <v>-11.436363636363637</v>
      </c>
      <c r="C92" s="56">
        <f>'Расчет субсидий'!D92-1</f>
        <v>-1</v>
      </c>
      <c r="D92" s="56">
        <f>C92*'Расчет субсидий'!E92</f>
        <v>0</v>
      </c>
      <c r="E92" s="57">
        <f t="shared" ref="E92:E104" si="23">$B92*D92/$U92</f>
        <v>0</v>
      </c>
      <c r="F92" s="28" t="s">
        <v>375</v>
      </c>
      <c r="G92" s="28" t="s">
        <v>375</v>
      </c>
      <c r="H92" s="28" t="s">
        <v>375</v>
      </c>
      <c r="I92" s="28" t="s">
        <v>375</v>
      </c>
      <c r="J92" s="28" t="s">
        <v>375</v>
      </c>
      <c r="K92" s="28" t="s">
        <v>375</v>
      </c>
      <c r="L92" s="56">
        <f>'Расчет субсидий'!P92-1</f>
        <v>-0.93737166324435317</v>
      </c>
      <c r="M92" s="56">
        <f>L92*'Расчет субсидий'!Q92</f>
        <v>-18.747433264887064</v>
      </c>
      <c r="N92" s="57">
        <f t="shared" ref="N92:N104" si="24">$B92*M92/$U92</f>
        <v>-23.51117566060023</v>
      </c>
      <c r="O92" s="56">
        <f>'Расчет субсидий'!T92-1</f>
        <v>0.17391304347826098</v>
      </c>
      <c r="P92" s="56">
        <f>O92*'Расчет субсидий'!U92</f>
        <v>3.4782608695652195</v>
      </c>
      <c r="Q92" s="57">
        <f t="shared" ref="Q92:Q104" si="25">$B92*P92/$U92</f>
        <v>4.3620905935377188</v>
      </c>
      <c r="R92" s="56">
        <f>'Расчет субсидий'!X92-1</f>
        <v>0.20500000000000007</v>
      </c>
      <c r="S92" s="56">
        <f>R92*'Расчет субсидий'!Y92</f>
        <v>6.1500000000000021</v>
      </c>
      <c r="T92" s="57">
        <f t="shared" ref="T92:T104" si="26">$B92*S92/$U92</f>
        <v>7.7127214306988776</v>
      </c>
      <c r="U92" s="56">
        <f t="shared" si="10"/>
        <v>-9.1191723953218435</v>
      </c>
    </row>
    <row r="93" spans="1:21" ht="15" customHeight="1">
      <c r="A93" s="34" t="s">
        <v>92</v>
      </c>
      <c r="B93" s="54">
        <f>'Расчет субсидий'!AD93</f>
        <v>85.472727272727298</v>
      </c>
      <c r="C93" s="56">
        <f>'Расчет субсидий'!D93-1</f>
        <v>0.22388979591836722</v>
      </c>
      <c r="D93" s="56">
        <f>C93*'Расчет субсидий'!E93</f>
        <v>2.2388979591836722</v>
      </c>
      <c r="E93" s="57">
        <f t="shared" si="23"/>
        <v>15.044789442913119</v>
      </c>
      <c r="F93" s="28" t="s">
        <v>375</v>
      </c>
      <c r="G93" s="28" t="s">
        <v>375</v>
      </c>
      <c r="H93" s="28" t="s">
        <v>375</v>
      </c>
      <c r="I93" s="28" t="s">
        <v>375</v>
      </c>
      <c r="J93" s="28" t="s">
        <v>375</v>
      </c>
      <c r="K93" s="28" t="s">
        <v>375</v>
      </c>
      <c r="L93" s="56">
        <f>'Расчет субсидий'!P93-1</f>
        <v>6.25E-2</v>
      </c>
      <c r="M93" s="56">
        <f>L93*'Расчет субсидий'!Q93</f>
        <v>1.25</v>
      </c>
      <c r="N93" s="57">
        <f t="shared" si="24"/>
        <v>8.3996623099778418</v>
      </c>
      <c r="O93" s="56">
        <f>'Расчет субсидий'!T93-1</f>
        <v>0.16153846153846141</v>
      </c>
      <c r="P93" s="56">
        <f>O93*'Расчет субсидий'!U93</f>
        <v>3.2307692307692282</v>
      </c>
      <c r="Q93" s="57">
        <f t="shared" si="25"/>
        <v>21.70989643194271</v>
      </c>
      <c r="R93" s="56">
        <f>'Расчет субсидий'!X93-1</f>
        <v>0.19999999999999996</v>
      </c>
      <c r="S93" s="56">
        <f>R93*'Расчет субсидий'!Y93</f>
        <v>5.9999999999999982</v>
      </c>
      <c r="T93" s="57">
        <f t="shared" si="26"/>
        <v>40.318379087893625</v>
      </c>
      <c r="U93" s="56">
        <f t="shared" si="10"/>
        <v>12.719667189952899</v>
      </c>
    </row>
    <row r="94" spans="1:21" ht="15" customHeight="1">
      <c r="A94" s="34" t="s">
        <v>93</v>
      </c>
      <c r="B94" s="54">
        <f>'Расчет субсидий'!AD94</f>
        <v>-28.145454545454527</v>
      </c>
      <c r="C94" s="56">
        <f>'Расчет субсидий'!D94-1</f>
        <v>-1</v>
      </c>
      <c r="D94" s="56">
        <f>C94*'Расчет субсидий'!E94</f>
        <v>0</v>
      </c>
      <c r="E94" s="57">
        <f t="shared" si="23"/>
        <v>0</v>
      </c>
      <c r="F94" s="28" t="s">
        <v>375</v>
      </c>
      <c r="G94" s="28" t="s">
        <v>375</v>
      </c>
      <c r="H94" s="28" t="s">
        <v>375</v>
      </c>
      <c r="I94" s="28" t="s">
        <v>375</v>
      </c>
      <c r="J94" s="28" t="s">
        <v>375</v>
      </c>
      <c r="K94" s="28" t="s">
        <v>375</v>
      </c>
      <c r="L94" s="56">
        <f>'Расчет субсидий'!P94-1</f>
        <v>-0.98951857741795579</v>
      </c>
      <c r="M94" s="56">
        <f>L94*'Расчет субсидий'!Q94</f>
        <v>-19.790371548359115</v>
      </c>
      <c r="N94" s="57">
        <f t="shared" si="24"/>
        <v>-49.002511204400307</v>
      </c>
      <c r="O94" s="56">
        <f>'Расчет субсидий'!T94-1</f>
        <v>0.1711711711711712</v>
      </c>
      <c r="P94" s="56">
        <f>O94*'Расчет субсидий'!U94</f>
        <v>3.423423423423424</v>
      </c>
      <c r="Q94" s="57">
        <f t="shared" si="25"/>
        <v>8.4766647383950708</v>
      </c>
      <c r="R94" s="56">
        <f>'Расчет субсидий'!X94-1</f>
        <v>0.16666666666666674</v>
      </c>
      <c r="S94" s="56">
        <f>R94*'Расчет субсидий'!Y94</f>
        <v>5.0000000000000018</v>
      </c>
      <c r="T94" s="57">
        <f t="shared" si="26"/>
        <v>12.380391920550698</v>
      </c>
      <c r="U94" s="56">
        <f t="shared" si="10"/>
        <v>-11.366948124935687</v>
      </c>
    </row>
    <row r="95" spans="1:21" ht="15" customHeight="1">
      <c r="A95" s="34" t="s">
        <v>94</v>
      </c>
      <c r="B95" s="54">
        <f>'Расчет субсидий'!AD95</f>
        <v>-3.2727272727272663</v>
      </c>
      <c r="C95" s="56">
        <f>'Расчет субсидий'!D95-1</f>
        <v>-1</v>
      </c>
      <c r="D95" s="56">
        <f>C95*'Расчет субсидий'!E95</f>
        <v>0</v>
      </c>
      <c r="E95" s="57">
        <f t="shared" si="23"/>
        <v>0</v>
      </c>
      <c r="F95" s="28" t="s">
        <v>375</v>
      </c>
      <c r="G95" s="28" t="s">
        <v>375</v>
      </c>
      <c r="H95" s="28" t="s">
        <v>375</v>
      </c>
      <c r="I95" s="28" t="s">
        <v>375</v>
      </c>
      <c r="J95" s="28" t="s">
        <v>375</v>
      </c>
      <c r="K95" s="28" t="s">
        <v>375</v>
      </c>
      <c r="L95" s="56">
        <f>'Расчет субсидий'!P95-1</f>
        <v>-0.58419958419958418</v>
      </c>
      <c r="M95" s="56">
        <f>L95*'Расчет субсидий'!Q95</f>
        <v>-11.683991683991684</v>
      </c>
      <c r="N95" s="57">
        <f t="shared" si="24"/>
        <v>-18.541935316924629</v>
      </c>
      <c r="O95" s="56">
        <f>'Расчет субсидий'!T95-1</f>
        <v>0.17647058823529416</v>
      </c>
      <c r="P95" s="56">
        <f>O95*'Расчет субсидий'!U95</f>
        <v>3.5294117647058831</v>
      </c>
      <c r="Q95" s="57">
        <f t="shared" si="25"/>
        <v>5.6010074654222839</v>
      </c>
      <c r="R95" s="56">
        <f>'Расчет субсидий'!X95-1</f>
        <v>0.20307692307692315</v>
      </c>
      <c r="S95" s="56">
        <f>R95*'Расчет субсидий'!Y95</f>
        <v>6.0923076923076946</v>
      </c>
      <c r="T95" s="57">
        <f t="shared" si="26"/>
        <v>9.6682005787750818</v>
      </c>
      <c r="U95" s="56">
        <f t="shared" si="10"/>
        <v>-2.0622722269781066</v>
      </c>
    </row>
    <row r="96" spans="1:21" ht="15" customHeight="1">
      <c r="A96" s="34" t="s">
        <v>95</v>
      </c>
      <c r="B96" s="54">
        <f>'Расчет субсидий'!AD96</f>
        <v>-33.663636363636385</v>
      </c>
      <c r="C96" s="56">
        <f>'Расчет субсидий'!D96-1</f>
        <v>-0.51162790697674421</v>
      </c>
      <c r="D96" s="56">
        <f>C96*'Расчет субсидий'!E96</f>
        <v>-5.1162790697674421</v>
      </c>
      <c r="E96" s="57">
        <f t="shared" si="23"/>
        <v>-12.295675826979561</v>
      </c>
      <c r="F96" s="28" t="s">
        <v>375</v>
      </c>
      <c r="G96" s="28" t="s">
        <v>375</v>
      </c>
      <c r="H96" s="28" t="s">
        <v>375</v>
      </c>
      <c r="I96" s="28" t="s">
        <v>375</v>
      </c>
      <c r="J96" s="28" t="s">
        <v>375</v>
      </c>
      <c r="K96" s="28" t="s">
        <v>375</v>
      </c>
      <c r="L96" s="56">
        <f>'Расчет субсидий'!P96-1</f>
        <v>-0.96941504826142577</v>
      </c>
      <c r="M96" s="56">
        <f>L96*'Расчет субсидий'!Q96</f>
        <v>-19.388300965228517</v>
      </c>
      <c r="N96" s="57">
        <f t="shared" si="24"/>
        <v>-46.594851503125838</v>
      </c>
      <c r="O96" s="56">
        <f>'Расчет субсидий'!T96-1</f>
        <v>0.20911111111111103</v>
      </c>
      <c r="P96" s="56">
        <f>O96*'Расчет субсидий'!U96</f>
        <v>5.2277777777777761</v>
      </c>
      <c r="Q96" s="57">
        <f t="shared" si="25"/>
        <v>12.563634620885702</v>
      </c>
      <c r="R96" s="56">
        <f>'Расчет субсидий'!X96-1</f>
        <v>0.21076923076923082</v>
      </c>
      <c r="S96" s="56">
        <f>R96*'Расчет субсидий'!Y96</f>
        <v>5.2692307692307701</v>
      </c>
      <c r="T96" s="57">
        <f t="shared" si="26"/>
        <v>12.663256345583322</v>
      </c>
      <c r="U96" s="56">
        <f t="shared" si="10"/>
        <v>-14.007571487987416</v>
      </c>
    </row>
    <row r="97" spans="1:21" ht="15" customHeight="1">
      <c r="A97" s="34" t="s">
        <v>96</v>
      </c>
      <c r="B97" s="54">
        <f>'Расчет субсидий'!AD97</f>
        <v>-18.218181818181819</v>
      </c>
      <c r="C97" s="56">
        <f>'Расчет субсидий'!D97-1</f>
        <v>-1</v>
      </c>
      <c r="D97" s="56">
        <f>C97*'Расчет субсидий'!E97</f>
        <v>0</v>
      </c>
      <c r="E97" s="57">
        <f t="shared" si="23"/>
        <v>0</v>
      </c>
      <c r="F97" s="28" t="s">
        <v>375</v>
      </c>
      <c r="G97" s="28" t="s">
        <v>375</v>
      </c>
      <c r="H97" s="28" t="s">
        <v>375</v>
      </c>
      <c r="I97" s="28" t="s">
        <v>375</v>
      </c>
      <c r="J97" s="28" t="s">
        <v>375</v>
      </c>
      <c r="K97" s="28" t="s">
        <v>375</v>
      </c>
      <c r="L97" s="56">
        <f>'Расчет субсидий'!P97-1</f>
        <v>-0.86210045662100454</v>
      </c>
      <c r="M97" s="56">
        <f>L97*'Расчет субсидий'!Q97</f>
        <v>-17.24200913242009</v>
      </c>
      <c r="N97" s="57">
        <f t="shared" si="24"/>
        <v>-30.454459279760584</v>
      </c>
      <c r="O97" s="56">
        <f>'Расчет субсидий'!T97-1</f>
        <v>9.7619047619047716E-2</v>
      </c>
      <c r="P97" s="56">
        <f>O97*'Расчет субсидий'!U97</f>
        <v>2.4404761904761929</v>
      </c>
      <c r="Q97" s="57">
        <f t="shared" si="25"/>
        <v>4.3105987356387869</v>
      </c>
      <c r="R97" s="56">
        <f>'Расчет субсидий'!X97-1</f>
        <v>0.17948717948717952</v>
      </c>
      <c r="S97" s="56">
        <f>R97*'Расчет субсидий'!Y97</f>
        <v>4.4871794871794881</v>
      </c>
      <c r="T97" s="57">
        <f t="shared" si="26"/>
        <v>7.9256787259399761</v>
      </c>
      <c r="U97" s="56">
        <f t="shared" si="10"/>
        <v>-10.314353454764408</v>
      </c>
    </row>
    <row r="98" spans="1:21" ht="15" customHeight="1">
      <c r="A98" s="34" t="s">
        <v>97</v>
      </c>
      <c r="B98" s="54">
        <f>'Расчет субсидий'!AD98</f>
        <v>40.145454545454555</v>
      </c>
      <c r="C98" s="56">
        <f>'Расчет субсидий'!D98-1</f>
        <v>6.0220994475138179E-2</v>
      </c>
      <c r="D98" s="56">
        <f>C98*'Расчет субсидий'!E98</f>
        <v>0.60220994475138179</v>
      </c>
      <c r="E98" s="57">
        <f t="shared" si="23"/>
        <v>1.8318578121060998</v>
      </c>
      <c r="F98" s="28" t="s">
        <v>375</v>
      </c>
      <c r="G98" s="28" t="s">
        <v>375</v>
      </c>
      <c r="H98" s="28" t="s">
        <v>375</v>
      </c>
      <c r="I98" s="28" t="s">
        <v>375</v>
      </c>
      <c r="J98" s="28" t="s">
        <v>375</v>
      </c>
      <c r="K98" s="28" t="s">
        <v>375</v>
      </c>
      <c r="L98" s="56">
        <f>'Расчет субсидий'!P98-1</f>
        <v>0.20585278276481134</v>
      </c>
      <c r="M98" s="56">
        <f>L98*'Расчет субсидий'!Q98</f>
        <v>4.1170556552962267</v>
      </c>
      <c r="N98" s="57">
        <f t="shared" si="24"/>
        <v>12.523640020829605</v>
      </c>
      <c r="O98" s="56">
        <f>'Расчет субсидий'!T98-1</f>
        <v>0.17391304347826098</v>
      </c>
      <c r="P98" s="56">
        <f>O98*'Расчет субсидий'!U98</f>
        <v>3.4782608695652195</v>
      </c>
      <c r="Q98" s="57">
        <f t="shared" si="25"/>
        <v>10.580495061546197</v>
      </c>
      <c r="R98" s="56">
        <f>'Расчет субсидий'!X98-1</f>
        <v>0.16666666666666674</v>
      </c>
      <c r="S98" s="56">
        <f>R98*'Расчет субсидий'!Y98</f>
        <v>5.0000000000000018</v>
      </c>
      <c r="T98" s="57">
        <f t="shared" si="26"/>
        <v>15.209461650972655</v>
      </c>
      <c r="U98" s="56">
        <f t="shared" si="10"/>
        <v>13.19752646961283</v>
      </c>
    </row>
    <row r="99" spans="1:21" ht="15" customHeight="1">
      <c r="A99" s="34" t="s">
        <v>98</v>
      </c>
      <c r="B99" s="54">
        <f>'Расчет субсидий'!AD99</f>
        <v>-45.609090909090909</v>
      </c>
      <c r="C99" s="56">
        <f>'Расчет субсидий'!D99-1</f>
        <v>0.15199999999999991</v>
      </c>
      <c r="D99" s="56">
        <f>C99*'Расчет субсидий'!E99</f>
        <v>1.5199999999999991</v>
      </c>
      <c r="E99" s="57">
        <f t="shared" si="23"/>
        <v>2.1856446924575788</v>
      </c>
      <c r="F99" s="28" t="s">
        <v>375</v>
      </c>
      <c r="G99" s="28" t="s">
        <v>375</v>
      </c>
      <c r="H99" s="28" t="s">
        <v>375</v>
      </c>
      <c r="I99" s="28" t="s">
        <v>375</v>
      </c>
      <c r="J99" s="28" t="s">
        <v>375</v>
      </c>
      <c r="K99" s="28" t="s">
        <v>375</v>
      </c>
      <c r="L99" s="56">
        <f>'Расчет субсидий'!P99-1</f>
        <v>-0.82860189257630279</v>
      </c>
      <c r="M99" s="56">
        <f>L99*'Расчет субсидий'!Q99</f>
        <v>-16.572037851526055</v>
      </c>
      <c r="N99" s="57">
        <f t="shared" si="24"/>
        <v>-23.829333271969762</v>
      </c>
      <c r="O99" s="56">
        <f>'Расчет субсидий'!T99-1</f>
        <v>0</v>
      </c>
      <c r="P99" s="56">
        <f>O99*'Расчет субсидий'!U99</f>
        <v>0</v>
      </c>
      <c r="Q99" s="57">
        <f t="shared" si="25"/>
        <v>0</v>
      </c>
      <c r="R99" s="56">
        <f>'Расчет субсидий'!X99-1</f>
        <v>-0.66666666666666663</v>
      </c>
      <c r="S99" s="56">
        <f>R99*'Расчет субсидий'!Y99</f>
        <v>-16.666666666666664</v>
      </c>
      <c r="T99" s="57">
        <f t="shared" si="26"/>
        <v>-23.965402329578723</v>
      </c>
      <c r="U99" s="56">
        <f t="shared" si="10"/>
        <v>-31.71870451819272</v>
      </c>
    </row>
    <row r="100" spans="1:21" ht="15" customHeight="1">
      <c r="A100" s="34" t="s">
        <v>99</v>
      </c>
      <c r="B100" s="54">
        <f>'Расчет субсидий'!AD100</f>
        <v>20.709090909090918</v>
      </c>
      <c r="C100" s="56">
        <f>'Расчет субсидий'!D100-1</f>
        <v>-0.15570934256055369</v>
      </c>
      <c r="D100" s="56">
        <f>C100*'Расчет субсидий'!E100</f>
        <v>-1.5570934256055369</v>
      </c>
      <c r="E100" s="57">
        <f t="shared" si="23"/>
        <v>-2.8851124972059159</v>
      </c>
      <c r="F100" s="28" t="s">
        <v>375</v>
      </c>
      <c r="G100" s="28" t="s">
        <v>375</v>
      </c>
      <c r="H100" s="28" t="s">
        <v>375</v>
      </c>
      <c r="I100" s="28" t="s">
        <v>375</v>
      </c>
      <c r="J100" s="28" t="s">
        <v>375</v>
      </c>
      <c r="K100" s="28" t="s">
        <v>375</v>
      </c>
      <c r="L100" s="56">
        <f>'Расчет субсидий'!P100-1</f>
        <v>0.19122807017543852</v>
      </c>
      <c r="M100" s="56">
        <f>L100*'Расчет субсидий'!Q100</f>
        <v>3.8245614035087705</v>
      </c>
      <c r="N100" s="57">
        <f t="shared" si="24"/>
        <v>7.0864661812462755</v>
      </c>
      <c r="O100" s="56">
        <f>'Расчет субсидий'!T100-1</f>
        <v>0.17989803350327738</v>
      </c>
      <c r="P100" s="56">
        <f>O100*'Расчет субсидий'!U100</f>
        <v>4.4974508375819342</v>
      </c>
      <c r="Q100" s="57">
        <f t="shared" si="25"/>
        <v>8.3332518163004643</v>
      </c>
      <c r="R100" s="56">
        <f>'Расчет субсидий'!X100-1</f>
        <v>0.17647058823529416</v>
      </c>
      <c r="S100" s="56">
        <f>R100*'Расчет субсидий'!Y100</f>
        <v>4.4117647058823541</v>
      </c>
      <c r="T100" s="57">
        <f t="shared" si="26"/>
        <v>8.174485408750094</v>
      </c>
      <c r="U100" s="56">
        <f t="shared" si="10"/>
        <v>11.176683521367522</v>
      </c>
    </row>
    <row r="101" spans="1:21" ht="15" customHeight="1">
      <c r="A101" s="34" t="s">
        <v>100</v>
      </c>
      <c r="B101" s="54">
        <f>'Расчет субсидий'!AD101</f>
        <v>-1.3363636363636147</v>
      </c>
      <c r="C101" s="56">
        <f>'Расчет субсидий'!D101-1</f>
        <v>-1</v>
      </c>
      <c r="D101" s="56">
        <f>C101*'Расчет субсидий'!E101</f>
        <v>0</v>
      </c>
      <c r="E101" s="57">
        <f t="shared" si="23"/>
        <v>0</v>
      </c>
      <c r="F101" s="28" t="s">
        <v>375</v>
      </c>
      <c r="G101" s="28" t="s">
        <v>375</v>
      </c>
      <c r="H101" s="28" t="s">
        <v>375</v>
      </c>
      <c r="I101" s="28" t="s">
        <v>375</v>
      </c>
      <c r="J101" s="28" t="s">
        <v>375</v>
      </c>
      <c r="K101" s="28" t="s">
        <v>375</v>
      </c>
      <c r="L101" s="56">
        <f>'Расчет субсидий'!P101-1</f>
        <v>-0.48159509202453998</v>
      </c>
      <c r="M101" s="56">
        <f>L101*'Расчет субсидий'!Q101</f>
        <v>-9.6319018404907997</v>
      </c>
      <c r="N101" s="57">
        <f t="shared" si="24"/>
        <v>-26.995540513097314</v>
      </c>
      <c r="O101" s="56">
        <f>'Расчет субсидий'!T101-1</f>
        <v>0.17283950617283961</v>
      </c>
      <c r="P101" s="56">
        <f>O101*'Расчет субсидий'!U101</f>
        <v>2.5925925925925943</v>
      </c>
      <c r="Q101" s="57">
        <f t="shared" si="25"/>
        <v>7.2663155757122082</v>
      </c>
      <c r="R101" s="56">
        <f>'Расчет субсидий'!X101-1</f>
        <v>0.18749999999999978</v>
      </c>
      <c r="S101" s="56">
        <f>R101*'Расчет субсидий'!Y101</f>
        <v>6.562499999999992</v>
      </c>
      <c r="T101" s="57">
        <f t="shared" si="26"/>
        <v>18.39286130102149</v>
      </c>
      <c r="U101" s="56">
        <f t="shared" si="10"/>
        <v>-0.47680924789821333</v>
      </c>
    </row>
    <row r="102" spans="1:21" ht="15" customHeight="1">
      <c r="A102" s="34" t="s">
        <v>101</v>
      </c>
      <c r="B102" s="54">
        <f>'Расчет субсидий'!AD102</f>
        <v>24.86363636363636</v>
      </c>
      <c r="C102" s="56">
        <f>'Расчет субсидий'!D102-1</f>
        <v>-1</v>
      </c>
      <c r="D102" s="56">
        <f>C102*'Расчет субсидий'!E102</f>
        <v>0</v>
      </c>
      <c r="E102" s="57">
        <f t="shared" si="23"/>
        <v>0</v>
      </c>
      <c r="F102" s="28" t="s">
        <v>375</v>
      </c>
      <c r="G102" s="28" t="s">
        <v>375</v>
      </c>
      <c r="H102" s="28" t="s">
        <v>375</v>
      </c>
      <c r="I102" s="28" t="s">
        <v>375</v>
      </c>
      <c r="J102" s="28" t="s">
        <v>375</v>
      </c>
      <c r="K102" s="28" t="s">
        <v>375</v>
      </c>
      <c r="L102" s="56">
        <f>'Расчет субсидий'!P102-1</f>
        <v>0.30000000000000004</v>
      </c>
      <c r="M102" s="56">
        <f>L102*'Расчет субсидий'!Q102</f>
        <v>6.0000000000000009</v>
      </c>
      <c r="N102" s="57">
        <f t="shared" si="24"/>
        <v>10.431426395629465</v>
      </c>
      <c r="O102" s="56">
        <f>'Расчет субсидий'!T102-1</f>
        <v>0.15974729241877261</v>
      </c>
      <c r="P102" s="56">
        <f>O102*'Расчет субсидий'!U102</f>
        <v>4.7924187725631784</v>
      </c>
      <c r="Q102" s="57">
        <f t="shared" si="25"/>
        <v>8.3319606138376159</v>
      </c>
      <c r="R102" s="56">
        <f>'Расчет субсидий'!X102-1</f>
        <v>0.17543859649122817</v>
      </c>
      <c r="S102" s="56">
        <f>R102*'Расчет субсидий'!Y102</f>
        <v>3.5087719298245634</v>
      </c>
      <c r="T102" s="57">
        <f t="shared" si="26"/>
        <v>6.1002493541692804</v>
      </c>
      <c r="U102" s="56">
        <f t="shared" si="10"/>
        <v>14.301190702387743</v>
      </c>
    </row>
    <row r="103" spans="1:21" ht="15" customHeight="1">
      <c r="A103" s="34" t="s">
        <v>102</v>
      </c>
      <c r="B103" s="54">
        <f>'Расчет субсидий'!AD103</f>
        <v>-13.909090909090907</v>
      </c>
      <c r="C103" s="56">
        <f>'Расчет субсидий'!D103-1</f>
        <v>-1</v>
      </c>
      <c r="D103" s="56">
        <f>C103*'Расчет субсидий'!E103</f>
        <v>0</v>
      </c>
      <c r="E103" s="57">
        <f t="shared" si="23"/>
        <v>0</v>
      </c>
      <c r="F103" s="28" t="s">
        <v>375</v>
      </c>
      <c r="G103" s="28" t="s">
        <v>375</v>
      </c>
      <c r="H103" s="28" t="s">
        <v>375</v>
      </c>
      <c r="I103" s="28" t="s">
        <v>375</v>
      </c>
      <c r="J103" s="28" t="s">
        <v>375</v>
      </c>
      <c r="K103" s="28" t="s">
        <v>375</v>
      </c>
      <c r="L103" s="56">
        <f>'Расчет субсидий'!P103-1</f>
        <v>-0.94264339152119703</v>
      </c>
      <c r="M103" s="56">
        <f>L103*'Расчет субсидий'!Q103</f>
        <v>-18.852867830423939</v>
      </c>
      <c r="N103" s="57">
        <f t="shared" si="24"/>
        <v>-27.91073481447852</v>
      </c>
      <c r="O103" s="56">
        <f>'Расчет субсидий'!T103-1</f>
        <v>0.16826923076923084</v>
      </c>
      <c r="P103" s="56">
        <f>O103*'Расчет субсидий'!U103</f>
        <v>3.3653846153846168</v>
      </c>
      <c r="Q103" s="57">
        <f t="shared" si="25"/>
        <v>4.9822848382326788</v>
      </c>
      <c r="R103" s="56">
        <f>'Расчет субсидий'!X103-1</f>
        <v>0.20307692307692315</v>
      </c>
      <c r="S103" s="56">
        <f>R103*'Расчет субсидий'!Y103</f>
        <v>6.0923076923076946</v>
      </c>
      <c r="T103" s="57">
        <f t="shared" si="26"/>
        <v>9.0193590671549284</v>
      </c>
      <c r="U103" s="56">
        <f t="shared" si="10"/>
        <v>-9.3951755227316269</v>
      </c>
    </row>
    <row r="104" spans="1:21" ht="15" customHeight="1">
      <c r="A104" s="34" t="s">
        <v>103</v>
      </c>
      <c r="B104" s="54">
        <f>'Расчет субсидий'!AD104</f>
        <v>-9.4272727272727366</v>
      </c>
      <c r="C104" s="56">
        <f>'Расчет субсидий'!D104-1</f>
        <v>-1</v>
      </c>
      <c r="D104" s="56">
        <f>C104*'Расчет субсидий'!E104</f>
        <v>0</v>
      </c>
      <c r="E104" s="57">
        <f t="shared" si="23"/>
        <v>0</v>
      </c>
      <c r="F104" s="28" t="s">
        <v>375</v>
      </c>
      <c r="G104" s="28" t="s">
        <v>375</v>
      </c>
      <c r="H104" s="28" t="s">
        <v>375</v>
      </c>
      <c r="I104" s="28" t="s">
        <v>375</v>
      </c>
      <c r="J104" s="28" t="s">
        <v>375</v>
      </c>
      <c r="K104" s="28" t="s">
        <v>375</v>
      </c>
      <c r="L104" s="56">
        <f>'Расчет субсидий'!P104-1</f>
        <v>-0.94503546099290781</v>
      </c>
      <c r="M104" s="56">
        <f>L104*'Расчет субсидий'!Q104</f>
        <v>-18.900709219858157</v>
      </c>
      <c r="N104" s="57">
        <f t="shared" si="24"/>
        <v>-18.840470640022755</v>
      </c>
      <c r="O104" s="56">
        <f>'Расчет субсидий'!T104-1</f>
        <v>0.19205298013245042</v>
      </c>
      <c r="P104" s="56">
        <f>O104*'Расчет субсидий'!U104</f>
        <v>2.8807947019867566</v>
      </c>
      <c r="Q104" s="57">
        <f t="shared" si="25"/>
        <v>2.8716133014569438</v>
      </c>
      <c r="R104" s="56">
        <f>'Расчет субсидий'!X104-1</f>
        <v>0.18749999999999978</v>
      </c>
      <c r="S104" s="56">
        <f>R104*'Расчет субсидий'!Y104</f>
        <v>6.562499999999992</v>
      </c>
      <c r="T104" s="57">
        <f t="shared" si="26"/>
        <v>6.5415846112930698</v>
      </c>
      <c r="U104" s="56">
        <f t="shared" si="10"/>
        <v>-9.4574145178714062</v>
      </c>
    </row>
    <row r="105" spans="1:21" ht="15" customHeight="1">
      <c r="A105" s="33" t="s">
        <v>104</v>
      </c>
      <c r="B105" s="58"/>
      <c r="C105" s="59"/>
      <c r="D105" s="59"/>
      <c r="E105" s="60"/>
      <c r="F105" s="59"/>
      <c r="G105" s="59"/>
      <c r="H105" s="60"/>
      <c r="I105" s="60"/>
      <c r="J105" s="60"/>
      <c r="K105" s="60"/>
      <c r="L105" s="59"/>
      <c r="M105" s="59"/>
      <c r="N105" s="60"/>
      <c r="O105" s="59"/>
      <c r="P105" s="59"/>
      <c r="Q105" s="60"/>
      <c r="R105" s="59"/>
      <c r="S105" s="59"/>
      <c r="T105" s="60"/>
      <c r="U105" s="60"/>
    </row>
    <row r="106" spans="1:21" ht="15" customHeight="1">
      <c r="A106" s="34" t="s">
        <v>105</v>
      </c>
      <c r="B106" s="54">
        <f>'Расчет субсидий'!AD106</f>
        <v>15.090909090909093</v>
      </c>
      <c r="C106" s="56">
        <f>'Расчет субсидий'!D106-1</f>
        <v>-0.17162865177316045</v>
      </c>
      <c r="D106" s="56">
        <f>C106*'Расчет субсидий'!E106</f>
        <v>-1.7162865177316045</v>
      </c>
      <c r="E106" s="57">
        <f t="shared" ref="E106:E120" si="27">$B106*D106/$U106</f>
        <v>-3.7803931124255516</v>
      </c>
      <c r="F106" s="28" t="s">
        <v>375</v>
      </c>
      <c r="G106" s="28" t="s">
        <v>375</v>
      </c>
      <c r="H106" s="28" t="s">
        <v>375</v>
      </c>
      <c r="I106" s="28" t="s">
        <v>375</v>
      </c>
      <c r="J106" s="28" t="s">
        <v>375</v>
      </c>
      <c r="K106" s="28" t="s">
        <v>375</v>
      </c>
      <c r="L106" s="56">
        <f>'Расчет субсидий'!P106-1</f>
        <v>0.22837557603686642</v>
      </c>
      <c r="M106" s="56">
        <f>L106*'Расчет субсидий'!Q106</f>
        <v>4.5675115207373285</v>
      </c>
      <c r="N106" s="57">
        <f t="shared" ref="N106:N120" si="28">$B106*M106/$U106</f>
        <v>10.060668143417761</v>
      </c>
      <c r="O106" s="56">
        <f>'Расчет субсидий'!T106-1</f>
        <v>0.30000000000000004</v>
      </c>
      <c r="P106" s="56">
        <f>O106*'Расчет субсидий'!U106</f>
        <v>9.0000000000000018</v>
      </c>
      <c r="Q106" s="57">
        <f t="shared" ref="Q106:Q120" si="29">$B106*P106/$U106</f>
        <v>19.823926634812981</v>
      </c>
      <c r="R106" s="56">
        <f>'Расчет субсидий'!X106-1</f>
        <v>-0.25</v>
      </c>
      <c r="S106" s="56">
        <f>R106*'Расчет субсидий'!Y106</f>
        <v>-5</v>
      </c>
      <c r="T106" s="57">
        <f t="shared" ref="T106:T120" si="30">$B106*S106/$U106</f>
        <v>-11.013292574896099</v>
      </c>
      <c r="U106" s="56">
        <f t="shared" si="10"/>
        <v>6.8512250030057267</v>
      </c>
    </row>
    <row r="107" spans="1:21" ht="15" customHeight="1">
      <c r="A107" s="34" t="s">
        <v>106</v>
      </c>
      <c r="B107" s="54">
        <f>'Расчет субсидий'!AD107</f>
        <v>32.581818181818193</v>
      </c>
      <c r="C107" s="56">
        <f>'Расчет субсидий'!D107-1</f>
        <v>-1</v>
      </c>
      <c r="D107" s="56">
        <f>C107*'Расчет субсидий'!E107</f>
        <v>0</v>
      </c>
      <c r="E107" s="57">
        <f t="shared" si="27"/>
        <v>0</v>
      </c>
      <c r="F107" s="28" t="s">
        <v>375</v>
      </c>
      <c r="G107" s="28" t="s">
        <v>375</v>
      </c>
      <c r="H107" s="28" t="s">
        <v>375</v>
      </c>
      <c r="I107" s="28" t="s">
        <v>375</v>
      </c>
      <c r="J107" s="28" t="s">
        <v>375</v>
      </c>
      <c r="K107" s="28" t="s">
        <v>375</v>
      </c>
      <c r="L107" s="56">
        <f>'Расчет субсидий'!P107-1</f>
        <v>0.27733267228557268</v>
      </c>
      <c r="M107" s="56">
        <f>L107*'Расчет субсидий'!Q107</f>
        <v>5.5466534457114536</v>
      </c>
      <c r="N107" s="57">
        <f t="shared" si="28"/>
        <v>12.816239802343427</v>
      </c>
      <c r="O107" s="56">
        <f>'Расчет субсидий'!T107-1</f>
        <v>0.29479999999999995</v>
      </c>
      <c r="P107" s="56">
        <f>O107*'Расчет субсидий'!U107</f>
        <v>7.3699999999999992</v>
      </c>
      <c r="Q107" s="57">
        <f t="shared" si="29"/>
        <v>17.029311145498379</v>
      </c>
      <c r="R107" s="56">
        <f>'Расчет субсидий'!X107-1</f>
        <v>4.7368421052631504E-2</v>
      </c>
      <c r="S107" s="56">
        <f>R107*'Расчет субсидий'!Y107</f>
        <v>1.1842105263157876</v>
      </c>
      <c r="T107" s="57">
        <f t="shared" si="30"/>
        <v>2.7362672339763834</v>
      </c>
      <c r="U107" s="56">
        <f t="shared" si="10"/>
        <v>14.100863972027241</v>
      </c>
    </row>
    <row r="108" spans="1:21" ht="15" customHeight="1">
      <c r="A108" s="34" t="s">
        <v>107</v>
      </c>
      <c r="B108" s="54">
        <f>'Расчет субсидий'!AD108</f>
        <v>47.927272727272737</v>
      </c>
      <c r="C108" s="56">
        <f>'Расчет субсидий'!D108-1</f>
        <v>-1</v>
      </c>
      <c r="D108" s="56">
        <f>C108*'Расчет субсидий'!E108</f>
        <v>0</v>
      </c>
      <c r="E108" s="57">
        <f t="shared" si="27"/>
        <v>0</v>
      </c>
      <c r="F108" s="28" t="s">
        <v>375</v>
      </c>
      <c r="G108" s="28" t="s">
        <v>375</v>
      </c>
      <c r="H108" s="28" t="s">
        <v>375</v>
      </c>
      <c r="I108" s="28" t="s">
        <v>375</v>
      </c>
      <c r="J108" s="28" t="s">
        <v>375</v>
      </c>
      <c r="K108" s="28" t="s">
        <v>375</v>
      </c>
      <c r="L108" s="56">
        <f>'Расчет субсидий'!P108-1</f>
        <v>0.20345643939393931</v>
      </c>
      <c r="M108" s="56">
        <f>L108*'Расчет субсидий'!Q108</f>
        <v>4.0691287878787863</v>
      </c>
      <c r="N108" s="57">
        <f t="shared" si="28"/>
        <v>18.343590532563546</v>
      </c>
      <c r="O108" s="56">
        <f>'Расчет субсидий'!T108-1</f>
        <v>0.19999999999999996</v>
      </c>
      <c r="P108" s="56">
        <f>O108*'Расчет субсидий'!U108</f>
        <v>4.9999999999999991</v>
      </c>
      <c r="Q108" s="57">
        <f t="shared" si="29"/>
        <v>22.539948338826051</v>
      </c>
      <c r="R108" s="56">
        <f>'Расчет субсидий'!X108-1</f>
        <v>6.25E-2</v>
      </c>
      <c r="S108" s="56">
        <f>R108*'Расчет субсидий'!Y108</f>
        <v>1.5625</v>
      </c>
      <c r="T108" s="57">
        <f t="shared" si="30"/>
        <v>7.0437338558831426</v>
      </c>
      <c r="U108" s="56">
        <f t="shared" si="10"/>
        <v>10.631628787878785</v>
      </c>
    </row>
    <row r="109" spans="1:21" ht="15" customHeight="1">
      <c r="A109" s="34" t="s">
        <v>108</v>
      </c>
      <c r="B109" s="54">
        <f>'Расчет субсидий'!AD109</f>
        <v>30.790909090909082</v>
      </c>
      <c r="C109" s="56">
        <f>'Расчет субсидий'!D109-1</f>
        <v>2.8953229398663627E-2</v>
      </c>
      <c r="D109" s="56">
        <f>C109*'Расчет субсидий'!E109</f>
        <v>0.28953229398663627</v>
      </c>
      <c r="E109" s="57">
        <f t="shared" si="27"/>
        <v>0.75316876608594907</v>
      </c>
      <c r="F109" s="28" t="s">
        <v>375</v>
      </c>
      <c r="G109" s="28" t="s">
        <v>375</v>
      </c>
      <c r="H109" s="28" t="s">
        <v>375</v>
      </c>
      <c r="I109" s="28" t="s">
        <v>375</v>
      </c>
      <c r="J109" s="28" t="s">
        <v>375</v>
      </c>
      <c r="K109" s="28" t="s">
        <v>375</v>
      </c>
      <c r="L109" s="56">
        <f>'Расчет субсидий'!P109-1</f>
        <v>0.20235372562093668</v>
      </c>
      <c r="M109" s="56">
        <f>L109*'Расчет субсидий'!Q109</f>
        <v>4.0470745124187335</v>
      </c>
      <c r="N109" s="57">
        <f t="shared" si="28"/>
        <v>10.527772480250517</v>
      </c>
      <c r="O109" s="56">
        <f>'Расчет субсидий'!T109-1</f>
        <v>0</v>
      </c>
      <c r="P109" s="56">
        <f>O109*'Расчет субсидий'!U109</f>
        <v>0</v>
      </c>
      <c r="Q109" s="57">
        <f t="shared" si="29"/>
        <v>0</v>
      </c>
      <c r="R109" s="56">
        <f>'Расчет субсидий'!X109-1</f>
        <v>0.25</v>
      </c>
      <c r="S109" s="56">
        <f>R109*'Расчет субсидий'!Y109</f>
        <v>7.5</v>
      </c>
      <c r="T109" s="57">
        <f t="shared" si="30"/>
        <v>19.509967844572614</v>
      </c>
      <c r="U109" s="56">
        <f t="shared" si="10"/>
        <v>11.836606806405371</v>
      </c>
    </row>
    <row r="110" spans="1:21" ht="15" customHeight="1">
      <c r="A110" s="34" t="s">
        <v>109</v>
      </c>
      <c r="B110" s="54">
        <f>'Расчет субсидий'!AD110</f>
        <v>0.11818181818182438</v>
      </c>
      <c r="C110" s="56">
        <f>'Расчет субсидий'!D110-1</f>
        <v>-0.57433783783783787</v>
      </c>
      <c r="D110" s="56">
        <f>C110*'Расчет субсидий'!E110</f>
        <v>-5.7433783783783792</v>
      </c>
      <c r="E110" s="57">
        <f t="shared" si="27"/>
        <v>-15.662419817827077</v>
      </c>
      <c r="F110" s="28" t="s">
        <v>375</v>
      </c>
      <c r="G110" s="28" t="s">
        <v>375</v>
      </c>
      <c r="H110" s="28" t="s">
        <v>375</v>
      </c>
      <c r="I110" s="28" t="s">
        <v>375</v>
      </c>
      <c r="J110" s="28" t="s">
        <v>375</v>
      </c>
      <c r="K110" s="28" t="s">
        <v>375</v>
      </c>
      <c r="L110" s="56">
        <f>'Расчет субсидий'!P110-1</f>
        <v>0.30000000000000004</v>
      </c>
      <c r="M110" s="56">
        <f>L110*'Расчет субсидий'!Q110</f>
        <v>6.0000000000000009</v>
      </c>
      <c r="N110" s="57">
        <f t="shared" si="28"/>
        <v>16.362237121750599</v>
      </c>
      <c r="O110" s="56">
        <f>'Расчет субсидий'!T110-1</f>
        <v>-8.5313833028641817E-3</v>
      </c>
      <c r="P110" s="56">
        <f>O110*'Расчет субсидий'!U110</f>
        <v>-0.21328458257160454</v>
      </c>
      <c r="Q110" s="57">
        <f t="shared" si="29"/>
        <v>-0.5816354857416981</v>
      </c>
      <c r="R110" s="56">
        <f>'Расчет субсидий'!X110-1</f>
        <v>0</v>
      </c>
      <c r="S110" s="56">
        <f>R110*'Расчет субсидий'!Y110</f>
        <v>0</v>
      </c>
      <c r="T110" s="57">
        <f t="shared" si="30"/>
        <v>0</v>
      </c>
      <c r="U110" s="56">
        <f t="shared" si="10"/>
        <v>4.3337039050017179E-2</v>
      </c>
    </row>
    <row r="111" spans="1:21" ht="15" customHeight="1">
      <c r="A111" s="34" t="s">
        <v>110</v>
      </c>
      <c r="B111" s="54">
        <f>'Расчет субсидий'!AD111</f>
        <v>-8.363636363636374</v>
      </c>
      <c r="C111" s="56">
        <f>'Расчет субсидий'!D111-1</f>
        <v>0.23155368421052636</v>
      </c>
      <c r="D111" s="56">
        <f>C111*'Расчет субсидий'!E111</f>
        <v>2.3155368421052636</v>
      </c>
      <c r="E111" s="57">
        <f t="shared" si="27"/>
        <v>17.208045726527438</v>
      </c>
      <c r="F111" s="28" t="s">
        <v>375</v>
      </c>
      <c r="G111" s="28" t="s">
        <v>375</v>
      </c>
      <c r="H111" s="28" t="s">
        <v>375</v>
      </c>
      <c r="I111" s="28" t="s">
        <v>375</v>
      </c>
      <c r="J111" s="28" t="s">
        <v>375</v>
      </c>
      <c r="K111" s="28" t="s">
        <v>375</v>
      </c>
      <c r="L111" s="56">
        <f>'Расчет субсидий'!P111-1</f>
        <v>-0.92204792727595408</v>
      </c>
      <c r="M111" s="56">
        <f>L111*'Расчет субсидий'!Q111</f>
        <v>-18.440958545519081</v>
      </c>
      <c r="N111" s="57">
        <f t="shared" si="28"/>
        <v>-137.04504809509888</v>
      </c>
      <c r="O111" s="56">
        <f>'Расчет субсидий'!T111-1</f>
        <v>0.30000000000000004</v>
      </c>
      <c r="P111" s="56">
        <f>O111*'Расчет субсидий'!U111</f>
        <v>9.0000000000000018</v>
      </c>
      <c r="Q111" s="57">
        <f t="shared" si="29"/>
        <v>66.884019602961047</v>
      </c>
      <c r="R111" s="56">
        <f>'Расчет субсидий'!X111-1</f>
        <v>0.30000000000000004</v>
      </c>
      <c r="S111" s="56">
        <f>R111*'Расчет субсидий'!Y111</f>
        <v>6.0000000000000009</v>
      </c>
      <c r="T111" s="57">
        <f t="shared" si="30"/>
        <v>44.589346401974026</v>
      </c>
      <c r="U111" s="56">
        <f t="shared" si="10"/>
        <v>-1.1254217034138145</v>
      </c>
    </row>
    <row r="112" spans="1:21" ht="15" customHeight="1">
      <c r="A112" s="34" t="s">
        <v>111</v>
      </c>
      <c r="B112" s="54">
        <f>'Расчет субсидий'!AD112</f>
        <v>-70.872727272727275</v>
      </c>
      <c r="C112" s="56">
        <f>'Расчет субсидий'!D112-1</f>
        <v>-1</v>
      </c>
      <c r="D112" s="56">
        <f>C112*'Расчет субсидий'!E112</f>
        <v>0</v>
      </c>
      <c r="E112" s="57">
        <f t="shared" si="27"/>
        <v>0</v>
      </c>
      <c r="F112" s="28" t="s">
        <v>375</v>
      </c>
      <c r="G112" s="28" t="s">
        <v>375</v>
      </c>
      <c r="H112" s="28" t="s">
        <v>375</v>
      </c>
      <c r="I112" s="28" t="s">
        <v>375</v>
      </c>
      <c r="J112" s="28" t="s">
        <v>375</v>
      </c>
      <c r="K112" s="28" t="s">
        <v>375</v>
      </c>
      <c r="L112" s="56">
        <f>'Расчет субсидий'!P112-1</f>
        <v>-0.62117217602920305</v>
      </c>
      <c r="M112" s="56">
        <f>L112*'Расчет субсидий'!Q112</f>
        <v>-12.423443520584062</v>
      </c>
      <c r="N112" s="57">
        <f t="shared" si="28"/>
        <v>-84.740399318146373</v>
      </c>
      <c r="O112" s="56">
        <f>'Расчет субсидий'!T112-1</f>
        <v>5.428571428571427E-2</v>
      </c>
      <c r="P112" s="56">
        <f>O112*'Расчет субсидий'!U112</f>
        <v>1.0857142857142854</v>
      </c>
      <c r="Q112" s="57">
        <f t="shared" si="29"/>
        <v>7.4056651011779415</v>
      </c>
      <c r="R112" s="56">
        <f>'Расчет субсидий'!X112-1</f>
        <v>3.1578947368421151E-2</v>
      </c>
      <c r="S112" s="56">
        <f>R112*'Расчет субсидий'!Y112</f>
        <v>0.94736842105263452</v>
      </c>
      <c r="T112" s="57">
        <f t="shared" si="30"/>
        <v>6.4620069442411623</v>
      </c>
      <c r="U112" s="56">
        <f t="shared" ref="U112:U175" si="31">D112+M112+P112+S112</f>
        <v>-10.390360813817143</v>
      </c>
    </row>
    <row r="113" spans="1:21" ht="15" customHeight="1">
      <c r="A113" s="34" t="s">
        <v>112</v>
      </c>
      <c r="B113" s="54">
        <f>'Расчет субсидий'!AD113</f>
        <v>41.300000000000011</v>
      </c>
      <c r="C113" s="56">
        <f>'Расчет субсидий'!D113-1</f>
        <v>-1</v>
      </c>
      <c r="D113" s="56">
        <f>C113*'Расчет субсидий'!E113</f>
        <v>0</v>
      </c>
      <c r="E113" s="57">
        <f t="shared" si="27"/>
        <v>0</v>
      </c>
      <c r="F113" s="28" t="s">
        <v>375</v>
      </c>
      <c r="G113" s="28" t="s">
        <v>375</v>
      </c>
      <c r="H113" s="28" t="s">
        <v>375</v>
      </c>
      <c r="I113" s="28" t="s">
        <v>375</v>
      </c>
      <c r="J113" s="28" t="s">
        <v>375</v>
      </c>
      <c r="K113" s="28" t="s">
        <v>375</v>
      </c>
      <c r="L113" s="56">
        <f>'Расчет субсидий'!P113-1</f>
        <v>0.21046714172604908</v>
      </c>
      <c r="M113" s="56">
        <f>L113*'Расчет субсидий'!Q113</f>
        <v>4.2093428345209816</v>
      </c>
      <c r="N113" s="57">
        <f t="shared" si="28"/>
        <v>12.080044054009178</v>
      </c>
      <c r="O113" s="56">
        <f>'Расчет субсидий'!T113-1</f>
        <v>0.20727272727272728</v>
      </c>
      <c r="P113" s="56">
        <f>O113*'Расчет субсидий'!U113</f>
        <v>5.1818181818181817</v>
      </c>
      <c r="Q113" s="57">
        <f t="shared" si="29"/>
        <v>14.870870436798908</v>
      </c>
      <c r="R113" s="56">
        <f>'Расчет субсидий'!X113-1</f>
        <v>0.19999999999999996</v>
      </c>
      <c r="S113" s="56">
        <f>R113*'Расчет субсидий'!Y113</f>
        <v>4.9999999999999991</v>
      </c>
      <c r="T113" s="57">
        <f t="shared" si="30"/>
        <v>14.349085509191926</v>
      </c>
      <c r="U113" s="56">
        <f t="shared" si="31"/>
        <v>14.391161016339161</v>
      </c>
    </row>
    <row r="114" spans="1:21" ht="15" customHeight="1">
      <c r="A114" s="34" t="s">
        <v>113</v>
      </c>
      <c r="B114" s="54">
        <f>'Расчет субсидий'!AD114</f>
        <v>178.20909090909083</v>
      </c>
      <c r="C114" s="56">
        <f>'Расчет субсидий'!D114-1</f>
        <v>0.26430656934306573</v>
      </c>
      <c r="D114" s="56">
        <f>C114*'Расчет субсидий'!E114</f>
        <v>2.6430656934306573</v>
      </c>
      <c r="E114" s="57">
        <f t="shared" si="27"/>
        <v>27.233958974965546</v>
      </c>
      <c r="F114" s="28" t="s">
        <v>375</v>
      </c>
      <c r="G114" s="28" t="s">
        <v>375</v>
      </c>
      <c r="H114" s="28" t="s">
        <v>375</v>
      </c>
      <c r="I114" s="28" t="s">
        <v>375</v>
      </c>
      <c r="J114" s="28" t="s">
        <v>375</v>
      </c>
      <c r="K114" s="28" t="s">
        <v>375</v>
      </c>
      <c r="L114" s="56">
        <f>'Расчет субсидий'!P114-1</f>
        <v>6.2609592573491524E-2</v>
      </c>
      <c r="M114" s="56">
        <f>L114*'Расчет субсидий'!Q114</f>
        <v>1.2521918514698305</v>
      </c>
      <c r="N114" s="57">
        <f t="shared" si="28"/>
        <v>12.902494855302471</v>
      </c>
      <c r="O114" s="56">
        <f>'Расчет субсидий'!T114-1</f>
        <v>0.21999999999999997</v>
      </c>
      <c r="P114" s="56">
        <f>O114*'Расчет субсидий'!U114</f>
        <v>4.3999999999999995</v>
      </c>
      <c r="Q114" s="57">
        <f t="shared" si="29"/>
        <v>45.337283816926892</v>
      </c>
      <c r="R114" s="56">
        <f>'Расчет субсидий'!X114-1</f>
        <v>0.30000000000000004</v>
      </c>
      <c r="S114" s="56">
        <f>R114*'Расчет субсидий'!Y114</f>
        <v>9.0000000000000018</v>
      </c>
      <c r="T114" s="57">
        <f t="shared" si="30"/>
        <v>92.735353261895952</v>
      </c>
      <c r="U114" s="56">
        <f t="shared" si="31"/>
        <v>17.295257544900487</v>
      </c>
    </row>
    <row r="115" spans="1:21" ht="15" customHeight="1">
      <c r="A115" s="34" t="s">
        <v>114</v>
      </c>
      <c r="B115" s="54">
        <f>'Расчет субсидий'!AD115</f>
        <v>0</v>
      </c>
      <c r="C115" s="56">
        <f>'Расчет субсидий'!D115-1</f>
        <v>-1</v>
      </c>
      <c r="D115" s="56">
        <f>C115*'Расчет субсидий'!E115</f>
        <v>0</v>
      </c>
      <c r="E115" s="57">
        <f t="shared" si="27"/>
        <v>0</v>
      </c>
      <c r="F115" s="28" t="s">
        <v>375</v>
      </c>
      <c r="G115" s="28" t="s">
        <v>375</v>
      </c>
      <c r="H115" s="28" t="s">
        <v>375</v>
      </c>
      <c r="I115" s="28" t="s">
        <v>375</v>
      </c>
      <c r="J115" s="28" t="s">
        <v>375</v>
      </c>
      <c r="K115" s="28" t="s">
        <v>375</v>
      </c>
      <c r="L115" s="56">
        <f>'Расчет субсидий'!P115-1</f>
        <v>0.20496744186046501</v>
      </c>
      <c r="M115" s="56">
        <f>L115*'Расчет субсидий'!Q115</f>
        <v>4.0993488372093001</v>
      </c>
      <c r="N115" s="57">
        <f t="shared" si="28"/>
        <v>0</v>
      </c>
      <c r="O115" s="56">
        <f>'Расчет субсидий'!T115-1</f>
        <v>-1</v>
      </c>
      <c r="P115" s="56">
        <f>O115*'Расчет субсидий'!U115</f>
        <v>0</v>
      </c>
      <c r="Q115" s="57">
        <f t="shared" si="29"/>
        <v>0</v>
      </c>
      <c r="R115" s="56">
        <f>'Расчет субсидий'!X115-1</f>
        <v>-1</v>
      </c>
      <c r="S115" s="56">
        <f>R115*'Расчет субсидий'!Y115</f>
        <v>0</v>
      </c>
      <c r="T115" s="57">
        <f t="shared" si="30"/>
        <v>0</v>
      </c>
      <c r="U115" s="56">
        <f t="shared" si="31"/>
        <v>4.0993488372093001</v>
      </c>
    </row>
    <row r="116" spans="1:21" ht="15" customHeight="1">
      <c r="A116" s="34" t="s">
        <v>115</v>
      </c>
      <c r="B116" s="54">
        <f>'Расчет субсидий'!AD116</f>
        <v>17.436363636363637</v>
      </c>
      <c r="C116" s="56">
        <f>'Расчет субсидий'!D116-1</f>
        <v>2.5251104394325985E-3</v>
      </c>
      <c r="D116" s="56">
        <f>C116*'Расчет субсидий'!E116</f>
        <v>2.5251104394325985E-2</v>
      </c>
      <c r="E116" s="57">
        <f t="shared" si="27"/>
        <v>6.5793910430767433E-2</v>
      </c>
      <c r="F116" s="28" t="s">
        <v>375</v>
      </c>
      <c r="G116" s="28" t="s">
        <v>375</v>
      </c>
      <c r="H116" s="28" t="s">
        <v>375</v>
      </c>
      <c r="I116" s="28" t="s">
        <v>375</v>
      </c>
      <c r="J116" s="28" t="s">
        <v>375</v>
      </c>
      <c r="K116" s="28" t="s">
        <v>375</v>
      </c>
      <c r="L116" s="56">
        <f>'Расчет субсидий'!P116-1</f>
        <v>0.30000000000000004</v>
      </c>
      <c r="M116" s="56">
        <f>L116*'Расчет субсидий'!Q116</f>
        <v>6.0000000000000009</v>
      </c>
      <c r="N116" s="57">
        <f t="shared" si="28"/>
        <v>15.633512753339589</v>
      </c>
      <c r="O116" s="56">
        <f>'Расчет субсидий'!T116-1</f>
        <v>2.2222222222222143E-2</v>
      </c>
      <c r="P116" s="56">
        <f>O116*'Расчет субсидий'!U116</f>
        <v>0.6666666666666643</v>
      </c>
      <c r="Q116" s="57">
        <f t="shared" si="29"/>
        <v>1.7370569725932812</v>
      </c>
      <c r="R116" s="56">
        <f>'Расчет субсидий'!X116-1</f>
        <v>0</v>
      </c>
      <c r="S116" s="56">
        <f>R116*'Расчет субсидий'!Y116</f>
        <v>0</v>
      </c>
      <c r="T116" s="57">
        <f t="shared" si="30"/>
        <v>0</v>
      </c>
      <c r="U116" s="56">
        <f t="shared" si="31"/>
        <v>6.6919177710609912</v>
      </c>
    </row>
    <row r="117" spans="1:21" ht="15" customHeight="1">
      <c r="A117" s="34" t="s">
        <v>116</v>
      </c>
      <c r="B117" s="54">
        <f>'Расчет субсидий'!AD117</f>
        <v>1.0545454545454618</v>
      </c>
      <c r="C117" s="56">
        <f>'Расчет субсидий'!D117-1</f>
        <v>0.23751999999999995</v>
      </c>
      <c r="D117" s="56">
        <f>C117*'Расчет субсидий'!E117</f>
        <v>2.3751999999999995</v>
      </c>
      <c r="E117" s="57">
        <f t="shared" si="27"/>
        <v>13.680247952843656</v>
      </c>
      <c r="F117" s="28" t="s">
        <v>375</v>
      </c>
      <c r="G117" s="28" t="s">
        <v>375</v>
      </c>
      <c r="H117" s="28" t="s">
        <v>375</v>
      </c>
      <c r="I117" s="28" t="s">
        <v>375</v>
      </c>
      <c r="J117" s="28" t="s">
        <v>375</v>
      </c>
      <c r="K117" s="28" t="s">
        <v>375</v>
      </c>
      <c r="L117" s="56">
        <f>'Расчет субсидий'!P117-1</f>
        <v>-0.51585535465924892</v>
      </c>
      <c r="M117" s="56">
        <f>L117*'Расчет субсидий'!Q117</f>
        <v>-10.317107093184978</v>
      </c>
      <c r="N117" s="57">
        <f t="shared" si="28"/>
        <v>-59.422609965818701</v>
      </c>
      <c r="O117" s="56">
        <f>'Расчет субсидий'!T117-1</f>
        <v>2.4999999999999911E-2</v>
      </c>
      <c r="P117" s="56">
        <f>O117*'Расчет субсидий'!U117</f>
        <v>0.62499999999999778</v>
      </c>
      <c r="Q117" s="57">
        <f t="shared" si="29"/>
        <v>3.5997621128861801</v>
      </c>
      <c r="R117" s="56">
        <f>'Расчет субсидий'!X117-1</f>
        <v>0.30000000000000004</v>
      </c>
      <c r="S117" s="56">
        <f>R117*'Расчет субсидий'!Y117</f>
        <v>7.5000000000000009</v>
      </c>
      <c r="T117" s="57">
        <f t="shared" si="30"/>
        <v>43.197145354634323</v>
      </c>
      <c r="U117" s="56">
        <f t="shared" si="31"/>
        <v>0.18309290681502066</v>
      </c>
    </row>
    <row r="118" spans="1:21" ht="15" customHeight="1">
      <c r="A118" s="34" t="s">
        <v>117</v>
      </c>
      <c r="B118" s="54">
        <f>'Расчет субсидий'!AD118</f>
        <v>7.5818181818181642</v>
      </c>
      <c r="C118" s="56">
        <f>'Расчет субсидий'!D118-1</f>
        <v>1.8658536585365759E-2</v>
      </c>
      <c r="D118" s="56">
        <f>C118*'Расчет субсидий'!E118</f>
        <v>0.18658536585365759</v>
      </c>
      <c r="E118" s="57">
        <f t="shared" si="27"/>
        <v>1.069141181399238</v>
      </c>
      <c r="F118" s="28" t="s">
        <v>375</v>
      </c>
      <c r="G118" s="28" t="s">
        <v>375</v>
      </c>
      <c r="H118" s="28" t="s">
        <v>375</v>
      </c>
      <c r="I118" s="28" t="s">
        <v>375</v>
      </c>
      <c r="J118" s="28" t="s">
        <v>375</v>
      </c>
      <c r="K118" s="28" t="s">
        <v>375</v>
      </c>
      <c r="L118" s="56">
        <f>'Расчет субсидий'!P118-1</f>
        <v>2.6829268292682951E-2</v>
      </c>
      <c r="M118" s="56">
        <f>L118*'Расчет субсидий'!Q118</f>
        <v>0.53658536585365901</v>
      </c>
      <c r="N118" s="57">
        <f t="shared" si="28"/>
        <v>3.0746543778801794</v>
      </c>
      <c r="O118" s="56">
        <f>'Расчет субсидий'!T118-1</f>
        <v>2.0000000000000018E-2</v>
      </c>
      <c r="P118" s="56">
        <f>O118*'Расчет субсидий'!U118</f>
        <v>0.60000000000000053</v>
      </c>
      <c r="Q118" s="57">
        <f t="shared" si="29"/>
        <v>3.4380226225387465</v>
      </c>
      <c r="R118" s="56">
        <f>'Расчет субсидий'!X118-1</f>
        <v>0</v>
      </c>
      <c r="S118" s="56">
        <f>R118*'Расчет субсидий'!Y118</f>
        <v>0</v>
      </c>
      <c r="T118" s="57">
        <f t="shared" si="30"/>
        <v>0</v>
      </c>
      <c r="U118" s="56">
        <f t="shared" si="31"/>
        <v>1.3231707317073171</v>
      </c>
    </row>
    <row r="119" spans="1:21" ht="15" customHeight="1">
      <c r="A119" s="34" t="s">
        <v>118</v>
      </c>
      <c r="B119" s="54">
        <f>'Расчет субсидий'!AD119</f>
        <v>29.24545454545455</v>
      </c>
      <c r="C119" s="56">
        <f>'Расчет субсидий'!D119-1</f>
        <v>-1</v>
      </c>
      <c r="D119" s="56">
        <f>C119*'Расчет субсидий'!E119</f>
        <v>0</v>
      </c>
      <c r="E119" s="57">
        <f t="shared" si="27"/>
        <v>0</v>
      </c>
      <c r="F119" s="28" t="s">
        <v>375</v>
      </c>
      <c r="G119" s="28" t="s">
        <v>375</v>
      </c>
      <c r="H119" s="28" t="s">
        <v>375</v>
      </c>
      <c r="I119" s="28" t="s">
        <v>375</v>
      </c>
      <c r="J119" s="28" t="s">
        <v>375</v>
      </c>
      <c r="K119" s="28" t="s">
        <v>375</v>
      </c>
      <c r="L119" s="56">
        <f>'Расчет субсидий'!P119-1</f>
        <v>0.22450157097972001</v>
      </c>
      <c r="M119" s="56">
        <f>L119*'Расчет субсидий'!Q119</f>
        <v>4.4900314195944002</v>
      </c>
      <c r="N119" s="57">
        <f t="shared" si="28"/>
        <v>17.872586771920769</v>
      </c>
      <c r="O119" s="56">
        <f>'Расчет субсидий'!T119-1</f>
        <v>8.5714285714285632E-2</v>
      </c>
      <c r="P119" s="56">
        <f>O119*'Расчет субсидий'!U119</f>
        <v>2.571428571428569</v>
      </c>
      <c r="Q119" s="57">
        <f t="shared" si="29"/>
        <v>10.235580996180403</v>
      </c>
      <c r="R119" s="56">
        <f>'Расчет субсидий'!X119-1</f>
        <v>1.4285714285714235E-2</v>
      </c>
      <c r="S119" s="56">
        <f>R119*'Расчет субсидий'!Y119</f>
        <v>0.2857142857142847</v>
      </c>
      <c r="T119" s="57">
        <f t="shared" si="30"/>
        <v>1.1372867773533752</v>
      </c>
      <c r="U119" s="56">
        <f t="shared" si="31"/>
        <v>7.3471742767372543</v>
      </c>
    </row>
    <row r="120" spans="1:21" ht="15" customHeight="1">
      <c r="A120" s="34" t="s">
        <v>119</v>
      </c>
      <c r="B120" s="54">
        <f>'Расчет субсидий'!AD120</f>
        <v>-76.818181818181813</v>
      </c>
      <c r="C120" s="56">
        <f>'Расчет субсидий'!D120-1</f>
        <v>-1</v>
      </c>
      <c r="D120" s="56">
        <f>C120*'Расчет субсидий'!E120</f>
        <v>0</v>
      </c>
      <c r="E120" s="57">
        <f t="shared" si="27"/>
        <v>0</v>
      </c>
      <c r="F120" s="28" t="s">
        <v>375</v>
      </c>
      <c r="G120" s="28" t="s">
        <v>375</v>
      </c>
      <c r="H120" s="28" t="s">
        <v>375</v>
      </c>
      <c r="I120" s="28" t="s">
        <v>375</v>
      </c>
      <c r="J120" s="28" t="s">
        <v>375</v>
      </c>
      <c r="K120" s="28" t="s">
        <v>375</v>
      </c>
      <c r="L120" s="56">
        <f>'Расчет субсидий'!P120-1</f>
        <v>-0.40270168855534716</v>
      </c>
      <c r="M120" s="56">
        <f>L120*'Расчет субсидий'!Q120</f>
        <v>-8.0540337711069441</v>
      </c>
      <c r="N120" s="57">
        <f t="shared" si="28"/>
        <v>-24.365845533610941</v>
      </c>
      <c r="O120" s="56">
        <f>'Расчет субсидий'!T120-1</f>
        <v>3.8461538461538325E-3</v>
      </c>
      <c r="P120" s="56">
        <f>O120*'Расчет субсидий'!U120</f>
        <v>1.9230769230769162E-2</v>
      </c>
      <c r="Q120" s="57">
        <f t="shared" si="29"/>
        <v>5.817879163238706E-2</v>
      </c>
      <c r="R120" s="56">
        <f>'Расчет субсидий'!X120-1</f>
        <v>-0.38571428571428579</v>
      </c>
      <c r="S120" s="56">
        <f>R120*'Расчет субсидий'!Y120</f>
        <v>-17.357142857142861</v>
      </c>
      <c r="T120" s="57">
        <f t="shared" si="30"/>
        <v>-52.510515076203269</v>
      </c>
      <c r="U120" s="56">
        <f t="shared" si="31"/>
        <v>-25.391945859019035</v>
      </c>
    </row>
    <row r="121" spans="1:21" ht="15" customHeight="1">
      <c r="A121" s="33" t="s">
        <v>120</v>
      </c>
      <c r="B121" s="58"/>
      <c r="C121" s="59"/>
      <c r="D121" s="59"/>
      <c r="E121" s="60"/>
      <c r="F121" s="59"/>
      <c r="G121" s="59"/>
      <c r="H121" s="60"/>
      <c r="I121" s="60"/>
      <c r="J121" s="60"/>
      <c r="K121" s="60"/>
      <c r="L121" s="59"/>
      <c r="M121" s="59"/>
      <c r="N121" s="60"/>
      <c r="O121" s="59"/>
      <c r="P121" s="59"/>
      <c r="Q121" s="60"/>
      <c r="R121" s="59"/>
      <c r="S121" s="59"/>
      <c r="T121" s="60"/>
      <c r="U121" s="60"/>
    </row>
    <row r="122" spans="1:21" ht="15" customHeight="1">
      <c r="A122" s="34" t="s">
        <v>121</v>
      </c>
      <c r="B122" s="54">
        <f>'Расчет субсидий'!AD122</f>
        <v>-2.7636363636363654</v>
      </c>
      <c r="C122" s="56">
        <f>'Расчет субсидий'!D122-1</f>
        <v>0.12653846153846149</v>
      </c>
      <c r="D122" s="56">
        <f>C122*'Расчет субсидий'!E122</f>
        <v>1.2653846153846149</v>
      </c>
      <c r="E122" s="57">
        <f t="shared" ref="E122:E128" si="32">$B122*D122/$U122</f>
        <v>1.3052432437828212</v>
      </c>
      <c r="F122" s="28" t="s">
        <v>375</v>
      </c>
      <c r="G122" s="28" t="s">
        <v>375</v>
      </c>
      <c r="H122" s="28" t="s">
        <v>375</v>
      </c>
      <c r="I122" s="28" t="s">
        <v>375</v>
      </c>
      <c r="J122" s="28" t="s">
        <v>375</v>
      </c>
      <c r="K122" s="28" t="s">
        <v>375</v>
      </c>
      <c r="L122" s="56">
        <f>'Расчет субсидий'!P122-1</f>
        <v>-0.89723134678554672</v>
      </c>
      <c r="M122" s="56">
        <f>L122*'Расчет субсидий'!Q122</f>
        <v>-17.944626935710936</v>
      </c>
      <c r="N122" s="57">
        <f t="shared" ref="N122:N128" si="33">$B122*M122/$U122</f>
        <v>-18.509868687569554</v>
      </c>
      <c r="O122" s="56">
        <f>'Расчет субсидий'!T122-1</f>
        <v>0.28000000000000003</v>
      </c>
      <c r="P122" s="56">
        <f>O122*'Расчет субсидий'!U122</f>
        <v>7.0000000000000009</v>
      </c>
      <c r="Q122" s="57">
        <f t="shared" ref="Q122:Q128" si="34">$B122*P122/$U122</f>
        <v>7.2204945400751859</v>
      </c>
      <c r="R122" s="56">
        <f>'Расчет субсидий'!X122-1</f>
        <v>0.28000000000000003</v>
      </c>
      <c r="S122" s="56">
        <f>R122*'Расчет субсидий'!Y122</f>
        <v>7.0000000000000009</v>
      </c>
      <c r="T122" s="57">
        <f t="shared" ref="T122:T128" si="35">$B122*S122/$U122</f>
        <v>7.2204945400751859</v>
      </c>
      <c r="U122" s="56">
        <f t="shared" si="31"/>
        <v>-2.6792423203263196</v>
      </c>
    </row>
    <row r="123" spans="1:21" ht="15" customHeight="1">
      <c r="A123" s="34" t="s">
        <v>122</v>
      </c>
      <c r="B123" s="54">
        <f>'Расчет субсидий'!AD123</f>
        <v>-65.281818181818181</v>
      </c>
      <c r="C123" s="56">
        <f>'Расчет субсидий'!D123-1</f>
        <v>0.23811428571428572</v>
      </c>
      <c r="D123" s="56">
        <f>C123*'Расчет субсидий'!E123</f>
        <v>2.3811428571428572</v>
      </c>
      <c r="E123" s="57">
        <f t="shared" si="32"/>
        <v>5.362503004469751</v>
      </c>
      <c r="F123" s="28" t="s">
        <v>375</v>
      </c>
      <c r="G123" s="28" t="s">
        <v>375</v>
      </c>
      <c r="H123" s="28" t="s">
        <v>375</v>
      </c>
      <c r="I123" s="28" t="s">
        <v>375</v>
      </c>
      <c r="J123" s="28" t="s">
        <v>375</v>
      </c>
      <c r="K123" s="28" t="s">
        <v>375</v>
      </c>
      <c r="L123" s="56">
        <f>'Расчет субсидий'!P123-1</f>
        <v>-0.49343008433026081</v>
      </c>
      <c r="M123" s="56">
        <f>L123*'Расчет субсидий'!Q123</f>
        <v>-9.8686016866052171</v>
      </c>
      <c r="N123" s="57">
        <f t="shared" si="33"/>
        <v>-22.224792618211545</v>
      </c>
      <c r="O123" s="56">
        <f>'Расчет субсидий'!T123-1</f>
        <v>-0.64999999999999991</v>
      </c>
      <c r="P123" s="56">
        <f>O123*'Расчет субсидий'!U123</f>
        <v>-19.499999999999996</v>
      </c>
      <c r="Q123" s="57">
        <f t="shared" si="34"/>
        <v>-43.915386375697189</v>
      </c>
      <c r="R123" s="56">
        <f>'Расчет субсидий'!X123-1</f>
        <v>-9.9999999999999978E-2</v>
      </c>
      <c r="S123" s="56">
        <f>R123*'Расчет субсидий'!Y123</f>
        <v>-1.9999999999999996</v>
      </c>
      <c r="T123" s="57">
        <f t="shared" si="35"/>
        <v>-4.5041421923791987</v>
      </c>
      <c r="U123" s="56">
        <f t="shared" si="31"/>
        <v>-28.987458829462355</v>
      </c>
    </row>
    <row r="124" spans="1:21" ht="15" customHeight="1">
      <c r="A124" s="34" t="s">
        <v>123</v>
      </c>
      <c r="B124" s="54">
        <f>'Расчет субсидий'!AD124</f>
        <v>-40.409090909090907</v>
      </c>
      <c r="C124" s="56">
        <f>'Расчет субсидий'!D124-1</f>
        <v>-0.1576923076923078</v>
      </c>
      <c r="D124" s="56">
        <f>C124*'Расчет субсидий'!E124</f>
        <v>-1.576923076923078</v>
      </c>
      <c r="E124" s="57">
        <f t="shared" si="32"/>
        <v>-2.1688363479418062</v>
      </c>
      <c r="F124" s="28" t="s">
        <v>375</v>
      </c>
      <c r="G124" s="28" t="s">
        <v>375</v>
      </c>
      <c r="H124" s="28" t="s">
        <v>375</v>
      </c>
      <c r="I124" s="28" t="s">
        <v>375</v>
      </c>
      <c r="J124" s="28" t="s">
        <v>375</v>
      </c>
      <c r="K124" s="28" t="s">
        <v>375</v>
      </c>
      <c r="L124" s="56">
        <f>'Расчет субсидий'!P124-1</f>
        <v>0.23744047619047626</v>
      </c>
      <c r="M124" s="56">
        <f>L124*'Расчет субсидий'!Q124</f>
        <v>4.7488095238095251</v>
      </c>
      <c r="N124" s="57">
        <f t="shared" si="33"/>
        <v>6.531320934681661</v>
      </c>
      <c r="O124" s="56">
        <f>'Расчет субсидий'!T124-1</f>
        <v>0.16315789473684217</v>
      </c>
      <c r="P124" s="56">
        <f>O124*'Расчет субсидий'!U124</f>
        <v>2.4473684210526327</v>
      </c>
      <c r="Q124" s="57">
        <f t="shared" si="34"/>
        <v>3.366011738975152</v>
      </c>
      <c r="R124" s="56">
        <f>'Расчет субсидий'!X124-1</f>
        <v>-1</v>
      </c>
      <c r="S124" s="56">
        <f>R124*'Расчет субсидий'!Y124</f>
        <v>-35</v>
      </c>
      <c r="T124" s="57">
        <f t="shared" si="35"/>
        <v>-48.137587234805913</v>
      </c>
      <c r="U124" s="56">
        <f t="shared" si="31"/>
        <v>-29.38074513206092</v>
      </c>
    </row>
    <row r="125" spans="1:21" ht="15" customHeight="1">
      <c r="A125" s="34" t="s">
        <v>124</v>
      </c>
      <c r="B125" s="54">
        <f>'Расчет субсидий'!AD125</f>
        <v>-17.400000000000006</v>
      </c>
      <c r="C125" s="56">
        <f>'Расчет субсидий'!D125-1</f>
        <v>-8.1000000000000072E-2</v>
      </c>
      <c r="D125" s="56">
        <f>C125*'Расчет субсидий'!E125</f>
        <v>-0.81000000000000072</v>
      </c>
      <c r="E125" s="57">
        <f t="shared" si="32"/>
        <v>-1.4718211341886061</v>
      </c>
      <c r="F125" s="28" t="s">
        <v>375</v>
      </c>
      <c r="G125" s="28" t="s">
        <v>375</v>
      </c>
      <c r="H125" s="28" t="s">
        <v>375</v>
      </c>
      <c r="I125" s="28" t="s">
        <v>375</v>
      </c>
      <c r="J125" s="28" t="s">
        <v>375</v>
      </c>
      <c r="K125" s="28" t="s">
        <v>375</v>
      </c>
      <c r="L125" s="56">
        <f>'Расчет субсидий'!P125-1</f>
        <v>-0.82206082614616438</v>
      </c>
      <c r="M125" s="56">
        <f>L125*'Расчет субсидий'!Q125</f>
        <v>-16.441216522923288</v>
      </c>
      <c r="N125" s="57">
        <f t="shared" si="33"/>
        <v>-29.874728333591829</v>
      </c>
      <c r="O125" s="56">
        <f>'Расчет субсидий'!T125-1</f>
        <v>0.1558441558441559</v>
      </c>
      <c r="P125" s="56">
        <f>O125*'Расчет субсидий'!U125</f>
        <v>4.6753246753246769</v>
      </c>
      <c r="Q125" s="57">
        <f t="shared" si="34"/>
        <v>8.4953600818967114</v>
      </c>
      <c r="R125" s="56">
        <f>'Расчет субсидий'!X125-1</f>
        <v>0.14999999999999991</v>
      </c>
      <c r="S125" s="56">
        <f>R125*'Расчет субсидий'!Y125</f>
        <v>2.9999999999999982</v>
      </c>
      <c r="T125" s="57">
        <f t="shared" si="35"/>
        <v>5.4511893858837182</v>
      </c>
      <c r="U125" s="56">
        <f t="shared" si="31"/>
        <v>-9.5758918475986139</v>
      </c>
    </row>
    <row r="126" spans="1:21" ht="15" customHeight="1">
      <c r="A126" s="34" t="s">
        <v>125</v>
      </c>
      <c r="B126" s="54">
        <f>'Расчет субсидий'!AD126</f>
        <v>-8.181818181819267E-2</v>
      </c>
      <c r="C126" s="56">
        <f>'Расчет субсидий'!D126-1</f>
        <v>4.1842105263157903E-2</v>
      </c>
      <c r="D126" s="56">
        <f>C126*'Расчет субсидий'!E126</f>
        <v>0.41842105263157903</v>
      </c>
      <c r="E126" s="57">
        <f t="shared" si="32"/>
        <v>0.72077922077932166</v>
      </c>
      <c r="F126" s="28" t="s">
        <v>375</v>
      </c>
      <c r="G126" s="28" t="s">
        <v>375</v>
      </c>
      <c r="H126" s="28" t="s">
        <v>375</v>
      </c>
      <c r="I126" s="28" t="s">
        <v>375</v>
      </c>
      <c r="J126" s="28" t="s">
        <v>375</v>
      </c>
      <c r="K126" s="28" t="s">
        <v>375</v>
      </c>
      <c r="L126" s="56">
        <f>'Расчет субсидий'!P126-1</f>
        <v>-0.66429587482219055</v>
      </c>
      <c r="M126" s="56">
        <f>L126*'Расчет субсидий'!Q126</f>
        <v>-13.285917496443812</v>
      </c>
      <c r="N126" s="57">
        <f t="shared" si="33"/>
        <v>-22.886547414852501</v>
      </c>
      <c r="O126" s="56">
        <f>'Расчет субсидий'!T126-1</f>
        <v>0.29400000000000004</v>
      </c>
      <c r="P126" s="56">
        <f>O126*'Расчет субсидий'!U126</f>
        <v>8.82</v>
      </c>
      <c r="Q126" s="57">
        <f t="shared" si="34"/>
        <v>15.193481989710529</v>
      </c>
      <c r="R126" s="56">
        <f>'Расчет субсидий'!X126-1</f>
        <v>0.19999999999999996</v>
      </c>
      <c r="S126" s="56">
        <f>R126*'Расчет субсидий'!Y126</f>
        <v>3.9999999999999991</v>
      </c>
      <c r="T126" s="57">
        <f t="shared" si="35"/>
        <v>6.8904680225444563</v>
      </c>
      <c r="U126" s="56">
        <f t="shared" si="31"/>
        <v>-4.7496443812232947E-2</v>
      </c>
    </row>
    <row r="127" spans="1:21" ht="15" customHeight="1">
      <c r="A127" s="34" t="s">
        <v>126</v>
      </c>
      <c r="B127" s="54">
        <f>'Расчет субсидий'!AD127</f>
        <v>-11.072727272727263</v>
      </c>
      <c r="C127" s="56">
        <f>'Расчет субсидий'!D127-1</f>
        <v>-0.16515151515151516</v>
      </c>
      <c r="D127" s="56">
        <f>C127*'Расчет субсидий'!E127</f>
        <v>-1.6515151515151516</v>
      </c>
      <c r="E127" s="57">
        <f t="shared" si="32"/>
        <v>-1.325603972715397</v>
      </c>
      <c r="F127" s="28" t="s">
        <v>375</v>
      </c>
      <c r="G127" s="28" t="s">
        <v>375</v>
      </c>
      <c r="H127" s="28" t="s">
        <v>375</v>
      </c>
      <c r="I127" s="28" t="s">
        <v>375</v>
      </c>
      <c r="J127" s="28" t="s">
        <v>375</v>
      </c>
      <c r="K127" s="28" t="s">
        <v>375</v>
      </c>
      <c r="L127" s="56">
        <f>'Расчет субсидий'!P127-1</f>
        <v>-0.76967688483844243</v>
      </c>
      <c r="M127" s="56">
        <f>L127*'Расчет субсидий'!Q127</f>
        <v>-15.393537696768849</v>
      </c>
      <c r="N127" s="57">
        <f t="shared" si="33"/>
        <v>-12.355765980263728</v>
      </c>
      <c r="O127" s="56">
        <f>'Расчет субсидий'!T127-1</f>
        <v>4.1666666666666741E-2</v>
      </c>
      <c r="P127" s="56">
        <f>O127*'Расчет субсидий'!U127</f>
        <v>1.2500000000000022</v>
      </c>
      <c r="Q127" s="57">
        <f t="shared" si="34"/>
        <v>1.0033241077891781</v>
      </c>
      <c r="R127" s="56">
        <f>'Расчет субсидий'!X127-1</f>
        <v>0.10000000000000009</v>
      </c>
      <c r="S127" s="56">
        <f>R127*'Расчет субсидий'!Y127</f>
        <v>2.0000000000000018</v>
      </c>
      <c r="T127" s="57">
        <f t="shared" si="35"/>
        <v>1.6053185724626839</v>
      </c>
      <c r="U127" s="56">
        <f t="shared" si="31"/>
        <v>-13.795052848283998</v>
      </c>
    </row>
    <row r="128" spans="1:21" ht="15" customHeight="1">
      <c r="A128" s="34" t="s">
        <v>127</v>
      </c>
      <c r="B128" s="54">
        <f>'Расчет субсидий'!AD128</f>
        <v>-4.3545454545454589</v>
      </c>
      <c r="C128" s="56">
        <f>'Расчет субсидий'!D128-1</f>
        <v>0.20087499999999991</v>
      </c>
      <c r="D128" s="56">
        <f>C128*'Расчет субсидий'!E128</f>
        <v>2.0087499999999991</v>
      </c>
      <c r="E128" s="57">
        <f t="shared" si="32"/>
        <v>3.0853852362749858</v>
      </c>
      <c r="F128" s="28" t="s">
        <v>375</v>
      </c>
      <c r="G128" s="28" t="s">
        <v>375</v>
      </c>
      <c r="H128" s="28" t="s">
        <v>375</v>
      </c>
      <c r="I128" s="28" t="s">
        <v>375</v>
      </c>
      <c r="J128" s="28" t="s">
        <v>375</v>
      </c>
      <c r="K128" s="28" t="s">
        <v>375</v>
      </c>
      <c r="L128" s="56">
        <f>'Расчет субсидий'!P128-1</f>
        <v>-0.65718954248366013</v>
      </c>
      <c r="M128" s="56">
        <f>L128*'Расчет субсидий'!Q128</f>
        <v>-13.143790849673202</v>
      </c>
      <c r="N128" s="57">
        <f t="shared" si="33"/>
        <v>-20.188504411334396</v>
      </c>
      <c r="O128" s="56">
        <f>'Расчет субсидий'!T128-1</f>
        <v>0.21571428571428575</v>
      </c>
      <c r="P128" s="56">
        <f>O128*'Расчет субсидий'!U128</f>
        <v>7.5500000000000007</v>
      </c>
      <c r="Q128" s="57">
        <f t="shared" si="34"/>
        <v>11.596594167455459</v>
      </c>
      <c r="R128" s="56">
        <f>'Расчет субсидий'!X128-1</f>
        <v>5.0000000000000044E-2</v>
      </c>
      <c r="S128" s="56">
        <f>R128*'Расчет субсидий'!Y128</f>
        <v>0.75000000000000067</v>
      </c>
      <c r="T128" s="57">
        <f t="shared" si="35"/>
        <v>1.1519795530584904</v>
      </c>
      <c r="U128" s="56">
        <f t="shared" si="31"/>
        <v>-2.8350408496732014</v>
      </c>
    </row>
    <row r="129" spans="1:21" ht="15" customHeight="1">
      <c r="A129" s="33" t="s">
        <v>128</v>
      </c>
      <c r="B129" s="58"/>
      <c r="C129" s="59"/>
      <c r="D129" s="59"/>
      <c r="E129" s="60"/>
      <c r="F129" s="59"/>
      <c r="G129" s="59"/>
      <c r="H129" s="60"/>
      <c r="I129" s="60"/>
      <c r="J129" s="60"/>
      <c r="K129" s="60"/>
      <c r="L129" s="59"/>
      <c r="M129" s="59"/>
      <c r="N129" s="60"/>
      <c r="O129" s="59"/>
      <c r="P129" s="59"/>
      <c r="Q129" s="60"/>
      <c r="R129" s="59"/>
      <c r="S129" s="59"/>
      <c r="T129" s="60"/>
      <c r="U129" s="60"/>
    </row>
    <row r="130" spans="1:21" ht="15" customHeight="1">
      <c r="A130" s="34" t="s">
        <v>129</v>
      </c>
      <c r="B130" s="54">
        <f>'Расчет субсидий'!AD130</f>
        <v>-5.0545454545454618</v>
      </c>
      <c r="C130" s="56">
        <f>'Расчет субсидий'!D130-1</f>
        <v>0.2341929666366096</v>
      </c>
      <c r="D130" s="56">
        <f>C130*'Расчет субсидий'!E130</f>
        <v>2.341929666366096</v>
      </c>
      <c r="E130" s="57">
        <f t="shared" ref="E130:E138" si="36">$B130*D130/$U130</f>
        <v>5.1788030562532414</v>
      </c>
      <c r="F130" s="28" t="s">
        <v>375</v>
      </c>
      <c r="G130" s="28" t="s">
        <v>375</v>
      </c>
      <c r="H130" s="28" t="s">
        <v>375</v>
      </c>
      <c r="I130" s="28" t="s">
        <v>375</v>
      </c>
      <c r="J130" s="28" t="s">
        <v>375</v>
      </c>
      <c r="K130" s="28" t="s">
        <v>375</v>
      </c>
      <c r="L130" s="56">
        <f>'Расчет субсидий'!P130-1</f>
        <v>-0.16919082648204242</v>
      </c>
      <c r="M130" s="56">
        <f>L130*'Расчет субсидий'!Q130</f>
        <v>-3.3838165296408484</v>
      </c>
      <c r="N130" s="57">
        <f t="shared" ref="N130:N138" si="37">$B130*M130/$U130</f>
        <v>-7.4827692894364031</v>
      </c>
      <c r="O130" s="56">
        <f>'Расчет субсидий'!T130-1</f>
        <v>-0.2395569620253164</v>
      </c>
      <c r="P130" s="56">
        <f>O130*'Расчет субсидий'!U130</f>
        <v>-7.1867088607594916</v>
      </c>
      <c r="Q130" s="57">
        <f t="shared" ref="Q130:Q138" si="38">$B130*P130/$U130</f>
        <v>-15.892257716797467</v>
      </c>
      <c r="R130" s="56">
        <f>'Расчет субсидий'!X130-1</f>
        <v>0.29714285714285715</v>
      </c>
      <c r="S130" s="56">
        <f>R130*'Расчет субсидий'!Y130</f>
        <v>5.9428571428571431</v>
      </c>
      <c r="T130" s="57">
        <f t="shared" ref="T130:T138" si="39">$B130*S130/$U130</f>
        <v>13.141678495435166</v>
      </c>
      <c r="U130" s="56">
        <f t="shared" si="31"/>
        <v>-2.2857385811771014</v>
      </c>
    </row>
    <row r="131" spans="1:21" ht="15" customHeight="1">
      <c r="A131" s="34" t="s">
        <v>130</v>
      </c>
      <c r="B131" s="54">
        <f>'Расчет субсидий'!AD131</f>
        <v>-45.472727272727269</v>
      </c>
      <c r="C131" s="56">
        <f>'Расчет субсидий'!D131-1</f>
        <v>-1</v>
      </c>
      <c r="D131" s="56">
        <f>C131*'Расчет субсидий'!E131</f>
        <v>0</v>
      </c>
      <c r="E131" s="57">
        <f t="shared" si="36"/>
        <v>0</v>
      </c>
      <c r="F131" s="28" t="s">
        <v>375</v>
      </c>
      <c r="G131" s="28" t="s">
        <v>375</v>
      </c>
      <c r="H131" s="28" t="s">
        <v>375</v>
      </c>
      <c r="I131" s="28" t="s">
        <v>375</v>
      </c>
      <c r="J131" s="28" t="s">
        <v>375</v>
      </c>
      <c r="K131" s="28" t="s">
        <v>375</v>
      </c>
      <c r="L131" s="56">
        <f>'Расчет субсидий'!P131-1</f>
        <v>-0.83110367892976589</v>
      </c>
      <c r="M131" s="56">
        <f>L131*'Расчет субсидий'!Q131</f>
        <v>-16.62207357859532</v>
      </c>
      <c r="N131" s="57">
        <f t="shared" si="37"/>
        <v>-44.714253769466893</v>
      </c>
      <c r="O131" s="56">
        <f>'Расчет субсидий'!T131-1</f>
        <v>-1.9548872180451093E-2</v>
      </c>
      <c r="P131" s="56">
        <f>O131*'Расчет субсидий'!U131</f>
        <v>-0.78195488721804374</v>
      </c>
      <c r="Q131" s="57">
        <f t="shared" si="38"/>
        <v>-2.1034998490421324</v>
      </c>
      <c r="R131" s="56">
        <f>'Расчет субсидий'!X131-1</f>
        <v>5.0000000000000044E-2</v>
      </c>
      <c r="S131" s="56">
        <f>R131*'Расчет субсидий'!Y131</f>
        <v>0.50000000000000044</v>
      </c>
      <c r="T131" s="57">
        <f t="shared" si="39"/>
        <v>1.3450263457817517</v>
      </c>
      <c r="U131" s="56">
        <f t="shared" si="31"/>
        <v>-16.904028465813361</v>
      </c>
    </row>
    <row r="132" spans="1:21" ht="15" customHeight="1">
      <c r="A132" s="34" t="s">
        <v>131</v>
      </c>
      <c r="B132" s="54">
        <f>'Расчет субсидий'!AD132</f>
        <v>33.71818181818179</v>
      </c>
      <c r="C132" s="56">
        <f>'Расчет субсидий'!D132-1</f>
        <v>-9.7613416469576442E-2</v>
      </c>
      <c r="D132" s="56">
        <f>C132*'Расчет субсидий'!E132</f>
        <v>-0.97613416469576442</v>
      </c>
      <c r="E132" s="57">
        <f t="shared" si="36"/>
        <v>-4.4803533801494924</v>
      </c>
      <c r="F132" s="28" t="s">
        <v>375</v>
      </c>
      <c r="G132" s="28" t="s">
        <v>375</v>
      </c>
      <c r="H132" s="28" t="s">
        <v>375</v>
      </c>
      <c r="I132" s="28" t="s">
        <v>375</v>
      </c>
      <c r="J132" s="28" t="s">
        <v>375</v>
      </c>
      <c r="K132" s="28" t="s">
        <v>375</v>
      </c>
      <c r="L132" s="56">
        <f>'Расчет субсидий'!P132-1</f>
        <v>0.13024809160305351</v>
      </c>
      <c r="M132" s="56">
        <f>L132*'Расчет субсидий'!Q132</f>
        <v>2.6049618320610701</v>
      </c>
      <c r="N132" s="57">
        <f t="shared" si="37"/>
        <v>11.956501443705562</v>
      </c>
      <c r="O132" s="56">
        <f>'Расчет субсидий'!T132-1</f>
        <v>-8.3132530120482051E-2</v>
      </c>
      <c r="P132" s="56">
        <f>O132*'Расчет субсидий'!U132</f>
        <v>-1.662650602409641</v>
      </c>
      <c r="Q132" s="57">
        <f t="shared" si="38"/>
        <v>-7.6313917860208962</v>
      </c>
      <c r="R132" s="56">
        <f>'Расчет субсидий'!X132-1</f>
        <v>0.246</v>
      </c>
      <c r="S132" s="56">
        <f>R132*'Расчет субсидий'!Y132</f>
        <v>7.38</v>
      </c>
      <c r="T132" s="57">
        <f t="shared" si="39"/>
        <v>33.873425540646615</v>
      </c>
      <c r="U132" s="56">
        <f t="shared" si="31"/>
        <v>7.3461770649556648</v>
      </c>
    </row>
    <row r="133" spans="1:21" ht="15" customHeight="1">
      <c r="A133" s="34" t="s">
        <v>132</v>
      </c>
      <c r="B133" s="54">
        <f>'Расчет субсидий'!AD133</f>
        <v>-14.809090909090912</v>
      </c>
      <c r="C133" s="56">
        <f>'Расчет субсидий'!D133-1</f>
        <v>-1</v>
      </c>
      <c r="D133" s="56">
        <f>C133*'Расчет субсидий'!E133</f>
        <v>0</v>
      </c>
      <c r="E133" s="57">
        <f t="shared" si="36"/>
        <v>0</v>
      </c>
      <c r="F133" s="28" t="s">
        <v>375</v>
      </c>
      <c r="G133" s="28" t="s">
        <v>375</v>
      </c>
      <c r="H133" s="28" t="s">
        <v>375</v>
      </c>
      <c r="I133" s="28" t="s">
        <v>375</v>
      </c>
      <c r="J133" s="28" t="s">
        <v>375</v>
      </c>
      <c r="K133" s="28" t="s">
        <v>375</v>
      </c>
      <c r="L133" s="56">
        <f>'Расчет субсидий'!P133-1</f>
        <v>-0.24823321554770328</v>
      </c>
      <c r="M133" s="56">
        <f>L133*'Расчет субсидий'!Q133</f>
        <v>-4.9646643109540651</v>
      </c>
      <c r="N133" s="57">
        <f t="shared" si="37"/>
        <v>-18.544360719494417</v>
      </c>
      <c r="O133" s="56">
        <f>'Расчет субсидий'!T133-1</f>
        <v>0</v>
      </c>
      <c r="P133" s="56">
        <f>O133*'Расчет субсидий'!U133</f>
        <v>0</v>
      </c>
      <c r="Q133" s="57">
        <f t="shared" si="38"/>
        <v>0</v>
      </c>
      <c r="R133" s="56">
        <f>'Расчет субсидий'!X133-1</f>
        <v>0.10000000000000009</v>
      </c>
      <c r="S133" s="56">
        <f>R133*'Расчет субсидий'!Y133</f>
        <v>1.0000000000000009</v>
      </c>
      <c r="T133" s="57">
        <f t="shared" si="39"/>
        <v>3.7352698104035036</v>
      </c>
      <c r="U133" s="56">
        <f t="shared" si="31"/>
        <v>-3.9646643109540642</v>
      </c>
    </row>
    <row r="134" spans="1:21" ht="15" customHeight="1">
      <c r="A134" s="34" t="s">
        <v>133</v>
      </c>
      <c r="B134" s="54">
        <f>'Расчет субсидий'!AD134</f>
        <v>-34.981818181818184</v>
      </c>
      <c r="C134" s="56">
        <f>'Расчет субсидий'!D134-1</f>
        <v>-1</v>
      </c>
      <c r="D134" s="56">
        <f>C134*'Расчет субсидий'!E134</f>
        <v>0</v>
      </c>
      <c r="E134" s="57">
        <f t="shared" si="36"/>
        <v>0</v>
      </c>
      <c r="F134" s="28" t="s">
        <v>375</v>
      </c>
      <c r="G134" s="28" t="s">
        <v>375</v>
      </c>
      <c r="H134" s="28" t="s">
        <v>375</v>
      </c>
      <c r="I134" s="28" t="s">
        <v>375</v>
      </c>
      <c r="J134" s="28" t="s">
        <v>375</v>
      </c>
      <c r="K134" s="28" t="s">
        <v>375</v>
      </c>
      <c r="L134" s="56">
        <f>'Расчет субсидий'!P134-1</f>
        <v>-0.70893371757925072</v>
      </c>
      <c r="M134" s="56">
        <f>L134*'Расчет субсидий'!Q134</f>
        <v>-14.178674351585014</v>
      </c>
      <c r="N134" s="57">
        <f t="shared" si="37"/>
        <v>-26.554122572636803</v>
      </c>
      <c r="O134" s="56">
        <f>'Расчет субсидий'!T134-1</f>
        <v>0</v>
      </c>
      <c r="P134" s="56">
        <f>O134*'Расчет субсидий'!U134</f>
        <v>0</v>
      </c>
      <c r="Q134" s="57">
        <f t="shared" si="38"/>
        <v>0</v>
      </c>
      <c r="R134" s="56">
        <f>'Расчет субсидий'!X134-1</f>
        <v>-0.15000000000000002</v>
      </c>
      <c r="S134" s="56">
        <f>R134*'Расчет субсидий'!Y134</f>
        <v>-4.5000000000000009</v>
      </c>
      <c r="T134" s="57">
        <f t="shared" si="39"/>
        <v>-8.4276956091813773</v>
      </c>
      <c r="U134" s="56">
        <f t="shared" si="31"/>
        <v>-18.678674351585016</v>
      </c>
    </row>
    <row r="135" spans="1:21" ht="15" customHeight="1">
      <c r="A135" s="34" t="s">
        <v>134</v>
      </c>
      <c r="B135" s="54">
        <f>'Расчет субсидий'!AD135</f>
        <v>-30.75454545454545</v>
      </c>
      <c r="C135" s="56">
        <f>'Расчет субсидий'!D135-1</f>
        <v>-1</v>
      </c>
      <c r="D135" s="56">
        <f>C135*'Расчет субсидий'!E135</f>
        <v>0</v>
      </c>
      <c r="E135" s="57">
        <f t="shared" si="36"/>
        <v>0</v>
      </c>
      <c r="F135" s="28" t="s">
        <v>375</v>
      </c>
      <c r="G135" s="28" t="s">
        <v>375</v>
      </c>
      <c r="H135" s="28" t="s">
        <v>375</v>
      </c>
      <c r="I135" s="28" t="s">
        <v>375</v>
      </c>
      <c r="J135" s="28" t="s">
        <v>375</v>
      </c>
      <c r="K135" s="28" t="s">
        <v>375</v>
      </c>
      <c r="L135" s="56">
        <f>'Расчет субсидий'!P135-1</f>
        <v>-0.83683360258481421</v>
      </c>
      <c r="M135" s="56">
        <f>L135*'Расчет субсидий'!Q135</f>
        <v>-16.736672051696285</v>
      </c>
      <c r="N135" s="57">
        <f t="shared" si="37"/>
        <v>-25.724347494201577</v>
      </c>
      <c r="O135" s="56">
        <f>'Расчет субсидий'!T135-1</f>
        <v>-3.6363636363636376E-2</v>
      </c>
      <c r="P135" s="56">
        <f>O135*'Расчет субсидий'!U135</f>
        <v>-1.2727272727272732</v>
      </c>
      <c r="Q135" s="57">
        <f t="shared" si="38"/>
        <v>-1.956188095689285</v>
      </c>
      <c r="R135" s="56">
        <f>'Расчет субсидий'!X135-1</f>
        <v>-0.1333333333333333</v>
      </c>
      <c r="S135" s="56">
        <f>R135*'Расчет субсидий'!Y135</f>
        <v>-1.9999999999999996</v>
      </c>
      <c r="T135" s="57">
        <f t="shared" si="39"/>
        <v>-3.074009864654589</v>
      </c>
      <c r="U135" s="56">
        <f t="shared" si="31"/>
        <v>-20.009399324423558</v>
      </c>
    </row>
    <row r="136" spans="1:21" ht="15" customHeight="1">
      <c r="A136" s="34" t="s">
        <v>135</v>
      </c>
      <c r="B136" s="54">
        <f>'Расчет субсидий'!AD136</f>
        <v>-6.8818181818181898</v>
      </c>
      <c r="C136" s="56">
        <f>'Расчет субсидий'!D136-1</f>
        <v>-1.6359918200409052E-2</v>
      </c>
      <c r="D136" s="56">
        <f>C136*'Расчет субсидий'!E136</f>
        <v>-0.16359918200409052</v>
      </c>
      <c r="E136" s="57">
        <f t="shared" si="36"/>
        <v>-0.13639614564570168</v>
      </c>
      <c r="F136" s="28" t="s">
        <v>375</v>
      </c>
      <c r="G136" s="28" t="s">
        <v>375</v>
      </c>
      <c r="H136" s="28" t="s">
        <v>375</v>
      </c>
      <c r="I136" s="28" t="s">
        <v>375</v>
      </c>
      <c r="J136" s="28" t="s">
        <v>375</v>
      </c>
      <c r="K136" s="28" t="s">
        <v>375</v>
      </c>
      <c r="L136" s="56">
        <f>'Расчет субсидий'!P136-1</f>
        <v>-0.3262897914379802</v>
      </c>
      <c r="M136" s="56">
        <f>L136*'Расчет субсидий'!Q136</f>
        <v>-6.5257958287596036</v>
      </c>
      <c r="N136" s="57">
        <f t="shared" si="37"/>
        <v>-5.4406958971919082</v>
      </c>
      <c r="O136" s="56">
        <f>'Расчет субсидий'!T136-1</f>
        <v>-0.14137931034482765</v>
      </c>
      <c r="P136" s="56">
        <f>O136*'Расчет субсидий'!U136</f>
        <v>-4.948275862068968</v>
      </c>
      <c r="Q136" s="57">
        <f t="shared" si="38"/>
        <v>-4.1254836785247111</v>
      </c>
      <c r="R136" s="56">
        <f>'Расчет субсидий'!X136-1</f>
        <v>0.22555555555555551</v>
      </c>
      <c r="S136" s="56">
        <f>R136*'Расчет субсидий'!Y136</f>
        <v>3.3833333333333329</v>
      </c>
      <c r="T136" s="57">
        <f t="shared" si="39"/>
        <v>2.8207575395441298</v>
      </c>
      <c r="U136" s="56">
        <f t="shared" si="31"/>
        <v>-8.2543375394993284</v>
      </c>
    </row>
    <row r="137" spans="1:21" ht="15" customHeight="1">
      <c r="A137" s="34" t="s">
        <v>136</v>
      </c>
      <c r="B137" s="54">
        <f>'Расчет субсидий'!AD137</f>
        <v>4.1999999999999886</v>
      </c>
      <c r="C137" s="56">
        <f>'Расчет субсидий'!D137-1</f>
        <v>-1</v>
      </c>
      <c r="D137" s="56">
        <f>C137*'Расчет субсидий'!E137</f>
        <v>0</v>
      </c>
      <c r="E137" s="57">
        <f t="shared" si="36"/>
        <v>0</v>
      </c>
      <c r="F137" s="28" t="s">
        <v>375</v>
      </c>
      <c r="G137" s="28" t="s">
        <v>375</v>
      </c>
      <c r="H137" s="28" t="s">
        <v>375</v>
      </c>
      <c r="I137" s="28" t="s">
        <v>375</v>
      </c>
      <c r="J137" s="28" t="s">
        <v>375</v>
      </c>
      <c r="K137" s="28" t="s">
        <v>375</v>
      </c>
      <c r="L137" s="56">
        <f>'Расчет субсидий'!P137-1</f>
        <v>6.5345949142519233E-2</v>
      </c>
      <c r="M137" s="56">
        <f>L137*'Расчет субсидий'!Q137</f>
        <v>1.3069189828503847</v>
      </c>
      <c r="N137" s="57">
        <f t="shared" si="37"/>
        <v>3.1787636341284191</v>
      </c>
      <c r="O137" s="56">
        <f>'Расчет субсидий'!T137-1</f>
        <v>1.2820512820512775E-3</v>
      </c>
      <c r="P137" s="56">
        <f>O137*'Расчет субсидий'!U137</f>
        <v>4.4871794871794712E-2</v>
      </c>
      <c r="Q137" s="57">
        <f t="shared" si="38"/>
        <v>0.10913976429161724</v>
      </c>
      <c r="R137" s="56">
        <f>'Расчет субсидий'!X137-1</f>
        <v>2.5000000000000133E-2</v>
      </c>
      <c r="S137" s="56">
        <f>R137*'Расчет субсидий'!Y137</f>
        <v>0.375000000000002</v>
      </c>
      <c r="T137" s="57">
        <f t="shared" si="39"/>
        <v>0.9120966015799522</v>
      </c>
      <c r="U137" s="56">
        <f t="shared" si="31"/>
        <v>1.7267907777221814</v>
      </c>
    </row>
    <row r="138" spans="1:21" ht="15" customHeight="1">
      <c r="A138" s="34" t="s">
        <v>137</v>
      </c>
      <c r="B138" s="54">
        <f>'Расчет субсидий'!AD138</f>
        <v>-6.1181818181818182</v>
      </c>
      <c r="C138" s="56">
        <f>'Расчет субсидий'!D138-1</f>
        <v>-1</v>
      </c>
      <c r="D138" s="56">
        <f>C138*'Расчет субсидий'!E138</f>
        <v>0</v>
      </c>
      <c r="E138" s="57">
        <f t="shared" si="36"/>
        <v>0</v>
      </c>
      <c r="F138" s="28" t="s">
        <v>375</v>
      </c>
      <c r="G138" s="28" t="s">
        <v>375</v>
      </c>
      <c r="H138" s="28" t="s">
        <v>375</v>
      </c>
      <c r="I138" s="28" t="s">
        <v>375</v>
      </c>
      <c r="J138" s="28" t="s">
        <v>375</v>
      </c>
      <c r="K138" s="28" t="s">
        <v>375</v>
      </c>
      <c r="L138" s="56">
        <f>'Расчет субсидий'!P138-1</f>
        <v>-0.62746625129802691</v>
      </c>
      <c r="M138" s="56">
        <f>L138*'Расчет субсидий'!Q138</f>
        <v>-12.549325025960538</v>
      </c>
      <c r="N138" s="57">
        <f t="shared" si="37"/>
        <v>-1.2274960948406617</v>
      </c>
      <c r="O138" s="56">
        <f>'Расчет субсидий'!T138-1</f>
        <v>-1</v>
      </c>
      <c r="P138" s="56">
        <f>O138*'Расчет субсидий'!U138</f>
        <v>-25</v>
      </c>
      <c r="Q138" s="57">
        <f t="shared" si="38"/>
        <v>-2.4453428616705781</v>
      </c>
      <c r="R138" s="56">
        <f>'Расчет субсидий'!X138-1</f>
        <v>-1</v>
      </c>
      <c r="S138" s="56">
        <f>R138*'Расчет субсидий'!Y138</f>
        <v>-25</v>
      </c>
      <c r="T138" s="57">
        <f t="shared" si="39"/>
        <v>-2.4453428616705781</v>
      </c>
      <c r="U138" s="56">
        <f t="shared" si="31"/>
        <v>-62.549325025960542</v>
      </c>
    </row>
    <row r="139" spans="1:21" ht="15" customHeight="1">
      <c r="A139" s="33" t="s">
        <v>138</v>
      </c>
      <c r="B139" s="58"/>
      <c r="C139" s="59"/>
      <c r="D139" s="59"/>
      <c r="E139" s="60"/>
      <c r="F139" s="59"/>
      <c r="G139" s="59"/>
      <c r="H139" s="60"/>
      <c r="I139" s="60"/>
      <c r="J139" s="60"/>
      <c r="K139" s="60"/>
      <c r="L139" s="59"/>
      <c r="M139" s="59"/>
      <c r="N139" s="60"/>
      <c r="O139" s="59"/>
      <c r="P139" s="59"/>
      <c r="Q139" s="60"/>
      <c r="R139" s="59"/>
      <c r="S139" s="59"/>
      <c r="T139" s="60"/>
      <c r="U139" s="60"/>
    </row>
    <row r="140" spans="1:21" ht="15" customHeight="1">
      <c r="A140" s="34" t="s">
        <v>139</v>
      </c>
      <c r="B140" s="54">
        <f>'Расчет субсидий'!AD140</f>
        <v>-50.154545454545456</v>
      </c>
      <c r="C140" s="56">
        <f>'Расчет субсидий'!D140-1</f>
        <v>-1</v>
      </c>
      <c r="D140" s="56">
        <f>C140*'Расчет субсидий'!E140</f>
        <v>0</v>
      </c>
      <c r="E140" s="57">
        <f t="shared" ref="E140:E145" si="40">$B140*D140/$U140</f>
        <v>0</v>
      </c>
      <c r="F140" s="28" t="s">
        <v>375</v>
      </c>
      <c r="G140" s="28" t="s">
        <v>375</v>
      </c>
      <c r="H140" s="28" t="s">
        <v>375</v>
      </c>
      <c r="I140" s="28" t="s">
        <v>375</v>
      </c>
      <c r="J140" s="28" t="s">
        <v>375</v>
      </c>
      <c r="K140" s="28" t="s">
        <v>375</v>
      </c>
      <c r="L140" s="56">
        <f>'Расчет субсидий'!P140-1</f>
        <v>-0.96746359877763799</v>
      </c>
      <c r="M140" s="56">
        <f>L140*'Расчет субсидий'!Q140</f>
        <v>-19.34927197555276</v>
      </c>
      <c r="N140" s="57">
        <f t="shared" ref="N140:N145" si="41">$B140*M140/$U140</f>
        <v>-61.761573342208159</v>
      </c>
      <c r="O140" s="56">
        <f>'Расчет субсидий'!T140-1</f>
        <v>0</v>
      </c>
      <c r="P140" s="56">
        <f>O140*'Расчет субсидий'!U140</f>
        <v>0</v>
      </c>
      <c r="Q140" s="57">
        <f t="shared" ref="Q140:Q145" si="42">$B140*P140/$U140</f>
        <v>0</v>
      </c>
      <c r="R140" s="56">
        <f>'Расчет субсидий'!X140-1</f>
        <v>0.18181818181818166</v>
      </c>
      <c r="S140" s="56">
        <f>R140*'Расчет субсидий'!Y140</f>
        <v>3.6363636363636331</v>
      </c>
      <c r="T140" s="57">
        <f t="shared" ref="T140:T145" si="43">$B140*S140/$U140</f>
        <v>11.607027887662703</v>
      </c>
      <c r="U140" s="56">
        <f>D140+M140+P140+S140</f>
        <v>-15.712908339189127</v>
      </c>
    </row>
    <row r="141" spans="1:21" ht="15" customHeight="1">
      <c r="A141" s="34" t="s">
        <v>140</v>
      </c>
      <c r="B141" s="54">
        <f>'Расчет субсидий'!AD141</f>
        <v>48.818181818181813</v>
      </c>
      <c r="C141" s="56">
        <f>'Расчет субсидий'!D141-1</f>
        <v>-1</v>
      </c>
      <c r="D141" s="56">
        <f>C141*'Расчет субсидий'!E141</f>
        <v>0</v>
      </c>
      <c r="E141" s="57">
        <f t="shared" si="40"/>
        <v>0</v>
      </c>
      <c r="F141" s="28" t="s">
        <v>375</v>
      </c>
      <c r="G141" s="28" t="s">
        <v>375</v>
      </c>
      <c r="H141" s="28" t="s">
        <v>375</v>
      </c>
      <c r="I141" s="28" t="s">
        <v>375</v>
      </c>
      <c r="J141" s="28" t="s">
        <v>375</v>
      </c>
      <c r="K141" s="28" t="s">
        <v>375</v>
      </c>
      <c r="L141" s="56">
        <f>'Расчет субсидий'!P141-1</f>
        <v>7.7821011673151697E-2</v>
      </c>
      <c r="M141" s="56">
        <f>L141*'Расчет субсидий'!Q141</f>
        <v>1.5564202334630339</v>
      </c>
      <c r="N141" s="57">
        <f t="shared" si="41"/>
        <v>6.3021696715419431</v>
      </c>
      <c r="O141" s="56">
        <f>'Расчет субсидий'!T141-1</f>
        <v>0.30000000000000004</v>
      </c>
      <c r="P141" s="56">
        <f>O141*'Расчет субсидий'!U141</f>
        <v>10.500000000000002</v>
      </c>
      <c r="Q141" s="57">
        <f t="shared" si="42"/>
        <v>42.516012146639866</v>
      </c>
      <c r="R141" s="56">
        <f>'Расчет субсидий'!X141-1</f>
        <v>0</v>
      </c>
      <c r="S141" s="56">
        <f>R141*'Расчет субсидий'!Y141</f>
        <v>0</v>
      </c>
      <c r="T141" s="57">
        <f t="shared" si="43"/>
        <v>0</v>
      </c>
      <c r="U141" s="56">
        <f t="shared" si="31"/>
        <v>12.056420233463037</v>
      </c>
    </row>
    <row r="142" spans="1:21" ht="15" customHeight="1">
      <c r="A142" s="34" t="s">
        <v>141</v>
      </c>
      <c r="B142" s="54">
        <f>'Расчет субсидий'!AD142</f>
        <v>-25.736363636363649</v>
      </c>
      <c r="C142" s="56">
        <f>'Расчет субсидий'!D142-1</f>
        <v>-1</v>
      </c>
      <c r="D142" s="56">
        <f>C142*'Расчет субсидий'!E142</f>
        <v>0</v>
      </c>
      <c r="E142" s="57">
        <f t="shared" si="40"/>
        <v>0</v>
      </c>
      <c r="F142" s="28" t="s">
        <v>375</v>
      </c>
      <c r="G142" s="28" t="s">
        <v>375</v>
      </c>
      <c r="H142" s="28" t="s">
        <v>375</v>
      </c>
      <c r="I142" s="28" t="s">
        <v>375</v>
      </c>
      <c r="J142" s="28" t="s">
        <v>375</v>
      </c>
      <c r="K142" s="28" t="s">
        <v>375</v>
      </c>
      <c r="L142" s="56">
        <f>'Расчет субсидий'!P142-1</f>
        <v>-0.64324324324324333</v>
      </c>
      <c r="M142" s="56">
        <f>L142*'Расчет субсидий'!Q142</f>
        <v>-12.864864864864867</v>
      </c>
      <c r="N142" s="57">
        <f t="shared" si="41"/>
        <v>-82.235985668727167</v>
      </c>
      <c r="O142" s="56">
        <f>'Расчет субсидий'!T142-1</f>
        <v>0.16129032258064524</v>
      </c>
      <c r="P142" s="56">
        <f>O142*'Расчет субсидий'!U142</f>
        <v>4.8387096774193576</v>
      </c>
      <c r="Q142" s="57">
        <f t="shared" si="42"/>
        <v>30.930450017717266</v>
      </c>
      <c r="R142" s="56">
        <f>'Расчет субсидий'!X142-1</f>
        <v>0.19999999999999996</v>
      </c>
      <c r="S142" s="56">
        <f>R142*'Расчет субсидий'!Y142</f>
        <v>3.9999999999999991</v>
      </c>
      <c r="T142" s="57">
        <f t="shared" si="43"/>
        <v>25.569172014646252</v>
      </c>
      <c r="U142" s="56">
        <f t="shared" si="31"/>
        <v>-4.0261551874455099</v>
      </c>
    </row>
    <row r="143" spans="1:21" ht="15" customHeight="1">
      <c r="A143" s="34" t="s">
        <v>142</v>
      </c>
      <c r="B143" s="54">
        <f>'Расчет субсидий'!AD143</f>
        <v>-22.109090909090924</v>
      </c>
      <c r="C143" s="56">
        <f>'Расчет субсидий'!D143-1</f>
        <v>5.0168010752688286E-2</v>
      </c>
      <c r="D143" s="56">
        <f>C143*'Расчет субсидий'!E143</f>
        <v>0.50168010752688286</v>
      </c>
      <c r="E143" s="57">
        <f t="shared" si="40"/>
        <v>3.0412938085967185</v>
      </c>
      <c r="F143" s="28" t="s">
        <v>375</v>
      </c>
      <c r="G143" s="28" t="s">
        <v>375</v>
      </c>
      <c r="H143" s="28" t="s">
        <v>375</v>
      </c>
      <c r="I143" s="28" t="s">
        <v>375</v>
      </c>
      <c r="J143" s="28" t="s">
        <v>375</v>
      </c>
      <c r="K143" s="28" t="s">
        <v>375</v>
      </c>
      <c r="L143" s="56">
        <f>'Расчет субсидий'!P143-1</f>
        <v>-0.41343552750225432</v>
      </c>
      <c r="M143" s="56">
        <f>L143*'Расчет субсидий'!Q143</f>
        <v>-8.2687105500450855</v>
      </c>
      <c r="N143" s="57">
        <f t="shared" si="41"/>
        <v>-50.126719843247791</v>
      </c>
      <c r="O143" s="56">
        <f>'Расчет субсидий'!T143-1</f>
        <v>0.20599999999999996</v>
      </c>
      <c r="P143" s="56">
        <f>O143*'Расчет субсидий'!U143</f>
        <v>4.1199999999999992</v>
      </c>
      <c r="Q143" s="57">
        <f t="shared" si="42"/>
        <v>24.976335125560151</v>
      </c>
      <c r="R143" s="56">
        <f>'Расчет субсидий'!X143-1</f>
        <v>0</v>
      </c>
      <c r="S143" s="56">
        <f>R143*'Расчет субсидий'!Y143</f>
        <v>0</v>
      </c>
      <c r="T143" s="57">
        <f t="shared" si="43"/>
        <v>0</v>
      </c>
      <c r="U143" s="56">
        <f t="shared" si="31"/>
        <v>-3.6470304425182034</v>
      </c>
    </row>
    <row r="144" spans="1:21" ht="15" customHeight="1">
      <c r="A144" s="34" t="s">
        <v>143</v>
      </c>
      <c r="B144" s="54">
        <f>'Расчет субсидий'!AD144</f>
        <v>-19</v>
      </c>
      <c r="C144" s="56">
        <f>'Расчет субсидий'!D144-1</f>
        <v>-0.32710280373831779</v>
      </c>
      <c r="D144" s="56">
        <f>C144*'Расчет субсидий'!E144</f>
        <v>-3.2710280373831777</v>
      </c>
      <c r="E144" s="57">
        <f t="shared" si="40"/>
        <v>-5.0218490620296521</v>
      </c>
      <c r="F144" s="28" t="s">
        <v>375</v>
      </c>
      <c r="G144" s="28" t="s">
        <v>375</v>
      </c>
      <c r="H144" s="28" t="s">
        <v>375</v>
      </c>
      <c r="I144" s="28" t="s">
        <v>375</v>
      </c>
      <c r="J144" s="28" t="s">
        <v>375</v>
      </c>
      <c r="K144" s="28" t="s">
        <v>375</v>
      </c>
      <c r="L144" s="56">
        <f>'Расчет субсидий'!P144-1</f>
        <v>-0.67523992322456816</v>
      </c>
      <c r="M144" s="56">
        <f>L144*'Расчет субсидий'!Q144</f>
        <v>-13.504798464491364</v>
      </c>
      <c r="N144" s="57">
        <f t="shared" si="41"/>
        <v>-20.73325533340909</v>
      </c>
      <c r="O144" s="56">
        <f>'Расчет субсидий'!T144-1</f>
        <v>0</v>
      </c>
      <c r="P144" s="56">
        <f>O144*'Расчет субсидий'!U144</f>
        <v>0</v>
      </c>
      <c r="Q144" s="57">
        <f t="shared" si="42"/>
        <v>0</v>
      </c>
      <c r="R144" s="56">
        <f>'Расчет субсидий'!X144-1</f>
        <v>0.21999999999999997</v>
      </c>
      <c r="S144" s="56">
        <f>R144*'Расчет субсидий'!Y144</f>
        <v>4.3999999999999995</v>
      </c>
      <c r="T144" s="57">
        <f t="shared" si="43"/>
        <v>6.7551043954387424</v>
      </c>
      <c r="U144" s="56">
        <f t="shared" si="31"/>
        <v>-12.375826501874542</v>
      </c>
    </row>
    <row r="145" spans="1:21" ht="15" customHeight="1">
      <c r="A145" s="34" t="s">
        <v>144</v>
      </c>
      <c r="B145" s="54">
        <f>'Расчет субсидий'!AD145</f>
        <v>-37.763636363636351</v>
      </c>
      <c r="C145" s="56">
        <f>'Расчет субсидий'!D145-1</f>
        <v>-1</v>
      </c>
      <c r="D145" s="56">
        <f>C145*'Расчет субсидий'!E145</f>
        <v>0</v>
      </c>
      <c r="E145" s="57">
        <f t="shared" si="40"/>
        <v>0</v>
      </c>
      <c r="F145" s="28" t="s">
        <v>375</v>
      </c>
      <c r="G145" s="28" t="s">
        <v>375</v>
      </c>
      <c r="H145" s="28" t="s">
        <v>375</v>
      </c>
      <c r="I145" s="28" t="s">
        <v>375</v>
      </c>
      <c r="J145" s="28" t="s">
        <v>375</v>
      </c>
      <c r="K145" s="28" t="s">
        <v>375</v>
      </c>
      <c r="L145" s="56">
        <f>'Расчет субсидий'!P145-1</f>
        <v>-0.56400000000000006</v>
      </c>
      <c r="M145" s="56">
        <f>L145*'Расчет субсидий'!Q145</f>
        <v>-11.280000000000001</v>
      </c>
      <c r="N145" s="57">
        <f t="shared" si="41"/>
        <v>-50.306916821000044</v>
      </c>
      <c r="O145" s="56">
        <f>'Расчет субсидий'!T145-1</f>
        <v>0</v>
      </c>
      <c r="P145" s="56">
        <f>O145*'Расчет субсидий'!U145</f>
        <v>0</v>
      </c>
      <c r="Q145" s="57">
        <f t="shared" si="42"/>
        <v>0</v>
      </c>
      <c r="R145" s="56">
        <f>'Расчет субсидий'!X145-1</f>
        <v>0.18749999999999978</v>
      </c>
      <c r="S145" s="56">
        <f>R145*'Расчет субсидий'!Y145</f>
        <v>2.8124999999999964</v>
      </c>
      <c r="T145" s="57">
        <f t="shared" si="43"/>
        <v>12.543280457363691</v>
      </c>
      <c r="U145" s="56">
        <f t="shared" si="31"/>
        <v>-8.4675000000000047</v>
      </c>
    </row>
    <row r="146" spans="1:21" ht="15" customHeight="1">
      <c r="A146" s="33" t="s">
        <v>145</v>
      </c>
      <c r="B146" s="58"/>
      <c r="C146" s="59"/>
      <c r="D146" s="59"/>
      <c r="E146" s="60"/>
      <c r="F146" s="59"/>
      <c r="G146" s="59"/>
      <c r="H146" s="60"/>
      <c r="I146" s="60"/>
      <c r="J146" s="60"/>
      <c r="K146" s="60"/>
      <c r="L146" s="59"/>
      <c r="M146" s="59"/>
      <c r="N146" s="60"/>
      <c r="O146" s="59"/>
      <c r="P146" s="59"/>
      <c r="Q146" s="60"/>
      <c r="R146" s="59"/>
      <c r="S146" s="59"/>
      <c r="T146" s="60"/>
      <c r="U146" s="60"/>
    </row>
    <row r="147" spans="1:21" ht="15" customHeight="1">
      <c r="A147" s="34" t="s">
        <v>146</v>
      </c>
      <c r="B147" s="54">
        <f>'Расчет субсидий'!AD147</f>
        <v>23.163636363636385</v>
      </c>
      <c r="C147" s="56">
        <f>'Расчет субсидий'!D147-1</f>
        <v>0.14633620689655169</v>
      </c>
      <c r="D147" s="56">
        <f>C147*'Расчет субсидий'!E147</f>
        <v>1.4633620689655169</v>
      </c>
      <c r="E147" s="57">
        <f t="shared" ref="E147:E158" si="44">$B147*D147/$U147</f>
        <v>3.8748109650276992</v>
      </c>
      <c r="F147" s="28" t="s">
        <v>375</v>
      </c>
      <c r="G147" s="28" t="s">
        <v>375</v>
      </c>
      <c r="H147" s="28" t="s">
        <v>375</v>
      </c>
      <c r="I147" s="28" t="s">
        <v>375</v>
      </c>
      <c r="J147" s="28" t="s">
        <v>375</v>
      </c>
      <c r="K147" s="28" t="s">
        <v>375</v>
      </c>
      <c r="L147" s="56">
        <f>'Расчет субсидий'!P147-1</f>
        <v>-0.21776887107548426</v>
      </c>
      <c r="M147" s="56">
        <f>L147*'Расчет субсидий'!Q147</f>
        <v>-4.3553774215096848</v>
      </c>
      <c r="N147" s="57">
        <f t="shared" ref="N147:N158" si="45">$B147*M147/$U147</f>
        <v>-11.532528106068787</v>
      </c>
      <c r="O147" s="56">
        <f>'Расчет субсидий'!T147-1</f>
        <v>0.28200000000000003</v>
      </c>
      <c r="P147" s="56">
        <f>O147*'Расчет субсидий'!U147</f>
        <v>5.6400000000000006</v>
      </c>
      <c r="Q147" s="57">
        <f t="shared" ref="Q147:Q158" si="46">$B147*P147/$U147</f>
        <v>14.934057883709707</v>
      </c>
      <c r="R147" s="56">
        <f>'Расчет субсидий'!X147-1</f>
        <v>0.19999999999999996</v>
      </c>
      <c r="S147" s="56">
        <f>R147*'Расчет субсидий'!Y147</f>
        <v>5.9999999999999982</v>
      </c>
      <c r="T147" s="57">
        <f t="shared" ref="T147:T158" si="47">$B147*S147/$U147</f>
        <v>15.88729562096777</v>
      </c>
      <c r="U147" s="56">
        <f t="shared" si="31"/>
        <v>8.74798464745583</v>
      </c>
    </row>
    <row r="148" spans="1:21" ht="15" customHeight="1">
      <c r="A148" s="34" t="s">
        <v>147</v>
      </c>
      <c r="B148" s="54">
        <f>'Расчет субсидий'!AD148</f>
        <v>-45.481818181818198</v>
      </c>
      <c r="C148" s="56">
        <f>'Расчет субсидий'!D148-1</f>
        <v>7.5892857142856318E-3</v>
      </c>
      <c r="D148" s="56">
        <f>C148*'Расчет субсидий'!E148</f>
        <v>7.5892857142856318E-2</v>
      </c>
      <c r="E148" s="57">
        <f t="shared" si="44"/>
        <v>0.23733767798096769</v>
      </c>
      <c r="F148" s="28" t="s">
        <v>375</v>
      </c>
      <c r="G148" s="28" t="s">
        <v>375</v>
      </c>
      <c r="H148" s="28" t="s">
        <v>375</v>
      </c>
      <c r="I148" s="28" t="s">
        <v>375</v>
      </c>
      <c r="J148" s="28" t="s">
        <v>375</v>
      </c>
      <c r="K148" s="28" t="s">
        <v>375</v>
      </c>
      <c r="L148" s="56">
        <f>'Расчет субсидий'!P148-1</f>
        <v>-0.73097482748566434</v>
      </c>
      <c r="M148" s="56">
        <f>L148*'Расчет субсидий'!Q148</f>
        <v>-14.619496549713286</v>
      </c>
      <c r="N148" s="57">
        <f t="shared" si="45"/>
        <v>-45.719155859799166</v>
      </c>
      <c r="O148" s="56">
        <f>'Расчет субсидий'!T148-1</f>
        <v>0</v>
      </c>
      <c r="P148" s="56">
        <f>O148*'Расчет субсидий'!U148</f>
        <v>0</v>
      </c>
      <c r="Q148" s="57">
        <f t="shared" si="46"/>
        <v>0</v>
      </c>
      <c r="R148" s="56">
        <f>'Расчет субсидий'!X148-1</f>
        <v>0</v>
      </c>
      <c r="S148" s="56">
        <f>R148*'Расчет субсидий'!Y148</f>
        <v>0</v>
      </c>
      <c r="T148" s="57">
        <f t="shared" si="47"/>
        <v>0</v>
      </c>
      <c r="U148" s="56">
        <f t="shared" si="31"/>
        <v>-14.54360369257043</v>
      </c>
    </row>
    <row r="149" spans="1:21" ht="15" customHeight="1">
      <c r="A149" s="34" t="s">
        <v>148</v>
      </c>
      <c r="B149" s="54">
        <f>'Расчет субсидий'!AD149</f>
        <v>3.9363636363636374</v>
      </c>
      <c r="C149" s="56">
        <f>'Расчет субсидий'!D149-1</f>
        <v>3.1884057971014457E-2</v>
      </c>
      <c r="D149" s="56">
        <f>C149*'Расчет субсидий'!E149</f>
        <v>0.31884057971014457</v>
      </c>
      <c r="E149" s="57">
        <f t="shared" si="44"/>
        <v>1.4417384308495254</v>
      </c>
      <c r="F149" s="28" t="s">
        <v>375</v>
      </c>
      <c r="G149" s="28" t="s">
        <v>375</v>
      </c>
      <c r="H149" s="28" t="s">
        <v>375</v>
      </c>
      <c r="I149" s="28" t="s">
        <v>375</v>
      </c>
      <c r="J149" s="28" t="s">
        <v>375</v>
      </c>
      <c r="K149" s="28" t="s">
        <v>375</v>
      </c>
      <c r="L149" s="56">
        <f>'Расчет субсидий'!P149-1</f>
        <v>-0.38028904753613091</v>
      </c>
      <c r="M149" s="56">
        <f>L149*'Расчет субсидий'!Q149</f>
        <v>-7.6057809507226182</v>
      </c>
      <c r="N149" s="57">
        <f t="shared" si="45"/>
        <v>-34.391941901651073</v>
      </c>
      <c r="O149" s="56">
        <f>'Расчет субсидий'!T149-1</f>
        <v>0.24431818181818166</v>
      </c>
      <c r="P149" s="56">
        <f>O149*'Расчет субсидий'!U149</f>
        <v>2.4431818181818166</v>
      </c>
      <c r="Q149" s="57">
        <f t="shared" si="46"/>
        <v>11.047618606225578</v>
      </c>
      <c r="R149" s="56">
        <f>'Расчет субсидий'!X149-1</f>
        <v>0.14285714285714302</v>
      </c>
      <c r="S149" s="56">
        <f>R149*'Расчет субсидий'!Y149</f>
        <v>5.7142857142857206</v>
      </c>
      <c r="T149" s="57">
        <f t="shared" si="47"/>
        <v>25.838948500939601</v>
      </c>
      <c r="U149" s="56">
        <f t="shared" si="31"/>
        <v>0.87052716145506359</v>
      </c>
    </row>
    <row r="150" spans="1:21" ht="15" customHeight="1">
      <c r="A150" s="34" t="s">
        <v>149</v>
      </c>
      <c r="B150" s="54">
        <f>'Расчет субсидий'!AD150</f>
        <v>3.9181818181818926</v>
      </c>
      <c r="C150" s="56">
        <f>'Расчет субсидий'!D150-1</f>
        <v>1.9949851120514062E-2</v>
      </c>
      <c r="D150" s="56">
        <f>C150*'Расчет субсидий'!E150</f>
        <v>0.19949851120514062</v>
      </c>
      <c r="E150" s="57">
        <f t="shared" si="44"/>
        <v>1.7416800752304629</v>
      </c>
      <c r="F150" s="28" t="s">
        <v>375</v>
      </c>
      <c r="G150" s="28" t="s">
        <v>375</v>
      </c>
      <c r="H150" s="28" t="s">
        <v>375</v>
      </c>
      <c r="I150" s="28" t="s">
        <v>375</v>
      </c>
      <c r="J150" s="28" t="s">
        <v>375</v>
      </c>
      <c r="K150" s="28" t="s">
        <v>375</v>
      </c>
      <c r="L150" s="56">
        <f>'Расчет субсидий'!P150-1</f>
        <v>-0.42368861607142849</v>
      </c>
      <c r="M150" s="56">
        <f>L150*'Расчет субсидий'!Q150</f>
        <v>-8.4737723214285694</v>
      </c>
      <c r="N150" s="57">
        <f t="shared" si="45"/>
        <v>-73.978499012935131</v>
      </c>
      <c r="O150" s="56">
        <f>'Расчет субсидий'!T150-1</f>
        <v>0.11999999999999988</v>
      </c>
      <c r="P150" s="56">
        <f>O150*'Расчет субсидий'!U150</f>
        <v>2.3999999999999977</v>
      </c>
      <c r="Q150" s="57">
        <f t="shared" si="46"/>
        <v>20.952698620667185</v>
      </c>
      <c r="R150" s="56">
        <f>'Расчет субсидий'!X150-1</f>
        <v>0.21076923076923082</v>
      </c>
      <c r="S150" s="56">
        <f>R150*'Расчет субсидий'!Y150</f>
        <v>6.3230769230769246</v>
      </c>
      <c r="T150" s="57">
        <f t="shared" si="47"/>
        <v>55.202302135219384</v>
      </c>
      <c r="U150" s="56">
        <f t="shared" si="31"/>
        <v>0.4488031128534935</v>
      </c>
    </row>
    <row r="151" spans="1:21" ht="15" customHeight="1">
      <c r="A151" s="34" t="s">
        <v>150</v>
      </c>
      <c r="B151" s="54">
        <f>'Расчет субсидий'!AD151</f>
        <v>-11.827272727272714</v>
      </c>
      <c r="C151" s="56">
        <f>'Расчет субсидий'!D151-1</f>
        <v>8.3941605839416011E-2</v>
      </c>
      <c r="D151" s="56">
        <f>C151*'Расчет субсидий'!E151</f>
        <v>0.83941605839416011</v>
      </c>
      <c r="E151" s="57">
        <f t="shared" si="44"/>
        <v>1.517195407626917</v>
      </c>
      <c r="F151" s="28" t="s">
        <v>375</v>
      </c>
      <c r="G151" s="28" t="s">
        <v>375</v>
      </c>
      <c r="H151" s="28" t="s">
        <v>375</v>
      </c>
      <c r="I151" s="28" t="s">
        <v>375</v>
      </c>
      <c r="J151" s="28" t="s">
        <v>375</v>
      </c>
      <c r="K151" s="28" t="s">
        <v>375</v>
      </c>
      <c r="L151" s="56">
        <f>'Расчет субсидий'!P151-1</f>
        <v>-0.81393944274440333</v>
      </c>
      <c r="M151" s="56">
        <f>L151*'Расчет субсидий'!Q151</f>
        <v>-16.278788854888067</v>
      </c>
      <c r="N151" s="57">
        <f t="shared" si="45"/>
        <v>-29.422958311773272</v>
      </c>
      <c r="O151" s="56">
        <f>'Расчет субсидий'!T151-1</f>
        <v>0.17916337805840565</v>
      </c>
      <c r="P151" s="56">
        <f>O151*'Расчет субсидий'!U151</f>
        <v>6.2707182320441976</v>
      </c>
      <c r="Q151" s="57">
        <f t="shared" si="46"/>
        <v>11.333956277153376</v>
      </c>
      <c r="R151" s="56">
        <f>'Расчет субсидий'!X151-1</f>
        <v>0.17500000000000004</v>
      </c>
      <c r="S151" s="56">
        <f>R151*'Расчет субсидий'!Y151</f>
        <v>2.6250000000000009</v>
      </c>
      <c r="T151" s="57">
        <f t="shared" si="47"/>
        <v>4.7445338997202651</v>
      </c>
      <c r="U151" s="56">
        <f t="shared" si="31"/>
        <v>-6.5436545644497075</v>
      </c>
    </row>
    <row r="152" spans="1:21" ht="15" customHeight="1">
      <c r="A152" s="34" t="s">
        <v>151</v>
      </c>
      <c r="B152" s="54">
        <f>'Расчет субсидий'!AD152</f>
        <v>20.336363636363643</v>
      </c>
      <c r="C152" s="56">
        <f>'Расчет субсидий'!D152-1</f>
        <v>-1</v>
      </c>
      <c r="D152" s="56">
        <f>C152*'Расчет субсидий'!E152</f>
        <v>0</v>
      </c>
      <c r="E152" s="57">
        <f t="shared" si="44"/>
        <v>0</v>
      </c>
      <c r="F152" s="28" t="s">
        <v>375</v>
      </c>
      <c r="G152" s="28" t="s">
        <v>375</v>
      </c>
      <c r="H152" s="28" t="s">
        <v>375</v>
      </c>
      <c r="I152" s="28" t="s">
        <v>375</v>
      </c>
      <c r="J152" s="28" t="s">
        <v>375</v>
      </c>
      <c r="K152" s="28" t="s">
        <v>375</v>
      </c>
      <c r="L152" s="56">
        <f>'Расчет субсидий'!P152-1</f>
        <v>0.25450752393980847</v>
      </c>
      <c r="M152" s="56">
        <f>L152*'Расчет субсидий'!Q152</f>
        <v>5.0901504787961693</v>
      </c>
      <c r="N152" s="57">
        <f t="shared" si="45"/>
        <v>6.4881735617517666</v>
      </c>
      <c r="O152" s="56">
        <f>'Расчет субсидий'!T152-1</f>
        <v>0.30000000000000004</v>
      </c>
      <c r="P152" s="56">
        <f>O152*'Расчет субсидий'!U152</f>
        <v>1.5000000000000002</v>
      </c>
      <c r="Q152" s="57">
        <f t="shared" si="46"/>
        <v>1.911978905764953</v>
      </c>
      <c r="R152" s="56">
        <f>'Расчет субсидий'!X152-1</f>
        <v>0.20809523809523811</v>
      </c>
      <c r="S152" s="56">
        <f>R152*'Расчет субсидий'!Y152</f>
        <v>9.3642857142857157</v>
      </c>
      <c r="T152" s="57">
        <f t="shared" si="47"/>
        <v>11.936211168846921</v>
      </c>
      <c r="U152" s="56">
        <f t="shared" si="31"/>
        <v>15.954436193081886</v>
      </c>
    </row>
    <row r="153" spans="1:21" ht="15" customHeight="1">
      <c r="A153" s="34" t="s">
        <v>152</v>
      </c>
      <c r="B153" s="54">
        <f>'Расчет субсидий'!AD153</f>
        <v>30.890909090909076</v>
      </c>
      <c r="C153" s="56">
        <f>'Расчет субсидий'!D153-1</f>
        <v>9.5311987760900552E-2</v>
      </c>
      <c r="D153" s="56">
        <f>C153*'Расчет субсидий'!E153</f>
        <v>0.95311987760900552</v>
      </c>
      <c r="E153" s="57">
        <f t="shared" si="44"/>
        <v>5.1275488997238829</v>
      </c>
      <c r="F153" s="28" t="s">
        <v>375</v>
      </c>
      <c r="G153" s="28" t="s">
        <v>375</v>
      </c>
      <c r="H153" s="28" t="s">
        <v>375</v>
      </c>
      <c r="I153" s="28" t="s">
        <v>375</v>
      </c>
      <c r="J153" s="28" t="s">
        <v>375</v>
      </c>
      <c r="K153" s="28" t="s">
        <v>375</v>
      </c>
      <c r="L153" s="56">
        <f>'Расчет субсидий'!P153-1</f>
        <v>-0.23930254476908575</v>
      </c>
      <c r="M153" s="56">
        <f>L153*'Расчет субсидий'!Q153</f>
        <v>-4.7860508953817149</v>
      </c>
      <c r="N153" s="57">
        <f t="shared" si="45"/>
        <v>-25.747768543239062</v>
      </c>
      <c r="O153" s="56">
        <f>'Расчет субсидий'!T153-1</f>
        <v>0</v>
      </c>
      <c r="P153" s="56">
        <f>O153*'Расчет субсидий'!U153</f>
        <v>0</v>
      </c>
      <c r="Q153" s="57">
        <f t="shared" si="46"/>
        <v>0</v>
      </c>
      <c r="R153" s="56">
        <f>'Расчет субсидий'!X153-1</f>
        <v>0.27357142857142858</v>
      </c>
      <c r="S153" s="56">
        <f>R153*'Расчет субсидий'!Y153</f>
        <v>9.5749999999999993</v>
      </c>
      <c r="T153" s="57">
        <f t="shared" si="47"/>
        <v>51.511128734424261</v>
      </c>
      <c r="U153" s="56">
        <f t="shared" si="31"/>
        <v>5.7420689822272895</v>
      </c>
    </row>
    <row r="154" spans="1:21" ht="15" customHeight="1">
      <c r="A154" s="34" t="s">
        <v>153</v>
      </c>
      <c r="B154" s="54">
        <f>'Расчет субсидий'!AD154</f>
        <v>-4.6545454545454561</v>
      </c>
      <c r="C154" s="56">
        <f>'Расчет субсидий'!D154-1</f>
        <v>5.0724637681159424E-2</v>
      </c>
      <c r="D154" s="56">
        <f>C154*'Расчет субсидий'!E154</f>
        <v>0.50724637681159424</v>
      </c>
      <c r="E154" s="57">
        <f t="shared" si="44"/>
        <v>0.79011769416670996</v>
      </c>
      <c r="F154" s="28" t="s">
        <v>375</v>
      </c>
      <c r="G154" s="28" t="s">
        <v>375</v>
      </c>
      <c r="H154" s="28" t="s">
        <v>375</v>
      </c>
      <c r="I154" s="28" t="s">
        <v>375</v>
      </c>
      <c r="J154" s="28" t="s">
        <v>375</v>
      </c>
      <c r="K154" s="28" t="s">
        <v>375</v>
      </c>
      <c r="L154" s="56">
        <f>'Расчет субсидий'!P154-1</f>
        <v>-0.74163116250760797</v>
      </c>
      <c r="M154" s="56">
        <f>L154*'Расчет субсидий'!Q154</f>
        <v>-14.83262325015216</v>
      </c>
      <c r="N154" s="57">
        <f t="shared" si="45"/>
        <v>-23.104192787968831</v>
      </c>
      <c r="O154" s="56">
        <f>'Расчет субсидий'!T154-1</f>
        <v>0.2265734265734265</v>
      </c>
      <c r="P154" s="56">
        <f>O154*'Расчет субсидий'!U154</f>
        <v>7.9300699300699273</v>
      </c>
      <c r="Q154" s="57">
        <f t="shared" si="46"/>
        <v>12.352357462091581</v>
      </c>
      <c r="R154" s="56">
        <f>'Расчет субсидий'!X154-1</f>
        <v>0.22714285714285709</v>
      </c>
      <c r="S154" s="56">
        <f>R154*'Расчет субсидий'!Y154</f>
        <v>3.4071428571428566</v>
      </c>
      <c r="T154" s="57">
        <f t="shared" si="47"/>
        <v>5.3071721771650857</v>
      </c>
      <c r="U154" s="56">
        <f t="shared" si="31"/>
        <v>-2.9881640861277825</v>
      </c>
    </row>
    <row r="155" spans="1:21" ht="15" customHeight="1">
      <c r="A155" s="34" t="s">
        <v>154</v>
      </c>
      <c r="B155" s="54">
        <f>'Расчет субсидий'!AD155</f>
        <v>-6.7454545454545496</v>
      </c>
      <c r="C155" s="56">
        <f>'Расчет субсидий'!D155-1</f>
        <v>-0.10061321826027714</v>
      </c>
      <c r="D155" s="56">
        <f>C155*'Расчет субсидий'!E155</f>
        <v>-1.0061321826027714</v>
      </c>
      <c r="E155" s="57">
        <f t="shared" si="44"/>
        <v>-3.9994633275136597</v>
      </c>
      <c r="F155" s="28" t="s">
        <v>375</v>
      </c>
      <c r="G155" s="28" t="s">
        <v>375</v>
      </c>
      <c r="H155" s="28" t="s">
        <v>375</v>
      </c>
      <c r="I155" s="28" t="s">
        <v>375</v>
      </c>
      <c r="J155" s="28" t="s">
        <v>375</v>
      </c>
      <c r="K155" s="28" t="s">
        <v>375</v>
      </c>
      <c r="L155" s="56">
        <f>'Расчет субсидий'!P155-1</f>
        <v>-0.63908546543277089</v>
      </c>
      <c r="M155" s="56">
        <f>L155*'Расчет субсидий'!Q155</f>
        <v>-12.781709308655419</v>
      </c>
      <c r="N155" s="57">
        <f t="shared" si="45"/>
        <v>-50.80841118774736</v>
      </c>
      <c r="O155" s="56">
        <f>'Расчет субсидий'!T155-1</f>
        <v>0.23454545454545439</v>
      </c>
      <c r="P155" s="56">
        <f>O155*'Расчет субсидий'!U155</f>
        <v>4.6909090909090878</v>
      </c>
      <c r="Q155" s="57">
        <f t="shared" si="46"/>
        <v>18.646773461970024</v>
      </c>
      <c r="R155" s="56">
        <f>'Расчет субсидий'!X155-1</f>
        <v>0.24666666666666659</v>
      </c>
      <c r="S155" s="56">
        <f>R155*'Расчет субсидий'!Y155</f>
        <v>7.3999999999999977</v>
      </c>
      <c r="T155" s="57">
        <f t="shared" si="47"/>
        <v>29.415646507836446</v>
      </c>
      <c r="U155" s="56">
        <f t="shared" si="31"/>
        <v>-1.6969324003491044</v>
      </c>
    </row>
    <row r="156" spans="1:21" ht="15" customHeight="1">
      <c r="A156" s="34" t="s">
        <v>155</v>
      </c>
      <c r="B156" s="54">
        <f>'Расчет субсидий'!AD156</f>
        <v>10.354545454545416</v>
      </c>
      <c r="C156" s="56">
        <f>'Расчет субсидий'!D156-1</f>
        <v>-1.851851851851849E-2</v>
      </c>
      <c r="D156" s="56">
        <f>C156*'Расчет субсидий'!E156</f>
        <v>-0.1851851851851849</v>
      </c>
      <c r="E156" s="57">
        <f t="shared" si="44"/>
        <v>-0.66248306545280244</v>
      </c>
      <c r="F156" s="28" t="s">
        <v>375</v>
      </c>
      <c r="G156" s="28" t="s">
        <v>375</v>
      </c>
      <c r="H156" s="28" t="s">
        <v>375</v>
      </c>
      <c r="I156" s="28" t="s">
        <v>375</v>
      </c>
      <c r="J156" s="28" t="s">
        <v>375</v>
      </c>
      <c r="K156" s="28" t="s">
        <v>375</v>
      </c>
      <c r="L156" s="56">
        <f>'Расчет субсидий'!P156-1</f>
        <v>-0.15822222222222215</v>
      </c>
      <c r="M156" s="56">
        <f>L156*'Расчет субсидий'!Q156</f>
        <v>-3.1644444444444431</v>
      </c>
      <c r="N156" s="57">
        <f t="shared" si="45"/>
        <v>-11.320510622457501</v>
      </c>
      <c r="O156" s="56">
        <f>'Расчет субсидий'!T156-1</f>
        <v>8.6923076923077103E-2</v>
      </c>
      <c r="P156" s="56">
        <f>O156*'Расчет субсидий'!U156</f>
        <v>2.6076923076923131</v>
      </c>
      <c r="Q156" s="57">
        <f t="shared" si="46"/>
        <v>9.3287807662915725</v>
      </c>
      <c r="R156" s="56">
        <f>'Расчет субсидий'!X156-1</f>
        <v>0.18181818181818188</v>
      </c>
      <c r="S156" s="56">
        <f>R156*'Расчет субсидий'!Y156</f>
        <v>3.6363636363636376</v>
      </c>
      <c r="T156" s="57">
        <f t="shared" si="47"/>
        <v>13.008758376164145</v>
      </c>
      <c r="U156" s="56">
        <f t="shared" si="31"/>
        <v>2.8944263144263229</v>
      </c>
    </row>
    <row r="157" spans="1:21" ht="15" customHeight="1">
      <c r="A157" s="34" t="s">
        <v>156</v>
      </c>
      <c r="B157" s="54">
        <f>'Расчет субсидий'!AD157</f>
        <v>-19.24545454545455</v>
      </c>
      <c r="C157" s="56">
        <f>'Расчет субсидий'!D157-1</f>
        <v>0.16098901098901108</v>
      </c>
      <c r="D157" s="56">
        <f>C157*'Расчет субсидий'!E157</f>
        <v>1.6098901098901108</v>
      </c>
      <c r="E157" s="57">
        <f t="shared" si="44"/>
        <v>6.4861871943984797</v>
      </c>
      <c r="F157" s="28" t="s">
        <v>375</v>
      </c>
      <c r="G157" s="28" t="s">
        <v>375</v>
      </c>
      <c r="H157" s="28" t="s">
        <v>375</v>
      </c>
      <c r="I157" s="28" t="s">
        <v>375</v>
      </c>
      <c r="J157" s="28" t="s">
        <v>375</v>
      </c>
      <c r="K157" s="28" t="s">
        <v>375</v>
      </c>
      <c r="L157" s="56">
        <f>'Расчет субсидий'!P157-1</f>
        <v>-0.31933333333333336</v>
      </c>
      <c r="M157" s="56">
        <f>L157*'Расчет субсидий'!Q157</f>
        <v>-6.3866666666666667</v>
      </c>
      <c r="N157" s="57">
        <f t="shared" si="45"/>
        <v>-25.731641739853032</v>
      </c>
      <c r="O157" s="56">
        <f>'Расчет субсидий'!T157-1</f>
        <v>0</v>
      </c>
      <c r="P157" s="56">
        <f>O157*'Расчет субсидий'!U157</f>
        <v>0</v>
      </c>
      <c r="Q157" s="57">
        <f t="shared" si="46"/>
        <v>0</v>
      </c>
      <c r="R157" s="56">
        <f>'Расчет субсидий'!X157-1</f>
        <v>0</v>
      </c>
      <c r="S157" s="56">
        <f>R157*'Расчет субсидий'!Y157</f>
        <v>0</v>
      </c>
      <c r="T157" s="57">
        <f t="shared" si="47"/>
        <v>0</v>
      </c>
      <c r="U157" s="56">
        <f t="shared" si="31"/>
        <v>-4.7767765567765554</v>
      </c>
    </row>
    <row r="158" spans="1:21" ht="15" customHeight="1">
      <c r="A158" s="34" t="s">
        <v>157</v>
      </c>
      <c r="B158" s="54">
        <f>'Расчет субсидий'!AD158</f>
        <v>-20.281818181818181</v>
      </c>
      <c r="C158" s="56">
        <f>'Расчет субсидий'!D158-1</f>
        <v>0.22158937156022973</v>
      </c>
      <c r="D158" s="56">
        <f>C158*'Расчет субсидий'!E158</f>
        <v>2.2158937156022973</v>
      </c>
      <c r="E158" s="57">
        <f t="shared" si="44"/>
        <v>3.4613359183669115</v>
      </c>
      <c r="F158" s="28" t="s">
        <v>375</v>
      </c>
      <c r="G158" s="28" t="s">
        <v>375</v>
      </c>
      <c r="H158" s="28" t="s">
        <v>375</v>
      </c>
      <c r="I158" s="28" t="s">
        <v>375</v>
      </c>
      <c r="J158" s="28" t="s">
        <v>375</v>
      </c>
      <c r="K158" s="28" t="s">
        <v>375</v>
      </c>
      <c r="L158" s="56">
        <f>'Расчет субсидий'!P158-1</f>
        <v>-1</v>
      </c>
      <c r="M158" s="56">
        <f>L158*'Расчет субсидий'!Q158</f>
        <v>-20</v>
      </c>
      <c r="N158" s="57">
        <f t="shared" si="45"/>
        <v>-31.240992237085646</v>
      </c>
      <c r="O158" s="56">
        <f>'Расчет субсидий'!T158-1</f>
        <v>0</v>
      </c>
      <c r="P158" s="56">
        <f>O158*'Расчет субсидий'!U158</f>
        <v>0</v>
      </c>
      <c r="Q158" s="57">
        <f t="shared" si="46"/>
        <v>0</v>
      </c>
      <c r="R158" s="56">
        <f>'Расчет субсидий'!X158-1</f>
        <v>0.15999999999999992</v>
      </c>
      <c r="S158" s="56">
        <f>R158*'Расчет субсидий'!Y158</f>
        <v>4.7999999999999972</v>
      </c>
      <c r="T158" s="57">
        <f t="shared" si="47"/>
        <v>7.4978381369005502</v>
      </c>
      <c r="U158" s="56">
        <f t="shared" si="31"/>
        <v>-12.984106284397704</v>
      </c>
    </row>
    <row r="159" spans="1:21" ht="15" customHeight="1">
      <c r="A159" s="33" t="s">
        <v>158</v>
      </c>
      <c r="B159" s="58"/>
      <c r="C159" s="59"/>
      <c r="D159" s="59"/>
      <c r="E159" s="60"/>
      <c r="F159" s="59"/>
      <c r="G159" s="59"/>
      <c r="H159" s="60"/>
      <c r="I159" s="60"/>
      <c r="J159" s="60"/>
      <c r="K159" s="60"/>
      <c r="L159" s="59"/>
      <c r="M159" s="59"/>
      <c r="N159" s="60"/>
      <c r="O159" s="59"/>
      <c r="P159" s="59"/>
      <c r="Q159" s="60"/>
      <c r="R159" s="59"/>
      <c r="S159" s="59"/>
      <c r="T159" s="60"/>
      <c r="U159" s="60"/>
    </row>
    <row r="160" spans="1:21" ht="15" customHeight="1">
      <c r="A160" s="34" t="s">
        <v>72</v>
      </c>
      <c r="B160" s="54">
        <f>'Расчет субсидий'!AD160</f>
        <v>13.836363636363615</v>
      </c>
      <c r="C160" s="56">
        <f>'Расчет субсидий'!D160-1</f>
        <v>-1</v>
      </c>
      <c r="D160" s="56">
        <f>C160*'Расчет субсидий'!E160</f>
        <v>0</v>
      </c>
      <c r="E160" s="57">
        <f t="shared" ref="E160:E172" si="48">$B160*D160/$U160</f>
        <v>0</v>
      </c>
      <c r="F160" s="28" t="s">
        <v>375</v>
      </c>
      <c r="G160" s="28" t="s">
        <v>375</v>
      </c>
      <c r="H160" s="28" t="s">
        <v>375</v>
      </c>
      <c r="I160" s="28" t="s">
        <v>375</v>
      </c>
      <c r="J160" s="28" t="s">
        <v>375</v>
      </c>
      <c r="K160" s="28" t="s">
        <v>375</v>
      </c>
      <c r="L160" s="56">
        <f>'Расчет субсидий'!P160-1</f>
        <v>0.2409574468085105</v>
      </c>
      <c r="M160" s="56">
        <f>L160*'Расчет субсидий'!Q160</f>
        <v>4.81914893617021</v>
      </c>
      <c r="N160" s="57">
        <f t="shared" ref="N160:N172" si="49">$B160*M160/$U160</f>
        <v>13.836363636363616</v>
      </c>
      <c r="O160" s="56">
        <f>'Расчет субсидий'!T160-1</f>
        <v>0</v>
      </c>
      <c r="P160" s="56">
        <f>O160*'Расчет субсидий'!U160</f>
        <v>0</v>
      </c>
      <c r="Q160" s="57">
        <f t="shared" ref="Q160:Q172" si="50">$B160*P160/$U160</f>
        <v>0</v>
      </c>
      <c r="R160" s="56">
        <f>'Расчет субсидий'!X160-1</f>
        <v>0</v>
      </c>
      <c r="S160" s="56">
        <f>R160*'Расчет субсидий'!Y160</f>
        <v>0</v>
      </c>
      <c r="T160" s="57">
        <f t="shared" ref="T160:T172" si="51">$B160*S160/$U160</f>
        <v>0</v>
      </c>
      <c r="U160" s="56">
        <f t="shared" si="31"/>
        <v>4.81914893617021</v>
      </c>
    </row>
    <row r="161" spans="1:21" ht="15" customHeight="1">
      <c r="A161" s="34" t="s">
        <v>159</v>
      </c>
      <c r="B161" s="54">
        <f>'Расчет субсидий'!AD161</f>
        <v>-8.3636363636363669</v>
      </c>
      <c r="C161" s="56">
        <f>'Расчет субсидий'!D161-1</f>
        <v>-1</v>
      </c>
      <c r="D161" s="56">
        <f>C161*'Расчет субсидий'!E161</f>
        <v>0</v>
      </c>
      <c r="E161" s="57">
        <f t="shared" si="48"/>
        <v>0</v>
      </c>
      <c r="F161" s="28" t="s">
        <v>375</v>
      </c>
      <c r="G161" s="28" t="s">
        <v>375</v>
      </c>
      <c r="H161" s="28" t="s">
        <v>375</v>
      </c>
      <c r="I161" s="28" t="s">
        <v>375</v>
      </c>
      <c r="J161" s="28" t="s">
        <v>375</v>
      </c>
      <c r="K161" s="28" t="s">
        <v>375</v>
      </c>
      <c r="L161" s="56">
        <f>'Расчет субсидий'!P161-1</f>
        <v>-0.46353988360150644</v>
      </c>
      <c r="M161" s="56">
        <f>L161*'Расчет субсидий'!Q161</f>
        <v>-9.2707976720301293</v>
      </c>
      <c r="N161" s="57">
        <f t="shared" si="49"/>
        <v>-8.3636363636363669</v>
      </c>
      <c r="O161" s="56">
        <f>'Расчет субсидий'!T161-1</f>
        <v>0</v>
      </c>
      <c r="P161" s="56">
        <f>O161*'Расчет субсидий'!U161</f>
        <v>0</v>
      </c>
      <c r="Q161" s="57">
        <f t="shared" si="50"/>
        <v>0</v>
      </c>
      <c r="R161" s="56">
        <f>'Расчет субсидий'!X161-1</f>
        <v>0</v>
      </c>
      <c r="S161" s="56">
        <f>R161*'Расчет субсидий'!Y161</f>
        <v>0</v>
      </c>
      <c r="T161" s="57">
        <f t="shared" si="51"/>
        <v>0</v>
      </c>
      <c r="U161" s="56">
        <f t="shared" si="31"/>
        <v>-9.2707976720301293</v>
      </c>
    </row>
    <row r="162" spans="1:21" ht="15" customHeight="1">
      <c r="A162" s="34" t="s">
        <v>160</v>
      </c>
      <c r="B162" s="54">
        <f>'Расчет субсидий'!AD162</f>
        <v>19.581818181818164</v>
      </c>
      <c r="C162" s="56">
        <f>'Расчет субсидий'!D162-1</f>
        <v>-1</v>
      </c>
      <c r="D162" s="56">
        <f>C162*'Расчет субсидий'!E162</f>
        <v>0</v>
      </c>
      <c r="E162" s="57">
        <f t="shared" si="48"/>
        <v>0</v>
      </c>
      <c r="F162" s="28" t="s">
        <v>375</v>
      </c>
      <c r="G162" s="28" t="s">
        <v>375</v>
      </c>
      <c r="H162" s="28" t="s">
        <v>375</v>
      </c>
      <c r="I162" s="28" t="s">
        <v>375</v>
      </c>
      <c r="J162" s="28" t="s">
        <v>375</v>
      </c>
      <c r="K162" s="28" t="s">
        <v>375</v>
      </c>
      <c r="L162" s="56">
        <f>'Расчет субсидий'!P162-1</f>
        <v>0.25004651162790692</v>
      </c>
      <c r="M162" s="56">
        <f>L162*'Расчет субсидий'!Q162</f>
        <v>5.0009302325581384</v>
      </c>
      <c r="N162" s="57">
        <f t="shared" si="49"/>
        <v>19.581818181818164</v>
      </c>
      <c r="O162" s="56">
        <f>'Расчет субсидий'!T162-1</f>
        <v>0</v>
      </c>
      <c r="P162" s="56">
        <f>O162*'Расчет субсидий'!U162</f>
        <v>0</v>
      </c>
      <c r="Q162" s="57">
        <f t="shared" si="50"/>
        <v>0</v>
      </c>
      <c r="R162" s="56">
        <f>'Расчет субсидий'!X162-1</f>
        <v>0</v>
      </c>
      <c r="S162" s="56">
        <f>R162*'Расчет субсидий'!Y162</f>
        <v>0</v>
      </c>
      <c r="T162" s="57">
        <f t="shared" si="51"/>
        <v>0</v>
      </c>
      <c r="U162" s="56">
        <f t="shared" si="31"/>
        <v>5.0009302325581384</v>
      </c>
    </row>
    <row r="163" spans="1:21" ht="15" customHeight="1">
      <c r="A163" s="34" t="s">
        <v>161</v>
      </c>
      <c r="B163" s="54">
        <f>'Расчет субсидий'!AD163</f>
        <v>12.218181818181819</v>
      </c>
      <c r="C163" s="56">
        <f>'Расчет субсидий'!D163-1</f>
        <v>-1</v>
      </c>
      <c r="D163" s="56">
        <f>C163*'Расчет субсидий'!E163</f>
        <v>0</v>
      </c>
      <c r="E163" s="57">
        <f t="shared" si="48"/>
        <v>0</v>
      </c>
      <c r="F163" s="28" t="s">
        <v>375</v>
      </c>
      <c r="G163" s="28" t="s">
        <v>375</v>
      </c>
      <c r="H163" s="28" t="s">
        <v>375</v>
      </c>
      <c r="I163" s="28" t="s">
        <v>375</v>
      </c>
      <c r="J163" s="28" t="s">
        <v>375</v>
      </c>
      <c r="K163" s="28" t="s">
        <v>375</v>
      </c>
      <c r="L163" s="56">
        <f>'Расчет субсидий'!P163-1</f>
        <v>0.28781805259417204</v>
      </c>
      <c r="M163" s="56">
        <f>L163*'Расчет субсидий'!Q163</f>
        <v>5.7563610518834407</v>
      </c>
      <c r="N163" s="57">
        <f t="shared" si="49"/>
        <v>12.218181818181817</v>
      </c>
      <c r="O163" s="56">
        <f>'Расчет субсидий'!T163-1</f>
        <v>0</v>
      </c>
      <c r="P163" s="56">
        <f>O163*'Расчет субсидий'!U163</f>
        <v>0</v>
      </c>
      <c r="Q163" s="57">
        <f t="shared" si="50"/>
        <v>0</v>
      </c>
      <c r="R163" s="56">
        <f>'Расчет субсидий'!X163-1</f>
        <v>0</v>
      </c>
      <c r="S163" s="56">
        <f>R163*'Расчет субсидий'!Y163</f>
        <v>0</v>
      </c>
      <c r="T163" s="57">
        <f t="shared" si="51"/>
        <v>0</v>
      </c>
      <c r="U163" s="56">
        <f t="shared" si="31"/>
        <v>5.7563610518834407</v>
      </c>
    </row>
    <row r="164" spans="1:21" ht="15" customHeight="1">
      <c r="A164" s="34" t="s">
        <v>162</v>
      </c>
      <c r="B164" s="54">
        <f>'Расчет субсидий'!AD164</f>
        <v>85.727272727272748</v>
      </c>
      <c r="C164" s="56">
        <f>'Расчет субсидий'!D164-1</f>
        <v>0.21252241355661683</v>
      </c>
      <c r="D164" s="56">
        <f>C164*'Расчет субсидий'!E164</f>
        <v>2.1252241355661683</v>
      </c>
      <c r="E164" s="57">
        <f t="shared" si="48"/>
        <v>10.533204158393094</v>
      </c>
      <c r="F164" s="28" t="s">
        <v>375</v>
      </c>
      <c r="G164" s="28" t="s">
        <v>375</v>
      </c>
      <c r="H164" s="28" t="s">
        <v>375</v>
      </c>
      <c r="I164" s="28" t="s">
        <v>375</v>
      </c>
      <c r="J164" s="28" t="s">
        <v>375</v>
      </c>
      <c r="K164" s="28" t="s">
        <v>375</v>
      </c>
      <c r="L164" s="56">
        <f>'Расчет субсидий'!P164-1</f>
        <v>0.24958097184799777</v>
      </c>
      <c r="M164" s="56">
        <f>L164*'Расчет субсидий'!Q164</f>
        <v>4.9916194369599554</v>
      </c>
      <c r="N164" s="57">
        <f t="shared" si="49"/>
        <v>24.739859542624416</v>
      </c>
      <c r="O164" s="56">
        <f>'Расчет субсидий'!T164-1</f>
        <v>0.10719424460431659</v>
      </c>
      <c r="P164" s="56">
        <f>O164*'Расчет субсидий'!U164</f>
        <v>2.6798561151079148</v>
      </c>
      <c r="Q164" s="57">
        <f t="shared" si="50"/>
        <v>13.282115097017725</v>
      </c>
      <c r="R164" s="56">
        <f>'Расчет субсидий'!X164-1</f>
        <v>0.30000000000000004</v>
      </c>
      <c r="S164" s="56">
        <f>R164*'Расчет субсидий'!Y164</f>
        <v>7.5000000000000009</v>
      </c>
      <c r="T164" s="57">
        <f t="shared" si="51"/>
        <v>37.172093929237519</v>
      </c>
      <c r="U164" s="56">
        <f t="shared" si="31"/>
        <v>17.296699687634039</v>
      </c>
    </row>
    <row r="165" spans="1:21" ht="15" customHeight="1">
      <c r="A165" s="34" t="s">
        <v>163</v>
      </c>
      <c r="B165" s="54">
        <f>'Расчет субсидий'!AD165</f>
        <v>26.800000000000011</v>
      </c>
      <c r="C165" s="56">
        <f>'Расчет субсидий'!D165-1</f>
        <v>-1</v>
      </c>
      <c r="D165" s="56">
        <f>C165*'Расчет субсидий'!E165</f>
        <v>0</v>
      </c>
      <c r="E165" s="57">
        <f t="shared" si="48"/>
        <v>0</v>
      </c>
      <c r="F165" s="28" t="s">
        <v>375</v>
      </c>
      <c r="G165" s="28" t="s">
        <v>375</v>
      </c>
      <c r="H165" s="28" t="s">
        <v>375</v>
      </c>
      <c r="I165" s="28" t="s">
        <v>375</v>
      </c>
      <c r="J165" s="28" t="s">
        <v>375</v>
      </c>
      <c r="K165" s="28" t="s">
        <v>375</v>
      </c>
      <c r="L165" s="56">
        <f>'Расчет субсидий'!P165-1</f>
        <v>4.4262295081967329E-2</v>
      </c>
      <c r="M165" s="56">
        <f>L165*'Расчет субсидий'!Q165</f>
        <v>0.88524590163934658</v>
      </c>
      <c r="N165" s="57">
        <f t="shared" si="49"/>
        <v>2.8293255131964883</v>
      </c>
      <c r="O165" s="56">
        <f>'Расчет субсидий'!T165-1</f>
        <v>0</v>
      </c>
      <c r="P165" s="56">
        <f>O165*'Расчет субсидий'!U165</f>
        <v>0</v>
      </c>
      <c r="Q165" s="57">
        <f t="shared" si="50"/>
        <v>0</v>
      </c>
      <c r="R165" s="56">
        <f>'Расчет субсидий'!X165-1</f>
        <v>0.30000000000000004</v>
      </c>
      <c r="S165" s="56">
        <f>R165*'Расчет субсидий'!Y165</f>
        <v>7.5000000000000009</v>
      </c>
      <c r="T165" s="57">
        <f t="shared" si="51"/>
        <v>23.970674486803524</v>
      </c>
      <c r="U165" s="56">
        <f t="shared" si="31"/>
        <v>8.3852459016393475</v>
      </c>
    </row>
    <row r="166" spans="1:21" ht="15" customHeight="1">
      <c r="A166" s="34" t="s">
        <v>164</v>
      </c>
      <c r="B166" s="54">
        <f>'Расчет субсидий'!AD166</f>
        <v>-79.554545454545462</v>
      </c>
      <c r="C166" s="56">
        <f>'Расчет субсидий'!D166-1</f>
        <v>-0.14205852674066588</v>
      </c>
      <c r="D166" s="56">
        <f>C166*'Расчет субсидий'!E166</f>
        <v>-1.4205852674066588</v>
      </c>
      <c r="E166" s="57">
        <f t="shared" si="48"/>
        <v>-8.6022158627802678</v>
      </c>
      <c r="F166" s="28" t="s">
        <v>375</v>
      </c>
      <c r="G166" s="28" t="s">
        <v>375</v>
      </c>
      <c r="H166" s="28" t="s">
        <v>375</v>
      </c>
      <c r="I166" s="28" t="s">
        <v>375</v>
      </c>
      <c r="J166" s="28" t="s">
        <v>375</v>
      </c>
      <c r="K166" s="28" t="s">
        <v>375</v>
      </c>
      <c r="L166" s="56">
        <f>'Расчет субсидий'!P166-1</f>
        <v>-0.58585971169564566</v>
      </c>
      <c r="M166" s="56">
        <f>L166*'Расчет субсидий'!Q166</f>
        <v>-11.717194233912913</v>
      </c>
      <c r="N166" s="57">
        <f t="shared" si="49"/>
        <v>-70.952329591765192</v>
      </c>
      <c r="O166" s="56">
        <f>'Расчет субсидий'!T166-1</f>
        <v>0</v>
      </c>
      <c r="P166" s="56">
        <f>O166*'Расчет субсидий'!U166</f>
        <v>0</v>
      </c>
      <c r="Q166" s="57">
        <f t="shared" si="50"/>
        <v>0</v>
      </c>
      <c r="R166" s="56">
        <f>'Расчет субсидий'!X166-1</f>
        <v>0</v>
      </c>
      <c r="S166" s="56">
        <f>R166*'Расчет субсидий'!Y166</f>
        <v>0</v>
      </c>
      <c r="T166" s="57">
        <f t="shared" si="51"/>
        <v>0</v>
      </c>
      <c r="U166" s="56">
        <f t="shared" si="31"/>
        <v>-13.137779501319573</v>
      </c>
    </row>
    <row r="167" spans="1:21" ht="15" customHeight="1">
      <c r="A167" s="34" t="s">
        <v>165</v>
      </c>
      <c r="B167" s="54">
        <f>'Расчет субсидий'!AD167</f>
        <v>8.6999999999999886</v>
      </c>
      <c r="C167" s="56">
        <f>'Расчет субсидий'!D167-1</f>
        <v>-1</v>
      </c>
      <c r="D167" s="56">
        <f>C167*'Расчет субсидий'!E167</f>
        <v>0</v>
      </c>
      <c r="E167" s="57">
        <f t="shared" si="48"/>
        <v>0</v>
      </c>
      <c r="F167" s="28" t="s">
        <v>375</v>
      </c>
      <c r="G167" s="28" t="s">
        <v>375</v>
      </c>
      <c r="H167" s="28" t="s">
        <v>375</v>
      </c>
      <c r="I167" s="28" t="s">
        <v>375</v>
      </c>
      <c r="J167" s="28" t="s">
        <v>375</v>
      </c>
      <c r="K167" s="28" t="s">
        <v>375</v>
      </c>
      <c r="L167" s="56">
        <f>'Расчет субсидий'!P167-1</f>
        <v>0.2161635220125786</v>
      </c>
      <c r="M167" s="56">
        <f>L167*'Расчет субсидий'!Q167</f>
        <v>4.323270440251572</v>
      </c>
      <c r="N167" s="57">
        <f t="shared" si="49"/>
        <v>8.6999999999999886</v>
      </c>
      <c r="O167" s="56">
        <f>'Расчет субсидий'!T167-1</f>
        <v>0</v>
      </c>
      <c r="P167" s="56">
        <f>O167*'Расчет субсидий'!U167</f>
        <v>0</v>
      </c>
      <c r="Q167" s="57">
        <f t="shared" si="50"/>
        <v>0</v>
      </c>
      <c r="R167" s="56">
        <f>'Расчет субсидий'!X167-1</f>
        <v>0</v>
      </c>
      <c r="S167" s="56">
        <f>R167*'Расчет субсидий'!Y167</f>
        <v>0</v>
      </c>
      <c r="T167" s="57">
        <f t="shared" si="51"/>
        <v>0</v>
      </c>
      <c r="U167" s="56">
        <f t="shared" si="31"/>
        <v>4.323270440251572</v>
      </c>
    </row>
    <row r="168" spans="1:21" ht="15" customHeight="1">
      <c r="A168" s="34" t="s">
        <v>166</v>
      </c>
      <c r="B168" s="54">
        <f>'Расчет субсидий'!AD168</f>
        <v>-4.5727272727272634</v>
      </c>
      <c r="C168" s="56">
        <f>'Расчет субсидий'!D168-1</f>
        <v>-1</v>
      </c>
      <c r="D168" s="56">
        <f>C168*'Расчет субсидий'!E168</f>
        <v>0</v>
      </c>
      <c r="E168" s="57">
        <f t="shared" si="48"/>
        <v>0</v>
      </c>
      <c r="F168" s="28" t="s">
        <v>375</v>
      </c>
      <c r="G168" s="28" t="s">
        <v>375</v>
      </c>
      <c r="H168" s="28" t="s">
        <v>375</v>
      </c>
      <c r="I168" s="28" t="s">
        <v>375</v>
      </c>
      <c r="J168" s="28" t="s">
        <v>375</v>
      </c>
      <c r="K168" s="28" t="s">
        <v>375</v>
      </c>
      <c r="L168" s="56">
        <f>'Расчет субсидий'!P168-1</f>
        <v>-0.16316171138506164</v>
      </c>
      <c r="M168" s="56">
        <f>L168*'Расчет субсидий'!Q168</f>
        <v>-3.2632342277012327</v>
      </c>
      <c r="N168" s="57">
        <f t="shared" si="49"/>
        <v>-4.5727272727272634</v>
      </c>
      <c r="O168" s="56">
        <f>'Расчет субсидий'!T168-1</f>
        <v>0</v>
      </c>
      <c r="P168" s="56">
        <f>O168*'Расчет субсидий'!U168</f>
        <v>0</v>
      </c>
      <c r="Q168" s="57">
        <f t="shared" si="50"/>
        <v>0</v>
      </c>
      <c r="R168" s="56">
        <f>'Расчет субсидий'!X168-1</f>
        <v>0</v>
      </c>
      <c r="S168" s="56">
        <f>R168*'Расчет субсидий'!Y168</f>
        <v>0</v>
      </c>
      <c r="T168" s="57">
        <f t="shared" si="51"/>
        <v>0</v>
      </c>
      <c r="U168" s="56">
        <f t="shared" si="31"/>
        <v>-3.2632342277012327</v>
      </c>
    </row>
    <row r="169" spans="1:21" ht="15" customHeight="1">
      <c r="A169" s="34" t="s">
        <v>100</v>
      </c>
      <c r="B169" s="54">
        <f>'Расчет субсидий'!AD169</f>
        <v>7.9909090909090423</v>
      </c>
      <c r="C169" s="56">
        <f>'Расчет субсидий'!D169-1</f>
        <v>-0.21540860885839053</v>
      </c>
      <c r="D169" s="56">
        <f>C169*'Расчет субсидий'!E169</f>
        <v>-2.154086088583905</v>
      </c>
      <c r="E169" s="57">
        <f t="shared" si="48"/>
        <v>-7.050992558752025</v>
      </c>
      <c r="F169" s="28" t="s">
        <v>375</v>
      </c>
      <c r="G169" s="28" t="s">
        <v>375</v>
      </c>
      <c r="H169" s="28" t="s">
        <v>375</v>
      </c>
      <c r="I169" s="28" t="s">
        <v>375</v>
      </c>
      <c r="J169" s="28" t="s">
        <v>375</v>
      </c>
      <c r="K169" s="28" t="s">
        <v>375</v>
      </c>
      <c r="L169" s="56">
        <f>'Расчет субсидий'!P169-1</f>
        <v>0.22976588628762529</v>
      </c>
      <c r="M169" s="56">
        <f>L169*'Расчет субсидий'!Q169</f>
        <v>4.5953177257525057</v>
      </c>
      <c r="N169" s="57">
        <f t="shared" si="49"/>
        <v>15.041901649661067</v>
      </c>
      <c r="O169" s="56">
        <f>'Расчет субсидий'!T169-1</f>
        <v>0</v>
      </c>
      <c r="P169" s="56">
        <f>O169*'Расчет субсидий'!U169</f>
        <v>0</v>
      </c>
      <c r="Q169" s="57">
        <f t="shared" si="50"/>
        <v>0</v>
      </c>
      <c r="R169" s="56">
        <f>'Расчет субсидий'!X169-1</f>
        <v>0</v>
      </c>
      <c r="S169" s="56">
        <f>R169*'Расчет субсидий'!Y169</f>
        <v>0</v>
      </c>
      <c r="T169" s="57">
        <f t="shared" si="51"/>
        <v>0</v>
      </c>
      <c r="U169" s="56">
        <f t="shared" si="31"/>
        <v>2.4412316371686007</v>
      </c>
    </row>
    <row r="170" spans="1:21" ht="15" customHeight="1">
      <c r="A170" s="34" t="s">
        <v>167</v>
      </c>
      <c r="B170" s="54">
        <f>'Расчет субсидий'!AD170</f>
        <v>63.772727272727252</v>
      </c>
      <c r="C170" s="56">
        <f>'Расчет субсидий'!D170-1</f>
        <v>0.24454030071481392</v>
      </c>
      <c r="D170" s="56">
        <f>C170*'Расчет субсидий'!E170</f>
        <v>2.4454030071481392</v>
      </c>
      <c r="E170" s="57">
        <f t="shared" si="48"/>
        <v>8.0873847169831894</v>
      </c>
      <c r="F170" s="28" t="s">
        <v>375</v>
      </c>
      <c r="G170" s="28" t="s">
        <v>375</v>
      </c>
      <c r="H170" s="28" t="s">
        <v>375</v>
      </c>
      <c r="I170" s="28" t="s">
        <v>375</v>
      </c>
      <c r="J170" s="28" t="s">
        <v>375</v>
      </c>
      <c r="K170" s="28" t="s">
        <v>375</v>
      </c>
      <c r="L170" s="56">
        <f>'Расчет субсидий'!P170-1</f>
        <v>0.28402324541797053</v>
      </c>
      <c r="M170" s="56">
        <f>L170*'Расчет субсидий'!Q170</f>
        <v>5.6804649083594105</v>
      </c>
      <c r="N170" s="57">
        <f t="shared" si="49"/>
        <v>18.786312501840406</v>
      </c>
      <c r="O170" s="56">
        <f>'Расчет субсидий'!T170-1</f>
        <v>1.0256410256410664E-3</v>
      </c>
      <c r="P170" s="56">
        <f>O170*'Расчет субсидий'!U170</f>
        <v>5.128205128205332E-3</v>
      </c>
      <c r="Q170" s="57">
        <f t="shared" si="50"/>
        <v>1.6959890724829799E-2</v>
      </c>
      <c r="R170" s="56">
        <f>'Расчет субсидий'!X170-1</f>
        <v>0.24782499999999996</v>
      </c>
      <c r="S170" s="56">
        <f>R170*'Расчет субсидий'!Y170</f>
        <v>11.152124999999998</v>
      </c>
      <c r="T170" s="57">
        <f t="shared" si="51"/>
        <v>36.882070163178817</v>
      </c>
      <c r="U170" s="56">
        <f t="shared" si="31"/>
        <v>19.283121120635755</v>
      </c>
    </row>
    <row r="171" spans="1:21" ht="15" customHeight="1">
      <c r="A171" s="34" t="s">
        <v>168</v>
      </c>
      <c r="B171" s="54">
        <f>'Расчет субсидий'!AD171</f>
        <v>-7.3181818181818699</v>
      </c>
      <c r="C171" s="56">
        <f>'Расчет субсидий'!D171-1</f>
        <v>-0.28674504655048938</v>
      </c>
      <c r="D171" s="56">
        <f>C171*'Расчет субсидий'!E171</f>
        <v>-2.867450465504894</v>
      </c>
      <c r="E171" s="57">
        <f t="shared" si="48"/>
        <v>-22.560083477110368</v>
      </c>
      <c r="F171" s="28" t="s">
        <v>375</v>
      </c>
      <c r="G171" s="28" t="s">
        <v>375</v>
      </c>
      <c r="H171" s="28" t="s">
        <v>375</v>
      </c>
      <c r="I171" s="28" t="s">
        <v>375</v>
      </c>
      <c r="J171" s="28" t="s">
        <v>375</v>
      </c>
      <c r="K171" s="28" t="s">
        <v>375</v>
      </c>
      <c r="L171" s="56">
        <f>'Расчет субсидий'!P171-1</f>
        <v>6.9864442127215876E-2</v>
      </c>
      <c r="M171" s="56">
        <f>L171*'Расчет субсидий'!Q171</f>
        <v>1.3972888425443175</v>
      </c>
      <c r="N171" s="57">
        <f t="shared" si="49"/>
        <v>10.993373140583351</v>
      </c>
      <c r="O171" s="56">
        <f>'Расчет субсидий'!T171-1</f>
        <v>1.2000000000000011E-2</v>
      </c>
      <c r="P171" s="56">
        <f>O171*'Расчет субсидий'!U171</f>
        <v>0.54000000000000048</v>
      </c>
      <c r="Q171" s="57">
        <f t="shared" si="50"/>
        <v>4.2485285183451467</v>
      </c>
      <c r="R171" s="56">
        <f>'Расчет субсидий'!X171-1</f>
        <v>0</v>
      </c>
      <c r="S171" s="56">
        <f>R171*'Расчет субсидий'!Y171</f>
        <v>0</v>
      </c>
      <c r="T171" s="57">
        <f t="shared" si="51"/>
        <v>0</v>
      </c>
      <c r="U171" s="56">
        <f t="shared" si="31"/>
        <v>-0.93016162296057603</v>
      </c>
    </row>
    <row r="172" spans="1:21" ht="15" customHeight="1">
      <c r="A172" s="34" t="s">
        <v>169</v>
      </c>
      <c r="B172" s="54">
        <f>'Расчет субсидий'!AD172</f>
        <v>-1.0636363636363626</v>
      </c>
      <c r="C172" s="56">
        <f>'Расчет субсидий'!D172-1</f>
        <v>2.0099502487562315E-2</v>
      </c>
      <c r="D172" s="56">
        <f>C172*'Расчет субсидий'!E172</f>
        <v>0.20099502487562315</v>
      </c>
      <c r="E172" s="57">
        <f t="shared" si="48"/>
        <v>0.53316185916985614</v>
      </c>
      <c r="F172" s="28" t="s">
        <v>375</v>
      </c>
      <c r="G172" s="28" t="s">
        <v>375</v>
      </c>
      <c r="H172" s="28" t="s">
        <v>375</v>
      </c>
      <c r="I172" s="28" t="s">
        <v>375</v>
      </c>
      <c r="J172" s="28" t="s">
        <v>375</v>
      </c>
      <c r="K172" s="28" t="s">
        <v>375</v>
      </c>
      <c r="L172" s="56">
        <f>'Расчет субсидий'!P172-1</f>
        <v>-3.0098598858328884E-2</v>
      </c>
      <c r="M172" s="56">
        <f>L172*'Расчет субсидий'!Q172</f>
        <v>-0.60197197716657769</v>
      </c>
      <c r="N172" s="57">
        <f t="shared" si="49"/>
        <v>-1.5967982228062187</v>
      </c>
      <c r="O172" s="56">
        <f>'Расчет субсидий'!T172-1</f>
        <v>0</v>
      </c>
      <c r="P172" s="56">
        <f>O172*'Расчет субсидий'!U172</f>
        <v>0</v>
      </c>
      <c r="Q172" s="57">
        <f t="shared" si="50"/>
        <v>0</v>
      </c>
      <c r="R172" s="56">
        <f>'Расчет субсидий'!X172-1</f>
        <v>0</v>
      </c>
      <c r="S172" s="56">
        <f>R172*'Расчет субсидий'!Y172</f>
        <v>0</v>
      </c>
      <c r="T172" s="57">
        <f t="shared" si="51"/>
        <v>0</v>
      </c>
      <c r="U172" s="56">
        <f t="shared" si="31"/>
        <v>-0.40097695229095454</v>
      </c>
    </row>
    <row r="173" spans="1:21" ht="15" customHeight="1">
      <c r="A173" s="33" t="s">
        <v>170</v>
      </c>
      <c r="B173" s="58"/>
      <c r="C173" s="59"/>
      <c r="D173" s="59"/>
      <c r="E173" s="60"/>
      <c r="F173" s="59"/>
      <c r="G173" s="59"/>
      <c r="H173" s="60"/>
      <c r="I173" s="60"/>
      <c r="J173" s="60"/>
      <c r="K173" s="60"/>
      <c r="L173" s="59"/>
      <c r="M173" s="59"/>
      <c r="N173" s="60"/>
      <c r="O173" s="59"/>
      <c r="P173" s="59"/>
      <c r="Q173" s="60"/>
      <c r="R173" s="59"/>
      <c r="S173" s="59"/>
      <c r="T173" s="60"/>
      <c r="U173" s="60"/>
    </row>
    <row r="174" spans="1:21" ht="15" customHeight="1">
      <c r="A174" s="34" t="s">
        <v>171</v>
      </c>
      <c r="B174" s="54">
        <f>'Расчет субсидий'!AD174</f>
        <v>-24.672727272727286</v>
      </c>
      <c r="C174" s="56">
        <f>'Расчет субсидий'!D174-1</f>
        <v>-1</v>
      </c>
      <c r="D174" s="56">
        <f>C174*'Расчет субсидий'!E174</f>
        <v>0</v>
      </c>
      <c r="E174" s="57">
        <f t="shared" ref="E174:E184" si="52">$B174*D174/$U174</f>
        <v>0</v>
      </c>
      <c r="F174" s="28" t="s">
        <v>375</v>
      </c>
      <c r="G174" s="28" t="s">
        <v>375</v>
      </c>
      <c r="H174" s="28" t="s">
        <v>375</v>
      </c>
      <c r="I174" s="28" t="s">
        <v>375</v>
      </c>
      <c r="J174" s="28" t="s">
        <v>375</v>
      </c>
      <c r="K174" s="28" t="s">
        <v>375</v>
      </c>
      <c r="L174" s="56">
        <f>'Расчет субсидий'!P174-1</f>
        <v>-0.16688918558077448</v>
      </c>
      <c r="M174" s="56">
        <f>L174*'Расчет субсидий'!Q174</f>
        <v>-3.3377837116154896</v>
      </c>
      <c r="N174" s="57">
        <f t="shared" ref="N174:N184" si="53">$B174*M174/$U174</f>
        <v>-8.8270777748441827</v>
      </c>
      <c r="O174" s="56">
        <f>'Расчет субсидий'!T174-1</f>
        <v>6.9879518072289093E-2</v>
      </c>
      <c r="P174" s="56">
        <f>O174*'Расчет субсидий'!U174</f>
        <v>2.445783132530118</v>
      </c>
      <c r="Q174" s="57">
        <f t="shared" ref="Q174:Q184" si="54">$B174*P174/$U174</f>
        <v>6.4680997322011136</v>
      </c>
      <c r="R174" s="56">
        <f>'Расчет субсидий'!X174-1</f>
        <v>-0.5625</v>
      </c>
      <c r="S174" s="56">
        <f>R174*'Расчет субсидий'!Y174</f>
        <v>-8.4375</v>
      </c>
      <c r="T174" s="57">
        <f t="shared" ref="T174:T184" si="55">$B174*S174/$U174</f>
        <v>-22.31374923008422</v>
      </c>
      <c r="U174" s="56">
        <f t="shared" si="31"/>
        <v>-9.3295005790853711</v>
      </c>
    </row>
    <row r="175" spans="1:21" ht="15" customHeight="1">
      <c r="A175" s="34" t="s">
        <v>172</v>
      </c>
      <c r="B175" s="54">
        <f>'Расчет субсидий'!AD175</f>
        <v>-61.727272727272748</v>
      </c>
      <c r="C175" s="56">
        <f>'Расчет субсидий'!D175-1</f>
        <v>3.8365122615804381E-3</v>
      </c>
      <c r="D175" s="56">
        <f>C175*'Расчет субсидий'!E175</f>
        <v>3.8365122615804381E-2</v>
      </c>
      <c r="E175" s="57">
        <f t="shared" si="52"/>
        <v>0.12741185183425896</v>
      </c>
      <c r="F175" s="28" t="s">
        <v>375</v>
      </c>
      <c r="G175" s="28" t="s">
        <v>375</v>
      </c>
      <c r="H175" s="28" t="s">
        <v>375</v>
      </c>
      <c r="I175" s="28" t="s">
        <v>375</v>
      </c>
      <c r="J175" s="28" t="s">
        <v>375</v>
      </c>
      <c r="K175" s="28" t="s">
        <v>375</v>
      </c>
      <c r="L175" s="56">
        <f>'Расчет субсидий'!P175-1</f>
        <v>-0.43125659978880682</v>
      </c>
      <c r="M175" s="56">
        <f>L175*'Расчет субсидий'!Q175</f>
        <v>-8.6251319957761368</v>
      </c>
      <c r="N175" s="57">
        <f t="shared" si="53"/>
        <v>-28.644351039922107</v>
      </c>
      <c r="O175" s="56">
        <f>'Расчет субсидий'!T175-1</f>
        <v>0.30000000000000004</v>
      </c>
      <c r="P175" s="56">
        <f>O175*'Расчет субсидий'!U175</f>
        <v>7.5000000000000009</v>
      </c>
      <c r="Q175" s="57">
        <f t="shared" si="54"/>
        <v>24.90775015438868</v>
      </c>
      <c r="R175" s="56">
        <f>'Расчет субсидий'!X175-1</f>
        <v>-0.7</v>
      </c>
      <c r="S175" s="56">
        <f>R175*'Расчет субсидий'!Y175</f>
        <v>-17.5</v>
      </c>
      <c r="T175" s="57">
        <f t="shared" si="55"/>
        <v>-58.118083693573574</v>
      </c>
      <c r="U175" s="56">
        <f t="shared" si="31"/>
        <v>-18.586766873160332</v>
      </c>
    </row>
    <row r="176" spans="1:21" ht="15" customHeight="1">
      <c r="A176" s="34" t="s">
        <v>173</v>
      </c>
      <c r="B176" s="54">
        <f>'Расчет субсидий'!AD176</f>
        <v>6.672727272727272</v>
      </c>
      <c r="C176" s="56">
        <f>'Расчет субсидий'!D176-1</f>
        <v>-1</v>
      </c>
      <c r="D176" s="56">
        <f>C176*'Расчет субсидий'!E176</f>
        <v>0</v>
      </c>
      <c r="E176" s="57">
        <f t="shared" si="52"/>
        <v>0</v>
      </c>
      <c r="F176" s="28" t="s">
        <v>375</v>
      </c>
      <c r="G176" s="28" t="s">
        <v>375</v>
      </c>
      <c r="H176" s="28" t="s">
        <v>375</v>
      </c>
      <c r="I176" s="28" t="s">
        <v>375</v>
      </c>
      <c r="J176" s="28" t="s">
        <v>375</v>
      </c>
      <c r="K176" s="28" t="s">
        <v>375</v>
      </c>
      <c r="L176" s="56">
        <f>'Расчет субсидий'!P176-1</f>
        <v>0.30000000000000004</v>
      </c>
      <c r="M176" s="56">
        <f>L176*'Расчет субсидий'!Q176</f>
        <v>6.0000000000000009</v>
      </c>
      <c r="N176" s="57">
        <f t="shared" si="53"/>
        <v>6.672727272727272</v>
      </c>
      <c r="O176" s="56">
        <f>'Расчет субсидий'!T176-1</f>
        <v>0</v>
      </c>
      <c r="P176" s="56">
        <f>O176*'Расчет субсидий'!U176</f>
        <v>0</v>
      </c>
      <c r="Q176" s="57">
        <f t="shared" si="54"/>
        <v>0</v>
      </c>
      <c r="R176" s="56">
        <f>'Расчет субсидий'!X176-1</f>
        <v>0</v>
      </c>
      <c r="S176" s="56">
        <f>R176*'Расчет субсидий'!Y176</f>
        <v>0</v>
      </c>
      <c r="T176" s="57">
        <f t="shared" si="55"/>
        <v>0</v>
      </c>
      <c r="U176" s="56">
        <f t="shared" ref="U176:U239" si="56">D176+M176+P176+S176</f>
        <v>6.0000000000000009</v>
      </c>
    </row>
    <row r="177" spans="1:21" ht="15" customHeight="1">
      <c r="A177" s="34" t="s">
        <v>174</v>
      </c>
      <c r="B177" s="54">
        <f>'Расчет субсидий'!AD177</f>
        <v>-8.5454545454545467</v>
      </c>
      <c r="C177" s="56">
        <f>'Расчет субсидий'!D177-1</f>
        <v>-1</v>
      </c>
      <c r="D177" s="56">
        <f>C177*'Расчет субсидий'!E177</f>
        <v>0</v>
      </c>
      <c r="E177" s="57">
        <f t="shared" si="52"/>
        <v>0</v>
      </c>
      <c r="F177" s="28" t="s">
        <v>375</v>
      </c>
      <c r="G177" s="28" t="s">
        <v>375</v>
      </c>
      <c r="H177" s="28" t="s">
        <v>375</v>
      </c>
      <c r="I177" s="28" t="s">
        <v>375</v>
      </c>
      <c r="J177" s="28" t="s">
        <v>375</v>
      </c>
      <c r="K177" s="28" t="s">
        <v>375</v>
      </c>
      <c r="L177" s="56">
        <f>'Расчет субсидий'!P177-1</f>
        <v>-0.42589118198874287</v>
      </c>
      <c r="M177" s="56">
        <f>L177*'Расчет субсидий'!Q177</f>
        <v>-8.517823639774857</v>
      </c>
      <c r="N177" s="57">
        <f t="shared" si="53"/>
        <v>-8.5454545454545467</v>
      </c>
      <c r="O177" s="56">
        <f>'Расчет субсидий'!T177-1</f>
        <v>0</v>
      </c>
      <c r="P177" s="56">
        <f>O177*'Расчет субсидий'!U177</f>
        <v>0</v>
      </c>
      <c r="Q177" s="57">
        <f t="shared" si="54"/>
        <v>0</v>
      </c>
      <c r="R177" s="56">
        <f>'Расчет субсидий'!X177-1</f>
        <v>0</v>
      </c>
      <c r="S177" s="56">
        <f>R177*'Расчет субсидий'!Y177</f>
        <v>0</v>
      </c>
      <c r="T177" s="57">
        <f t="shared" si="55"/>
        <v>0</v>
      </c>
      <c r="U177" s="56">
        <f t="shared" si="56"/>
        <v>-8.517823639774857</v>
      </c>
    </row>
    <row r="178" spans="1:21" ht="15" customHeight="1">
      <c r="A178" s="34" t="s">
        <v>175</v>
      </c>
      <c r="B178" s="54">
        <f>'Расчет субсидий'!AD178</f>
        <v>-43.945454545454545</v>
      </c>
      <c r="C178" s="56">
        <f>'Расчет субсидий'!D178-1</f>
        <v>-1</v>
      </c>
      <c r="D178" s="56">
        <f>C178*'Расчет субсидий'!E178</f>
        <v>0</v>
      </c>
      <c r="E178" s="57">
        <f t="shared" si="52"/>
        <v>0</v>
      </c>
      <c r="F178" s="28" t="s">
        <v>375</v>
      </c>
      <c r="G178" s="28" t="s">
        <v>375</v>
      </c>
      <c r="H178" s="28" t="s">
        <v>375</v>
      </c>
      <c r="I178" s="28" t="s">
        <v>375</v>
      </c>
      <c r="J178" s="28" t="s">
        <v>375</v>
      </c>
      <c r="K178" s="28" t="s">
        <v>375</v>
      </c>
      <c r="L178" s="56">
        <f>'Расчет субсидий'!P178-1</f>
        <v>-0.41045958795562598</v>
      </c>
      <c r="M178" s="56">
        <f>L178*'Расчет субсидий'!Q178</f>
        <v>-8.2091917591125192</v>
      </c>
      <c r="N178" s="57">
        <f t="shared" si="53"/>
        <v>-9.4416198484220057</v>
      </c>
      <c r="O178" s="56">
        <f>'Расчет субсидий'!T178-1</f>
        <v>0</v>
      </c>
      <c r="P178" s="56">
        <f>O178*'Расчет субсидий'!U178</f>
        <v>0</v>
      </c>
      <c r="Q178" s="57">
        <f t="shared" si="54"/>
        <v>0</v>
      </c>
      <c r="R178" s="56">
        <f>'Расчет субсидий'!X178-1</f>
        <v>-1</v>
      </c>
      <c r="S178" s="56">
        <f>R178*'Расчет субсидий'!Y178</f>
        <v>-30</v>
      </c>
      <c r="T178" s="57">
        <f t="shared" si="55"/>
        <v>-34.503834697032538</v>
      </c>
      <c r="U178" s="56">
        <f t="shared" si="56"/>
        <v>-38.209191759112521</v>
      </c>
    </row>
    <row r="179" spans="1:21" ht="15" customHeight="1">
      <c r="A179" s="34" t="s">
        <v>176</v>
      </c>
      <c r="B179" s="54">
        <f>'Расчет субсидий'!AD179</f>
        <v>-26.536363636363639</v>
      </c>
      <c r="C179" s="56">
        <f>'Расчет субсидий'!D179-1</f>
        <v>-1</v>
      </c>
      <c r="D179" s="56">
        <f>C179*'Расчет субсидий'!E179</f>
        <v>0</v>
      </c>
      <c r="E179" s="57">
        <f t="shared" si="52"/>
        <v>0</v>
      </c>
      <c r="F179" s="28" t="s">
        <v>375</v>
      </c>
      <c r="G179" s="28" t="s">
        <v>375</v>
      </c>
      <c r="H179" s="28" t="s">
        <v>375</v>
      </c>
      <c r="I179" s="28" t="s">
        <v>375</v>
      </c>
      <c r="J179" s="28" t="s">
        <v>375</v>
      </c>
      <c r="K179" s="28" t="s">
        <v>375</v>
      </c>
      <c r="L179" s="56">
        <f>'Расчет субсидий'!P179-1</f>
        <v>-0.91468946266573625</v>
      </c>
      <c r="M179" s="56">
        <f>L179*'Расчет субсидий'!Q179</f>
        <v>-18.293789253314724</v>
      </c>
      <c r="N179" s="57">
        <f t="shared" si="53"/>
        <v>-21.2974963714015</v>
      </c>
      <c r="O179" s="56">
        <f>'Расчет субсидий'!T179-1</f>
        <v>0.30000000000000004</v>
      </c>
      <c r="P179" s="56">
        <f>O179*'Расчет субсидий'!U179</f>
        <v>10.500000000000002</v>
      </c>
      <c r="Q179" s="57">
        <f t="shared" si="54"/>
        <v>12.224023618245001</v>
      </c>
      <c r="R179" s="56">
        <f>'Расчет субсидий'!X179-1</f>
        <v>-1</v>
      </c>
      <c r="S179" s="56">
        <f>R179*'Расчет субсидий'!Y179</f>
        <v>-15</v>
      </c>
      <c r="T179" s="57">
        <f t="shared" si="55"/>
        <v>-17.462890883207141</v>
      </c>
      <c r="U179" s="56">
        <f t="shared" si="56"/>
        <v>-22.793789253314721</v>
      </c>
    </row>
    <row r="180" spans="1:21" ht="15" customHeight="1">
      <c r="A180" s="34" t="s">
        <v>177</v>
      </c>
      <c r="B180" s="54">
        <f>'Расчет субсидий'!AD180</f>
        <v>-13.581818181818178</v>
      </c>
      <c r="C180" s="56">
        <f>'Расчет субсидий'!D180-1</f>
        <v>-1</v>
      </c>
      <c r="D180" s="56">
        <f>C180*'Расчет субсидий'!E180</f>
        <v>0</v>
      </c>
      <c r="E180" s="57">
        <f t="shared" si="52"/>
        <v>0</v>
      </c>
      <c r="F180" s="28" t="s">
        <v>375</v>
      </c>
      <c r="G180" s="28" t="s">
        <v>375</v>
      </c>
      <c r="H180" s="28" t="s">
        <v>375</v>
      </c>
      <c r="I180" s="28" t="s">
        <v>375</v>
      </c>
      <c r="J180" s="28" t="s">
        <v>375</v>
      </c>
      <c r="K180" s="28" t="s">
        <v>375</v>
      </c>
      <c r="L180" s="56">
        <f>'Расчет субсидий'!P180-1</f>
        <v>-0.88</v>
      </c>
      <c r="M180" s="56">
        <f>L180*'Расчет субсидий'!Q180</f>
        <v>-17.600000000000001</v>
      </c>
      <c r="N180" s="57">
        <f t="shared" si="53"/>
        <v>-10.128813559322031</v>
      </c>
      <c r="O180" s="56">
        <f>'Расчет субсидий'!T180-1</f>
        <v>0</v>
      </c>
      <c r="P180" s="56">
        <f>O180*'Расчет субсидий'!U180</f>
        <v>0</v>
      </c>
      <c r="Q180" s="57">
        <f t="shared" si="54"/>
        <v>0</v>
      </c>
      <c r="R180" s="56">
        <f>'Расчет субсидий'!X180-1</f>
        <v>-0.19999999999999996</v>
      </c>
      <c r="S180" s="56">
        <f>R180*'Расчет субсидий'!Y180</f>
        <v>-5.9999999999999982</v>
      </c>
      <c r="T180" s="57">
        <f t="shared" si="55"/>
        <v>-3.4530046224961457</v>
      </c>
      <c r="U180" s="56">
        <f t="shared" si="56"/>
        <v>-23.6</v>
      </c>
    </row>
    <row r="181" spans="1:21" ht="15" customHeight="1">
      <c r="A181" s="34" t="s">
        <v>178</v>
      </c>
      <c r="B181" s="54">
        <f>'Расчет субсидий'!AD181</f>
        <v>-0.28181818181818186</v>
      </c>
      <c r="C181" s="56">
        <f>'Расчет субсидий'!D181-1</f>
        <v>-1</v>
      </c>
      <c r="D181" s="56">
        <f>C181*'Расчет субсидий'!E181</f>
        <v>0</v>
      </c>
      <c r="E181" s="57">
        <f t="shared" si="52"/>
        <v>0</v>
      </c>
      <c r="F181" s="28" t="s">
        <v>375</v>
      </c>
      <c r="G181" s="28" t="s">
        <v>375</v>
      </c>
      <c r="H181" s="28" t="s">
        <v>375</v>
      </c>
      <c r="I181" s="28" t="s">
        <v>375</v>
      </c>
      <c r="J181" s="28" t="s">
        <v>375</v>
      </c>
      <c r="K181" s="28" t="s">
        <v>375</v>
      </c>
      <c r="L181" s="56">
        <f>'Расчет субсидий'!P181-1</f>
        <v>-0.86737400530503983</v>
      </c>
      <c r="M181" s="56">
        <f>L181*'Расчет субсидий'!Q181</f>
        <v>-17.347480106100797</v>
      </c>
      <c r="N181" s="57">
        <f t="shared" si="53"/>
        <v>-0.28181818181818186</v>
      </c>
      <c r="O181" s="56">
        <f>'Расчет субсидий'!T181-1</f>
        <v>0</v>
      </c>
      <c r="P181" s="56">
        <f>O181*'Расчет субсидий'!U181</f>
        <v>0</v>
      </c>
      <c r="Q181" s="57">
        <f t="shared" si="54"/>
        <v>0</v>
      </c>
      <c r="R181" s="56">
        <f>'Расчет субсидий'!X181-1</f>
        <v>0</v>
      </c>
      <c r="S181" s="56">
        <f>R181*'Расчет субсидий'!Y181</f>
        <v>0</v>
      </c>
      <c r="T181" s="57">
        <f t="shared" si="55"/>
        <v>0</v>
      </c>
      <c r="U181" s="56">
        <f t="shared" si="56"/>
        <v>-17.347480106100797</v>
      </c>
    </row>
    <row r="182" spans="1:21" ht="15" customHeight="1">
      <c r="A182" s="34" t="s">
        <v>179</v>
      </c>
      <c r="B182" s="54">
        <f>'Расчет субсидий'!AD182</f>
        <v>-44.572727272727263</v>
      </c>
      <c r="C182" s="56">
        <f>'Расчет субсидий'!D182-1</f>
        <v>-1</v>
      </c>
      <c r="D182" s="56">
        <f>C182*'Расчет субсидий'!E182</f>
        <v>0</v>
      </c>
      <c r="E182" s="57">
        <f t="shared" si="52"/>
        <v>0</v>
      </c>
      <c r="F182" s="28" t="s">
        <v>375</v>
      </c>
      <c r="G182" s="28" t="s">
        <v>375</v>
      </c>
      <c r="H182" s="28" t="s">
        <v>375</v>
      </c>
      <c r="I182" s="28" t="s">
        <v>375</v>
      </c>
      <c r="J182" s="28" t="s">
        <v>375</v>
      </c>
      <c r="K182" s="28" t="s">
        <v>375</v>
      </c>
      <c r="L182" s="56">
        <f>'Расчет субсидий'!P182-1</f>
        <v>-0.75100401606425704</v>
      </c>
      <c r="M182" s="56">
        <f>L182*'Расчет субсидий'!Q182</f>
        <v>-15.020080321285141</v>
      </c>
      <c r="N182" s="57">
        <f t="shared" si="53"/>
        <v>-14.870829616413912</v>
      </c>
      <c r="O182" s="56">
        <f>'Расчет субсидий'!T182-1</f>
        <v>0</v>
      </c>
      <c r="P182" s="56">
        <f>O182*'Расчет субсидий'!U182</f>
        <v>0</v>
      </c>
      <c r="Q182" s="57">
        <f t="shared" si="54"/>
        <v>0</v>
      </c>
      <c r="R182" s="56">
        <f>'Расчет субсидий'!X182-1</f>
        <v>-1</v>
      </c>
      <c r="S182" s="56">
        <f>R182*'Расчет субсидий'!Y182</f>
        <v>-30</v>
      </c>
      <c r="T182" s="57">
        <f t="shared" si="55"/>
        <v>-29.701897656313353</v>
      </c>
      <c r="U182" s="56">
        <f t="shared" si="56"/>
        <v>-45.020080321285143</v>
      </c>
    </row>
    <row r="183" spans="1:21" ht="15" customHeight="1">
      <c r="A183" s="34" t="s">
        <v>180</v>
      </c>
      <c r="B183" s="54">
        <f>'Расчет субсидий'!AD183</f>
        <v>-47.063636363636377</v>
      </c>
      <c r="C183" s="56">
        <f>'Расчет субсидий'!D183-1</f>
        <v>-1</v>
      </c>
      <c r="D183" s="56">
        <f>C183*'Расчет субсидий'!E183</f>
        <v>0</v>
      </c>
      <c r="E183" s="57">
        <f t="shared" si="52"/>
        <v>0</v>
      </c>
      <c r="F183" s="28" t="s">
        <v>375</v>
      </c>
      <c r="G183" s="28" t="s">
        <v>375</v>
      </c>
      <c r="H183" s="28" t="s">
        <v>375</v>
      </c>
      <c r="I183" s="28" t="s">
        <v>375</v>
      </c>
      <c r="J183" s="28" t="s">
        <v>375</v>
      </c>
      <c r="K183" s="28" t="s">
        <v>375</v>
      </c>
      <c r="L183" s="56">
        <f>'Расчет субсидий'!P183-1</f>
        <v>-0.90774553142417835</v>
      </c>
      <c r="M183" s="56">
        <f>L183*'Расчет субсидий'!Q183</f>
        <v>-18.154910628483567</v>
      </c>
      <c r="N183" s="57">
        <f t="shared" si="53"/>
        <v>-39.558408533419247</v>
      </c>
      <c r="O183" s="56">
        <f>'Расчет субсидий'!T183-1</f>
        <v>-0.43777777777777771</v>
      </c>
      <c r="P183" s="56">
        <f>O183*'Расчет субсидий'!U183</f>
        <v>-10.944444444444443</v>
      </c>
      <c r="Q183" s="57">
        <f t="shared" si="54"/>
        <v>-23.847256170206041</v>
      </c>
      <c r="R183" s="56">
        <f>'Расчет субсидий'!X183-1</f>
        <v>0.30000000000000004</v>
      </c>
      <c r="S183" s="56">
        <f>R183*'Расчет субсидий'!Y183</f>
        <v>7.5000000000000009</v>
      </c>
      <c r="T183" s="57">
        <f t="shared" si="55"/>
        <v>16.342028339988914</v>
      </c>
      <c r="U183" s="56">
        <f t="shared" si="56"/>
        <v>-21.599355072928009</v>
      </c>
    </row>
    <row r="184" spans="1:21" ht="15" customHeight="1">
      <c r="A184" s="34" t="s">
        <v>181</v>
      </c>
      <c r="B184" s="54">
        <f>'Расчет субсидий'!AD184</f>
        <v>-47.972727272727269</v>
      </c>
      <c r="C184" s="56">
        <f>'Расчет субсидий'!D184-1</f>
        <v>-1</v>
      </c>
      <c r="D184" s="56">
        <f>C184*'Расчет субсидий'!E184</f>
        <v>0</v>
      </c>
      <c r="E184" s="57">
        <f t="shared" si="52"/>
        <v>0</v>
      </c>
      <c r="F184" s="28" t="s">
        <v>375</v>
      </c>
      <c r="G184" s="28" t="s">
        <v>375</v>
      </c>
      <c r="H184" s="28" t="s">
        <v>375</v>
      </c>
      <c r="I184" s="28" t="s">
        <v>375</v>
      </c>
      <c r="J184" s="28" t="s">
        <v>375</v>
      </c>
      <c r="K184" s="28" t="s">
        <v>375</v>
      </c>
      <c r="L184" s="56">
        <f>'Расчет субсидий'!P184-1</f>
        <v>-0.94243902439024385</v>
      </c>
      <c r="M184" s="56">
        <f>L184*'Расчет субсидий'!Q184</f>
        <v>-18.848780487804877</v>
      </c>
      <c r="N184" s="57">
        <f t="shared" si="53"/>
        <v>-26.713736587666549</v>
      </c>
      <c r="O184" s="56">
        <f>'Расчет субсидий'!T184-1</f>
        <v>0</v>
      </c>
      <c r="P184" s="56">
        <f>O184*'Расчет субсидий'!U184</f>
        <v>0</v>
      </c>
      <c r="Q184" s="57">
        <f t="shared" si="54"/>
        <v>0</v>
      </c>
      <c r="R184" s="56">
        <f>'Расчет субсидий'!X184-1</f>
        <v>-0.5</v>
      </c>
      <c r="S184" s="56">
        <f>R184*'Расчет субсидий'!Y184</f>
        <v>-15</v>
      </c>
      <c r="T184" s="57">
        <f t="shared" si="55"/>
        <v>-21.258990685060724</v>
      </c>
      <c r="U184" s="56">
        <f t="shared" si="56"/>
        <v>-33.848780487804873</v>
      </c>
    </row>
    <row r="185" spans="1:21" ht="15" customHeight="1">
      <c r="A185" s="33" t="s">
        <v>182</v>
      </c>
      <c r="B185" s="58"/>
      <c r="C185" s="59"/>
      <c r="D185" s="59"/>
      <c r="E185" s="60"/>
      <c r="F185" s="59"/>
      <c r="G185" s="59"/>
      <c r="H185" s="60"/>
      <c r="I185" s="60"/>
      <c r="J185" s="60"/>
      <c r="K185" s="60"/>
      <c r="L185" s="59"/>
      <c r="M185" s="59"/>
      <c r="N185" s="60"/>
      <c r="O185" s="59"/>
      <c r="P185" s="59"/>
      <c r="Q185" s="60"/>
      <c r="R185" s="59"/>
      <c r="S185" s="59"/>
      <c r="T185" s="60"/>
      <c r="U185" s="60"/>
    </row>
    <row r="186" spans="1:21" ht="15" customHeight="1">
      <c r="A186" s="34" t="s">
        <v>183</v>
      </c>
      <c r="B186" s="54">
        <f>'Расчет субсидий'!AD186</f>
        <v>20.354545454545473</v>
      </c>
      <c r="C186" s="56">
        <f>'Расчет субсидий'!D186-1</f>
        <v>-1</v>
      </c>
      <c r="D186" s="56">
        <f>C186*'Расчет субсидий'!E186</f>
        <v>0</v>
      </c>
      <c r="E186" s="57">
        <f t="shared" ref="E186:E198" si="57">$B186*D186/$U186</f>
        <v>0</v>
      </c>
      <c r="F186" s="28" t="s">
        <v>375</v>
      </c>
      <c r="G186" s="28" t="s">
        <v>375</v>
      </c>
      <c r="H186" s="28" t="s">
        <v>375</v>
      </c>
      <c r="I186" s="28" t="s">
        <v>375</v>
      </c>
      <c r="J186" s="28" t="s">
        <v>375</v>
      </c>
      <c r="K186" s="28" t="s">
        <v>375</v>
      </c>
      <c r="L186" s="56">
        <f>'Расчет субсидий'!P186-1</f>
        <v>-3.6231884057971064E-2</v>
      </c>
      <c r="M186" s="56">
        <f>L186*'Расчет субсидий'!Q186</f>
        <v>-0.72463768115942129</v>
      </c>
      <c r="N186" s="57">
        <f t="shared" ref="N186:N198" si="58">$B186*M186/$U186</f>
        <v>-1.581838961038964</v>
      </c>
      <c r="O186" s="56">
        <f>'Расчет субсидий'!T186-1</f>
        <v>0.23529411764705888</v>
      </c>
      <c r="P186" s="56">
        <f>O186*'Расчет субсидий'!U186</f>
        <v>5.8823529411764719</v>
      </c>
      <c r="Q186" s="57">
        <f t="shared" ref="Q186:Q198" si="59">$B186*P186/$U186</f>
        <v>12.840810389610398</v>
      </c>
      <c r="R186" s="56">
        <f>'Расчет субсидий'!X186-1</f>
        <v>0.16666666666666674</v>
      </c>
      <c r="S186" s="56">
        <f>R186*'Расчет субсидий'!Y186</f>
        <v>4.1666666666666687</v>
      </c>
      <c r="T186" s="57">
        <f t="shared" ref="T186:T198" si="60">$B186*S186/$U186</f>
        <v>9.0955740259740345</v>
      </c>
      <c r="U186" s="56">
        <f t="shared" si="56"/>
        <v>9.3243819266837207</v>
      </c>
    </row>
    <row r="187" spans="1:21" ht="15" customHeight="1">
      <c r="A187" s="34" t="s">
        <v>184</v>
      </c>
      <c r="B187" s="54">
        <f>'Расчет субсидий'!AD187</f>
        <v>-24.990909090909099</v>
      </c>
      <c r="C187" s="56">
        <f>'Расчет субсидий'!D187-1</f>
        <v>-1</v>
      </c>
      <c r="D187" s="56">
        <f>C187*'Расчет субсидий'!E187</f>
        <v>0</v>
      </c>
      <c r="E187" s="57">
        <f t="shared" si="57"/>
        <v>0</v>
      </c>
      <c r="F187" s="28" t="s">
        <v>375</v>
      </c>
      <c r="G187" s="28" t="s">
        <v>375</v>
      </c>
      <c r="H187" s="28" t="s">
        <v>375</v>
      </c>
      <c r="I187" s="28" t="s">
        <v>375</v>
      </c>
      <c r="J187" s="28" t="s">
        <v>375</v>
      </c>
      <c r="K187" s="28" t="s">
        <v>375</v>
      </c>
      <c r="L187" s="56">
        <f>'Расчет субсидий'!P187-1</f>
        <v>-0.91434492286437941</v>
      </c>
      <c r="M187" s="56">
        <f>L187*'Расчет субсидий'!Q187</f>
        <v>-18.286898457287588</v>
      </c>
      <c r="N187" s="57">
        <f t="shared" si="58"/>
        <v>-36.861256992866331</v>
      </c>
      <c r="O187" s="56">
        <f>'Расчет субсидий'!T187-1</f>
        <v>0.1444444444444446</v>
      </c>
      <c r="P187" s="56">
        <f>O187*'Расчет субсидий'!U187</f>
        <v>2.8888888888888919</v>
      </c>
      <c r="Q187" s="57">
        <f t="shared" si="59"/>
        <v>5.823189536809207</v>
      </c>
      <c r="R187" s="56">
        <f>'Расчет субсидий'!X187-1</f>
        <v>0.10000000000000009</v>
      </c>
      <c r="S187" s="56">
        <f>R187*'Расчет субсидий'!Y187</f>
        <v>3.0000000000000027</v>
      </c>
      <c r="T187" s="57">
        <f t="shared" si="60"/>
        <v>6.0471583651480225</v>
      </c>
      <c r="U187" s="56">
        <f t="shared" si="56"/>
        <v>-12.398009568398692</v>
      </c>
    </row>
    <row r="188" spans="1:21" ht="15" customHeight="1">
      <c r="A188" s="34" t="s">
        <v>185</v>
      </c>
      <c r="B188" s="54">
        <f>'Расчет субсидий'!AD188</f>
        <v>-55.654545454545428</v>
      </c>
      <c r="C188" s="56">
        <f>'Расчет субсидий'!D188-1</f>
        <v>-1</v>
      </c>
      <c r="D188" s="56">
        <f>C188*'Расчет субсидий'!E188</f>
        <v>0</v>
      </c>
      <c r="E188" s="57">
        <f t="shared" si="57"/>
        <v>0</v>
      </c>
      <c r="F188" s="28" t="s">
        <v>375</v>
      </c>
      <c r="G188" s="28" t="s">
        <v>375</v>
      </c>
      <c r="H188" s="28" t="s">
        <v>375</v>
      </c>
      <c r="I188" s="28" t="s">
        <v>375</v>
      </c>
      <c r="J188" s="28" t="s">
        <v>375</v>
      </c>
      <c r="K188" s="28" t="s">
        <v>375</v>
      </c>
      <c r="L188" s="56">
        <f>'Расчет субсидий'!P188-1</f>
        <v>-0.87145557655954631</v>
      </c>
      <c r="M188" s="56">
        <f>L188*'Расчет субсидий'!Q188</f>
        <v>-17.429111531190927</v>
      </c>
      <c r="N188" s="57">
        <f t="shared" si="58"/>
        <v>-65.856604988758392</v>
      </c>
      <c r="O188" s="56">
        <f>'Расчет субсидий'!T188-1</f>
        <v>2.3333333333333206E-2</v>
      </c>
      <c r="P188" s="56">
        <f>O188*'Расчет субсидий'!U188</f>
        <v>0.69999999999999618</v>
      </c>
      <c r="Q188" s="57">
        <f t="shared" si="59"/>
        <v>2.6449783977589045</v>
      </c>
      <c r="R188" s="56">
        <f>'Расчет субсидий'!X188-1</f>
        <v>0.10000000000000009</v>
      </c>
      <c r="S188" s="56">
        <f>R188*'Расчет субсидий'!Y188</f>
        <v>2.0000000000000018</v>
      </c>
      <c r="T188" s="57">
        <f t="shared" si="60"/>
        <v>7.5570811364540607</v>
      </c>
      <c r="U188" s="56">
        <f t="shared" si="56"/>
        <v>-14.729111531190929</v>
      </c>
    </row>
    <row r="189" spans="1:21" ht="15" customHeight="1">
      <c r="A189" s="34" t="s">
        <v>186</v>
      </c>
      <c r="B189" s="54">
        <f>'Расчет субсидий'!AD189</f>
        <v>47.527272727272759</v>
      </c>
      <c r="C189" s="56">
        <f>'Расчет субсидий'!D189-1</f>
        <v>6.8190806309030849E-2</v>
      </c>
      <c r="D189" s="56">
        <f>C189*'Расчет субсидий'!E189</f>
        <v>0.68190806309030849</v>
      </c>
      <c r="E189" s="57">
        <f t="shared" si="57"/>
        <v>3.5481838182894796</v>
      </c>
      <c r="F189" s="28" t="s">
        <v>375</v>
      </c>
      <c r="G189" s="28" t="s">
        <v>375</v>
      </c>
      <c r="H189" s="28" t="s">
        <v>375</v>
      </c>
      <c r="I189" s="28" t="s">
        <v>375</v>
      </c>
      <c r="J189" s="28" t="s">
        <v>375</v>
      </c>
      <c r="K189" s="28" t="s">
        <v>375</v>
      </c>
      <c r="L189" s="56">
        <f>'Расчет субсидий'!P189-1</f>
        <v>-0.19739371929074989</v>
      </c>
      <c r="M189" s="56">
        <f>L189*'Расчет субсидий'!Q189</f>
        <v>-3.9478743858149978</v>
      </c>
      <c r="N189" s="57">
        <f t="shared" si="58"/>
        <v>-20.542041912376057</v>
      </c>
      <c r="O189" s="56">
        <f>'Расчет субсидий'!T189-1</f>
        <v>4.0000000000000036E-2</v>
      </c>
      <c r="P189" s="56">
        <f>O189*'Расчет субсидий'!U189</f>
        <v>0.40000000000000036</v>
      </c>
      <c r="Q189" s="57">
        <f t="shared" si="59"/>
        <v>2.0813268006890122</v>
      </c>
      <c r="R189" s="56">
        <f>'Расчет субсидий'!X189-1</f>
        <v>0.30000000000000004</v>
      </c>
      <c r="S189" s="56">
        <f>R189*'Расчет субсидий'!Y189</f>
        <v>12.000000000000002</v>
      </c>
      <c r="T189" s="57">
        <f t="shared" si="60"/>
        <v>62.43980402067033</v>
      </c>
      <c r="U189" s="56">
        <f t="shared" si="56"/>
        <v>9.1340336772753119</v>
      </c>
    </row>
    <row r="190" spans="1:21" ht="15" customHeight="1">
      <c r="A190" s="34" t="s">
        <v>187</v>
      </c>
      <c r="B190" s="54">
        <f>'Расчет субсидий'!AD190</f>
        <v>-0.86363636363636331</v>
      </c>
      <c r="C190" s="56">
        <f>'Расчет субсидий'!D190-1</f>
        <v>-1</v>
      </c>
      <c r="D190" s="56">
        <f>C190*'Расчет субсидий'!E190</f>
        <v>0</v>
      </c>
      <c r="E190" s="57">
        <f t="shared" si="57"/>
        <v>0</v>
      </c>
      <c r="F190" s="28" t="s">
        <v>375</v>
      </c>
      <c r="G190" s="28" t="s">
        <v>375</v>
      </c>
      <c r="H190" s="28" t="s">
        <v>375</v>
      </c>
      <c r="I190" s="28" t="s">
        <v>375</v>
      </c>
      <c r="J190" s="28" t="s">
        <v>375</v>
      </c>
      <c r="K190" s="28" t="s">
        <v>375</v>
      </c>
      <c r="L190" s="56">
        <f>'Расчет субсидий'!P190-1</f>
        <v>-0.79974005198960207</v>
      </c>
      <c r="M190" s="56">
        <f>L190*'Расчет субсидий'!Q190</f>
        <v>-15.994801039792041</v>
      </c>
      <c r="N190" s="57">
        <f t="shared" si="58"/>
        <v>-3.2193004525023783</v>
      </c>
      <c r="O190" s="56">
        <f>'Расчет субсидий'!T190-1</f>
        <v>0.21868292682926826</v>
      </c>
      <c r="P190" s="56">
        <f>O190*'Расчет субсидий'!U190</f>
        <v>7.6539024390243888</v>
      </c>
      <c r="Q190" s="57">
        <f t="shared" si="59"/>
        <v>1.5405137909537034</v>
      </c>
      <c r="R190" s="56">
        <f>'Расчет субсидий'!X190-1</f>
        <v>0.27</v>
      </c>
      <c r="S190" s="56">
        <f>R190*'Расчет субсидий'!Y190</f>
        <v>4.0500000000000007</v>
      </c>
      <c r="T190" s="57">
        <f t="shared" si="60"/>
        <v>0.81515029791231164</v>
      </c>
      <c r="U190" s="56">
        <f t="shared" si="56"/>
        <v>-4.2908986007676511</v>
      </c>
    </row>
    <row r="191" spans="1:21" ht="15" customHeight="1">
      <c r="A191" s="34" t="s">
        <v>188</v>
      </c>
      <c r="B191" s="54">
        <f>'Расчет субсидий'!AD191</f>
        <v>-5.6545454545454525</v>
      </c>
      <c r="C191" s="56">
        <f>'Расчет субсидий'!D191-1</f>
        <v>-1</v>
      </c>
      <c r="D191" s="56">
        <f>C191*'Расчет субсидий'!E191</f>
        <v>0</v>
      </c>
      <c r="E191" s="57">
        <f t="shared" si="57"/>
        <v>0</v>
      </c>
      <c r="F191" s="28" t="s">
        <v>375</v>
      </c>
      <c r="G191" s="28" t="s">
        <v>375</v>
      </c>
      <c r="H191" s="28" t="s">
        <v>375</v>
      </c>
      <c r="I191" s="28" t="s">
        <v>375</v>
      </c>
      <c r="J191" s="28" t="s">
        <v>375</v>
      </c>
      <c r="K191" s="28" t="s">
        <v>375</v>
      </c>
      <c r="L191" s="56">
        <f>'Расчет субсидий'!P191-1</f>
        <v>-0.72699323631891777</v>
      </c>
      <c r="M191" s="56">
        <f>L191*'Расчет субсидий'!Q191</f>
        <v>-14.539864726378354</v>
      </c>
      <c r="N191" s="57">
        <f t="shared" si="58"/>
        <v>-6.109771054429511</v>
      </c>
      <c r="O191" s="56">
        <f>'Расчет субсидий'!T191-1</f>
        <v>4.3333333333333446E-2</v>
      </c>
      <c r="P191" s="56">
        <f>O191*'Расчет субсидий'!U191</f>
        <v>1.0833333333333361</v>
      </c>
      <c r="Q191" s="57">
        <f t="shared" si="59"/>
        <v>0.45522559988405886</v>
      </c>
      <c r="R191" s="56">
        <f>'Расчет субсидий'!X191-1</f>
        <v>0</v>
      </c>
      <c r="S191" s="56">
        <f>R191*'Расчет субсидий'!Y191</f>
        <v>0</v>
      </c>
      <c r="T191" s="57">
        <f t="shared" si="60"/>
        <v>0</v>
      </c>
      <c r="U191" s="56">
        <f t="shared" si="56"/>
        <v>-13.456531393045019</v>
      </c>
    </row>
    <row r="192" spans="1:21" ht="15" customHeight="1">
      <c r="A192" s="34" t="s">
        <v>189</v>
      </c>
      <c r="B192" s="54">
        <f>'Расчет субсидий'!AD192</f>
        <v>-0.40909090909090651</v>
      </c>
      <c r="C192" s="56">
        <f>'Расчет субсидий'!D192-1</f>
        <v>-1</v>
      </c>
      <c r="D192" s="56">
        <f>C192*'Расчет субсидий'!E192</f>
        <v>0</v>
      </c>
      <c r="E192" s="57">
        <f t="shared" si="57"/>
        <v>0</v>
      </c>
      <c r="F192" s="28" t="s">
        <v>375</v>
      </c>
      <c r="G192" s="28" t="s">
        <v>375</v>
      </c>
      <c r="H192" s="28" t="s">
        <v>375</v>
      </c>
      <c r="I192" s="28" t="s">
        <v>375</v>
      </c>
      <c r="J192" s="28" t="s">
        <v>375</v>
      </c>
      <c r="K192" s="28" t="s">
        <v>375</v>
      </c>
      <c r="L192" s="56">
        <f>'Расчет субсидий'!P192-1</f>
        <v>-0.36790606653620361</v>
      </c>
      <c r="M192" s="56">
        <f>L192*'Расчет субсидий'!Q192</f>
        <v>-7.3581213307240727</v>
      </c>
      <c r="N192" s="57">
        <f t="shared" si="58"/>
        <v>-23.894086496028105</v>
      </c>
      <c r="O192" s="56">
        <f>'Расчет субсидий'!T192-1</f>
        <v>0.2092857142857143</v>
      </c>
      <c r="P192" s="56">
        <f>O192*'Расчет субсидий'!U192</f>
        <v>5.2321428571428577</v>
      </c>
      <c r="Q192" s="57">
        <f t="shared" si="59"/>
        <v>16.99037952338913</v>
      </c>
      <c r="R192" s="56">
        <f>'Расчет субсидий'!X192-1</f>
        <v>8.0000000000000071E-2</v>
      </c>
      <c r="S192" s="56">
        <f>R192*'Расчет субсидий'!Y192</f>
        <v>2.0000000000000018</v>
      </c>
      <c r="T192" s="57">
        <f t="shared" si="60"/>
        <v>6.4946160635480688</v>
      </c>
      <c r="U192" s="56">
        <f t="shared" si="56"/>
        <v>-0.12597847358121328</v>
      </c>
    </row>
    <row r="193" spans="1:21" ht="15" customHeight="1">
      <c r="A193" s="34" t="s">
        <v>190</v>
      </c>
      <c r="B193" s="54">
        <f>'Расчет субсидий'!AD193</f>
        <v>22.427272727272708</v>
      </c>
      <c r="C193" s="56">
        <f>'Расчет субсидий'!D193-1</f>
        <v>0.14488774026813123</v>
      </c>
      <c r="D193" s="56">
        <f>C193*'Расчет субсидий'!E193</f>
        <v>1.4488774026813123</v>
      </c>
      <c r="E193" s="57">
        <f t="shared" si="57"/>
        <v>4.1514472354456995</v>
      </c>
      <c r="F193" s="28" t="s">
        <v>375</v>
      </c>
      <c r="G193" s="28" t="s">
        <v>375</v>
      </c>
      <c r="H193" s="28" t="s">
        <v>375</v>
      </c>
      <c r="I193" s="28" t="s">
        <v>375</v>
      </c>
      <c r="J193" s="28" t="s">
        <v>375</v>
      </c>
      <c r="K193" s="28" t="s">
        <v>375</v>
      </c>
      <c r="L193" s="56">
        <f>'Расчет субсидий'!P193-1</f>
        <v>0.30000000000000004</v>
      </c>
      <c r="M193" s="56">
        <f>L193*'Расчет субсидий'!Q193</f>
        <v>6.0000000000000009</v>
      </c>
      <c r="N193" s="57">
        <f t="shared" si="58"/>
        <v>17.191712263976132</v>
      </c>
      <c r="O193" s="56">
        <f>'Расчет субсидий'!T193-1</f>
        <v>2.6470588235294468E-3</v>
      </c>
      <c r="P193" s="56">
        <f>O193*'Расчет субсидий'!U193</f>
        <v>9.2647058823530637E-2</v>
      </c>
      <c r="Q193" s="57">
        <f t="shared" si="59"/>
        <v>0.26546026289963492</v>
      </c>
      <c r="R193" s="56">
        <f>'Расчет субсидий'!X193-1</f>
        <v>1.904761904761898E-2</v>
      </c>
      <c r="S193" s="56">
        <f>R193*'Расчет субсидий'!Y193</f>
        <v>0.2857142857142847</v>
      </c>
      <c r="T193" s="57">
        <f t="shared" si="60"/>
        <v>0.8186529649512414</v>
      </c>
      <c r="U193" s="56">
        <f t="shared" si="56"/>
        <v>7.8272387472191287</v>
      </c>
    </row>
    <row r="194" spans="1:21" ht="15" customHeight="1">
      <c r="A194" s="34" t="s">
        <v>191</v>
      </c>
      <c r="B194" s="54">
        <f>'Расчет субсидий'!AD194</f>
        <v>-24.581818181818193</v>
      </c>
      <c r="C194" s="56">
        <f>'Расчет субсидий'!D194-1</f>
        <v>-1</v>
      </c>
      <c r="D194" s="56">
        <f>C194*'Расчет субсидий'!E194</f>
        <v>0</v>
      </c>
      <c r="E194" s="57">
        <f t="shared" si="57"/>
        <v>0</v>
      </c>
      <c r="F194" s="28" t="s">
        <v>375</v>
      </c>
      <c r="G194" s="28" t="s">
        <v>375</v>
      </c>
      <c r="H194" s="28" t="s">
        <v>375</v>
      </c>
      <c r="I194" s="28" t="s">
        <v>375</v>
      </c>
      <c r="J194" s="28" t="s">
        <v>375</v>
      </c>
      <c r="K194" s="28" t="s">
        <v>375</v>
      </c>
      <c r="L194" s="56">
        <f>'Расчет субсидий'!P194-1</f>
        <v>-0.752241238793806</v>
      </c>
      <c r="M194" s="56">
        <f>L194*'Расчет субсидий'!Q194</f>
        <v>-15.044824775876119</v>
      </c>
      <c r="N194" s="57">
        <f t="shared" si="58"/>
        <v>-44.245273810223644</v>
      </c>
      <c r="O194" s="56">
        <f>'Расчет субсидий'!T194-1</f>
        <v>0.20382608695652182</v>
      </c>
      <c r="P194" s="56">
        <f>O194*'Расчет субсидий'!U194</f>
        <v>6.1147826086956547</v>
      </c>
      <c r="Q194" s="57">
        <f t="shared" si="59"/>
        <v>17.982943293932625</v>
      </c>
      <c r="R194" s="56">
        <f>'Расчет субсидий'!X194-1</f>
        <v>2.8571428571428692E-2</v>
      </c>
      <c r="S194" s="56">
        <f>R194*'Расчет субсидий'!Y194</f>
        <v>0.57142857142857384</v>
      </c>
      <c r="T194" s="57">
        <f t="shared" si="60"/>
        <v>1.6805123344728259</v>
      </c>
      <c r="U194" s="56">
        <f t="shared" si="56"/>
        <v>-8.3586135957518906</v>
      </c>
    </row>
    <row r="195" spans="1:21" ht="15" customHeight="1">
      <c r="A195" s="34" t="s">
        <v>192</v>
      </c>
      <c r="B195" s="54">
        <f>'Расчет субсидий'!AD195</f>
        <v>9.6636363636363853</v>
      </c>
      <c r="C195" s="56">
        <f>'Расчет субсидий'!D195-1</f>
        <v>-1</v>
      </c>
      <c r="D195" s="56">
        <f>C195*'Расчет субсидий'!E195</f>
        <v>0</v>
      </c>
      <c r="E195" s="57">
        <f t="shared" si="57"/>
        <v>0</v>
      </c>
      <c r="F195" s="28" t="s">
        <v>375</v>
      </c>
      <c r="G195" s="28" t="s">
        <v>375</v>
      </c>
      <c r="H195" s="28" t="s">
        <v>375</v>
      </c>
      <c r="I195" s="28" t="s">
        <v>375</v>
      </c>
      <c r="J195" s="28" t="s">
        <v>375</v>
      </c>
      <c r="K195" s="28" t="s">
        <v>375</v>
      </c>
      <c r="L195" s="56">
        <f>'Расчет субсидий'!P195-1</f>
        <v>-0.10786516853932582</v>
      </c>
      <c r="M195" s="56">
        <f>L195*'Расчет субсидий'!Q195</f>
        <v>-2.1573033707865163</v>
      </c>
      <c r="N195" s="57">
        <f t="shared" si="58"/>
        <v>-5.9249815306811024</v>
      </c>
      <c r="O195" s="56">
        <f>'Расчет субсидий'!T195-1</f>
        <v>0.17586206896551726</v>
      </c>
      <c r="P195" s="56">
        <f>O195*'Расчет субсидий'!U195</f>
        <v>5.2758620689655178</v>
      </c>
      <c r="Q195" s="57">
        <f t="shared" si="59"/>
        <v>14.490027568837032</v>
      </c>
      <c r="R195" s="56">
        <f>'Расчет субсидий'!X195-1</f>
        <v>2.0000000000000018E-2</v>
      </c>
      <c r="S195" s="56">
        <f>R195*'Расчет субсидий'!Y195</f>
        <v>0.40000000000000036</v>
      </c>
      <c r="T195" s="57">
        <f t="shared" si="60"/>
        <v>1.0985903254804557</v>
      </c>
      <c r="U195" s="56">
        <f t="shared" si="56"/>
        <v>3.5185586981790018</v>
      </c>
    </row>
    <row r="196" spans="1:21" ht="15" customHeight="1">
      <c r="A196" s="34" t="s">
        <v>193</v>
      </c>
      <c r="B196" s="54">
        <f>'Расчет субсидий'!AD196</f>
        <v>-9.4090909090909065</v>
      </c>
      <c r="C196" s="56">
        <f>'Расчет субсидий'!D196-1</f>
        <v>-1</v>
      </c>
      <c r="D196" s="56">
        <f>C196*'Расчет субсидий'!E196</f>
        <v>0</v>
      </c>
      <c r="E196" s="57">
        <f t="shared" si="57"/>
        <v>0</v>
      </c>
      <c r="F196" s="28" t="s">
        <v>375</v>
      </c>
      <c r="G196" s="28" t="s">
        <v>375</v>
      </c>
      <c r="H196" s="28" t="s">
        <v>375</v>
      </c>
      <c r="I196" s="28" t="s">
        <v>375</v>
      </c>
      <c r="J196" s="28" t="s">
        <v>375</v>
      </c>
      <c r="K196" s="28" t="s">
        <v>375</v>
      </c>
      <c r="L196" s="56">
        <f>'Расчет субсидий'!P196-1</f>
        <v>-0.94360313315926891</v>
      </c>
      <c r="M196" s="56">
        <f>L196*'Расчет субсидий'!Q196</f>
        <v>-18.872062663185378</v>
      </c>
      <c r="N196" s="57">
        <f t="shared" si="58"/>
        <v>-11.551407064273306</v>
      </c>
      <c r="O196" s="56">
        <f>'Расчет субсидий'!T196-1</f>
        <v>0.10000000000000009</v>
      </c>
      <c r="P196" s="56">
        <f>O196*'Расчет субсидий'!U196</f>
        <v>2.5000000000000022</v>
      </c>
      <c r="Q196" s="57">
        <f t="shared" si="59"/>
        <v>1.5302258251302852</v>
      </c>
      <c r="R196" s="56">
        <f>'Расчет субсидий'!X196-1</f>
        <v>4.0000000000000036E-2</v>
      </c>
      <c r="S196" s="56">
        <f>R196*'Расчет субсидий'!Y196</f>
        <v>1.0000000000000009</v>
      </c>
      <c r="T196" s="57">
        <f t="shared" si="60"/>
        <v>0.61209033005211411</v>
      </c>
      <c r="U196" s="56">
        <f t="shared" si="56"/>
        <v>-15.372062663185375</v>
      </c>
    </row>
    <row r="197" spans="1:21" ht="15" customHeight="1">
      <c r="A197" s="34" t="s">
        <v>194</v>
      </c>
      <c r="B197" s="54">
        <f>'Расчет субсидий'!AD197</f>
        <v>-6.0636363636363697</v>
      </c>
      <c r="C197" s="56">
        <f>'Расчет субсидий'!D197-1</f>
        <v>-1</v>
      </c>
      <c r="D197" s="56">
        <f>C197*'Расчет субсидий'!E197</f>
        <v>0</v>
      </c>
      <c r="E197" s="57">
        <f t="shared" si="57"/>
        <v>0</v>
      </c>
      <c r="F197" s="28" t="s">
        <v>375</v>
      </c>
      <c r="G197" s="28" t="s">
        <v>375</v>
      </c>
      <c r="H197" s="28" t="s">
        <v>375</v>
      </c>
      <c r="I197" s="28" t="s">
        <v>375</v>
      </c>
      <c r="J197" s="28" t="s">
        <v>375</v>
      </c>
      <c r="K197" s="28" t="s">
        <v>375</v>
      </c>
      <c r="L197" s="56">
        <f>'Расчет субсидий'!P197-1</f>
        <v>-0.81981981981981977</v>
      </c>
      <c r="M197" s="56">
        <f>L197*'Расчет субсидий'!Q197</f>
        <v>-16.396396396396394</v>
      </c>
      <c r="N197" s="57">
        <f t="shared" si="58"/>
        <v>-13.160204134177855</v>
      </c>
      <c r="O197" s="56">
        <f>'Расчет субсидий'!T197-1</f>
        <v>0.22583333333333333</v>
      </c>
      <c r="P197" s="56">
        <f>O197*'Расчет субсидий'!U197</f>
        <v>7.9041666666666668</v>
      </c>
      <c r="Q197" s="57">
        <f t="shared" si="59"/>
        <v>6.3441041756442971</v>
      </c>
      <c r="R197" s="56">
        <f>'Расчет субсидий'!X197-1</f>
        <v>6.25E-2</v>
      </c>
      <c r="S197" s="56">
        <f>R197*'Расчет субсидий'!Y197</f>
        <v>0.9375</v>
      </c>
      <c r="T197" s="57">
        <f t="shared" si="60"/>
        <v>0.75246359489718861</v>
      </c>
      <c r="U197" s="56">
        <f t="shared" si="56"/>
        <v>-7.5547297297297273</v>
      </c>
    </row>
    <row r="198" spans="1:21" ht="15" customHeight="1">
      <c r="A198" s="34" t="s">
        <v>195</v>
      </c>
      <c r="B198" s="54">
        <f>'Расчет субсидий'!AD198</f>
        <v>-17</v>
      </c>
      <c r="C198" s="56">
        <f>'Расчет субсидий'!D198-1</f>
        <v>-1</v>
      </c>
      <c r="D198" s="56">
        <f>C198*'Расчет субсидий'!E198</f>
        <v>0</v>
      </c>
      <c r="E198" s="57">
        <f t="shared" si="57"/>
        <v>0</v>
      </c>
      <c r="F198" s="28" t="s">
        <v>375</v>
      </c>
      <c r="G198" s="28" t="s">
        <v>375</v>
      </c>
      <c r="H198" s="28" t="s">
        <v>375</v>
      </c>
      <c r="I198" s="28" t="s">
        <v>375</v>
      </c>
      <c r="J198" s="28" t="s">
        <v>375</v>
      </c>
      <c r="K198" s="28" t="s">
        <v>375</v>
      </c>
      <c r="L198" s="56">
        <f>'Расчет субсидий'!P198-1</f>
        <v>-0.81759818731117828</v>
      </c>
      <c r="M198" s="56">
        <f>L198*'Расчет субсидий'!Q198</f>
        <v>-16.351963746223564</v>
      </c>
      <c r="N198" s="57">
        <f t="shared" si="58"/>
        <v>-33.921837639697912</v>
      </c>
      <c r="O198" s="56">
        <f>'Расчет субсидий'!T198-1</f>
        <v>5.428571428571427E-2</v>
      </c>
      <c r="P198" s="56">
        <f>O198*'Расчет субсидий'!U198</f>
        <v>1.3571428571428568</v>
      </c>
      <c r="Q198" s="57">
        <f t="shared" si="59"/>
        <v>2.8153670328744327</v>
      </c>
      <c r="R198" s="56">
        <f>'Расчет субсидий'!X198-1</f>
        <v>0.27200000000000002</v>
      </c>
      <c r="S198" s="56">
        <f>R198*'Расчет субсидий'!Y198</f>
        <v>6.8000000000000007</v>
      </c>
      <c r="T198" s="57">
        <f t="shared" si="60"/>
        <v>14.106470606823477</v>
      </c>
      <c r="U198" s="56">
        <f t="shared" si="56"/>
        <v>-8.1948208890807059</v>
      </c>
    </row>
    <row r="199" spans="1:21" ht="15" customHeight="1">
      <c r="A199" s="33" t="s">
        <v>196</v>
      </c>
      <c r="B199" s="58"/>
      <c r="C199" s="59"/>
      <c r="D199" s="59"/>
      <c r="E199" s="60"/>
      <c r="F199" s="59"/>
      <c r="G199" s="59"/>
      <c r="H199" s="60"/>
      <c r="I199" s="60"/>
      <c r="J199" s="60"/>
      <c r="K199" s="60"/>
      <c r="L199" s="59"/>
      <c r="M199" s="59"/>
      <c r="N199" s="60"/>
      <c r="O199" s="59"/>
      <c r="P199" s="59"/>
      <c r="Q199" s="60"/>
      <c r="R199" s="59"/>
      <c r="S199" s="59"/>
      <c r="T199" s="60"/>
      <c r="U199" s="60"/>
    </row>
    <row r="200" spans="1:21" ht="15" customHeight="1">
      <c r="A200" s="34" t="s">
        <v>197</v>
      </c>
      <c r="B200" s="54">
        <f>'Расчет субсидий'!AD200</f>
        <v>15.636363636363626</v>
      </c>
      <c r="C200" s="56">
        <f>'Расчет субсидий'!D200-1</f>
        <v>-1</v>
      </c>
      <c r="D200" s="56">
        <f>C200*'Расчет субсидий'!E200</f>
        <v>0</v>
      </c>
      <c r="E200" s="57">
        <f t="shared" ref="E200:E211" si="61">$B200*D200/$U200</f>
        <v>0</v>
      </c>
      <c r="F200" s="28" t="s">
        <v>375</v>
      </c>
      <c r="G200" s="28" t="s">
        <v>375</v>
      </c>
      <c r="H200" s="28" t="s">
        <v>375</v>
      </c>
      <c r="I200" s="28" t="s">
        <v>375</v>
      </c>
      <c r="J200" s="28" t="s">
        <v>375</v>
      </c>
      <c r="K200" s="28" t="s">
        <v>375</v>
      </c>
      <c r="L200" s="56">
        <f>'Расчет субсидий'!P200-1</f>
        <v>6.9137168141592875E-2</v>
      </c>
      <c r="M200" s="56">
        <f>L200*'Расчет субсидий'!Q200</f>
        <v>1.3827433628318575</v>
      </c>
      <c r="N200" s="57">
        <f t="shared" ref="N200:N211" si="62">$B200*M200/$U200</f>
        <v>3.281576305851885</v>
      </c>
      <c r="O200" s="56">
        <f>'Расчет субсидий'!T200-1</f>
        <v>0.30000000000000004</v>
      </c>
      <c r="P200" s="56">
        <f>O200*'Расчет субсидий'!U200</f>
        <v>10.500000000000002</v>
      </c>
      <c r="Q200" s="57">
        <f t="shared" ref="Q200:Q211" si="63">$B200*P200/$U200</f>
        <v>24.918977836116891</v>
      </c>
      <c r="R200" s="56">
        <f>'Расчет субсидий'!X200-1</f>
        <v>-0.3529411764705882</v>
      </c>
      <c r="S200" s="56">
        <f>R200*'Расчет субсидий'!Y200</f>
        <v>-5.2941176470588234</v>
      </c>
      <c r="T200" s="57">
        <f t="shared" ref="T200:T211" si="64">$B200*S200/$U200</f>
        <v>-12.564190505605154</v>
      </c>
      <c r="U200" s="56">
        <f t="shared" si="56"/>
        <v>6.5886257157730368</v>
      </c>
    </row>
    <row r="201" spans="1:21" ht="15" customHeight="1">
      <c r="A201" s="34" t="s">
        <v>198</v>
      </c>
      <c r="B201" s="54">
        <f>'Расчет субсидий'!AD201</f>
        <v>8.7636363636363654</v>
      </c>
      <c r="C201" s="56">
        <f>'Расчет субсидий'!D201-1</f>
        <v>-1</v>
      </c>
      <c r="D201" s="56">
        <f>C201*'Расчет субсидий'!E201</f>
        <v>0</v>
      </c>
      <c r="E201" s="57">
        <f t="shared" si="61"/>
        <v>0</v>
      </c>
      <c r="F201" s="28" t="s">
        <v>375</v>
      </c>
      <c r="G201" s="28" t="s">
        <v>375</v>
      </c>
      <c r="H201" s="28" t="s">
        <v>375</v>
      </c>
      <c r="I201" s="28" t="s">
        <v>375</v>
      </c>
      <c r="J201" s="28" t="s">
        <v>375</v>
      </c>
      <c r="K201" s="28" t="s">
        <v>375</v>
      </c>
      <c r="L201" s="56">
        <f>'Расчет субсидий'!P201-1</f>
        <v>0.30000000000000004</v>
      </c>
      <c r="M201" s="56">
        <f>L201*'Расчет субсидий'!Q201</f>
        <v>6.0000000000000009</v>
      </c>
      <c r="N201" s="57">
        <f t="shared" si="62"/>
        <v>8.7636363636363654</v>
      </c>
      <c r="O201" s="56">
        <f>'Расчет субсидий'!T201-1</f>
        <v>0</v>
      </c>
      <c r="P201" s="56">
        <f>O201*'Расчет субсидий'!U201</f>
        <v>0</v>
      </c>
      <c r="Q201" s="57">
        <f t="shared" si="63"/>
        <v>0</v>
      </c>
      <c r="R201" s="56">
        <f>'Расчет субсидий'!X201-1</f>
        <v>0</v>
      </c>
      <c r="S201" s="56">
        <f>R201*'Расчет субсидий'!Y201</f>
        <v>0</v>
      </c>
      <c r="T201" s="57">
        <f t="shared" si="64"/>
        <v>0</v>
      </c>
      <c r="U201" s="56">
        <f t="shared" si="56"/>
        <v>6.0000000000000009</v>
      </c>
    </row>
    <row r="202" spans="1:21" ht="15" customHeight="1">
      <c r="A202" s="34" t="s">
        <v>199</v>
      </c>
      <c r="B202" s="54">
        <f>'Расчет субсидий'!AD202</f>
        <v>11.136363636363626</v>
      </c>
      <c r="C202" s="56">
        <f>'Расчет субсидий'!D202-1</f>
        <v>-1</v>
      </c>
      <c r="D202" s="56">
        <f>C202*'Расчет субсидий'!E202</f>
        <v>0</v>
      </c>
      <c r="E202" s="57">
        <f t="shared" si="61"/>
        <v>0</v>
      </c>
      <c r="F202" s="28" t="s">
        <v>375</v>
      </c>
      <c r="G202" s="28" t="s">
        <v>375</v>
      </c>
      <c r="H202" s="28" t="s">
        <v>375</v>
      </c>
      <c r="I202" s="28" t="s">
        <v>375</v>
      </c>
      <c r="J202" s="28" t="s">
        <v>375</v>
      </c>
      <c r="K202" s="28" t="s">
        <v>375</v>
      </c>
      <c r="L202" s="56">
        <f>'Расчет субсидий'!P202-1</f>
        <v>0.24026747195858489</v>
      </c>
      <c r="M202" s="56">
        <f>L202*'Расчет субсидий'!Q202</f>
        <v>4.8053494391716978</v>
      </c>
      <c r="N202" s="57">
        <f t="shared" si="62"/>
        <v>18.685689831621094</v>
      </c>
      <c r="O202" s="56">
        <f>'Расчет субсидий'!T202-1</f>
        <v>-0.18236173393124067</v>
      </c>
      <c r="P202" s="56">
        <f>O202*'Расчет субсидий'!U202</f>
        <v>-5.4708520179372204</v>
      </c>
      <c r="Q202" s="57">
        <f t="shared" si="63"/>
        <v>-21.273508870874988</v>
      </c>
      <c r="R202" s="56">
        <f>'Расчет субсидий'!X202-1</f>
        <v>0.17647058823529416</v>
      </c>
      <c r="S202" s="56">
        <f>R202*'Расчет субсидий'!Y202</f>
        <v>3.5294117647058831</v>
      </c>
      <c r="T202" s="57">
        <f t="shared" si="64"/>
        <v>13.72418267561752</v>
      </c>
      <c r="U202" s="56">
        <f t="shared" si="56"/>
        <v>2.8639091859403605</v>
      </c>
    </row>
    <row r="203" spans="1:21" ht="15" customHeight="1">
      <c r="A203" s="34" t="s">
        <v>200</v>
      </c>
      <c r="B203" s="54">
        <f>'Расчет субсидий'!AD203</f>
        <v>-25.845454545454544</v>
      </c>
      <c r="C203" s="56">
        <f>'Расчет субсидий'!D203-1</f>
        <v>-1</v>
      </c>
      <c r="D203" s="56">
        <f>C203*'Расчет субсидий'!E203</f>
        <v>0</v>
      </c>
      <c r="E203" s="57">
        <f t="shared" si="61"/>
        <v>0</v>
      </c>
      <c r="F203" s="28" t="s">
        <v>375</v>
      </c>
      <c r="G203" s="28" t="s">
        <v>375</v>
      </c>
      <c r="H203" s="28" t="s">
        <v>375</v>
      </c>
      <c r="I203" s="28" t="s">
        <v>375</v>
      </c>
      <c r="J203" s="28" t="s">
        <v>375</v>
      </c>
      <c r="K203" s="28" t="s">
        <v>375</v>
      </c>
      <c r="L203" s="56">
        <f>'Расчет субсидий'!P203-1</f>
        <v>-0.67061281337047363</v>
      </c>
      <c r="M203" s="56">
        <f>L203*'Расчет субсидий'!Q203</f>
        <v>-13.412256267409472</v>
      </c>
      <c r="N203" s="57">
        <f t="shared" si="62"/>
        <v>-12.96086064603683</v>
      </c>
      <c r="O203" s="56">
        <f>'Расчет субсидий'!T203-1</f>
        <v>0</v>
      </c>
      <c r="P203" s="56">
        <f>O203*'Расчет субсидий'!U203</f>
        <v>0</v>
      </c>
      <c r="Q203" s="57">
        <f t="shared" si="63"/>
        <v>0</v>
      </c>
      <c r="R203" s="56">
        <f>'Расчет субсидий'!X203-1</f>
        <v>-0.66666666666666663</v>
      </c>
      <c r="S203" s="56">
        <f>R203*'Расчет субсидий'!Y203</f>
        <v>-13.333333333333332</v>
      </c>
      <c r="T203" s="57">
        <f t="shared" si="64"/>
        <v>-12.884593899417714</v>
      </c>
      <c r="U203" s="56">
        <f t="shared" si="56"/>
        <v>-26.745589600742804</v>
      </c>
    </row>
    <row r="204" spans="1:21" ht="15" customHeight="1">
      <c r="A204" s="34" t="s">
        <v>201</v>
      </c>
      <c r="B204" s="54">
        <f>'Расчет субсидий'!AD204</f>
        <v>1.7363636363636203</v>
      </c>
      <c r="C204" s="56">
        <f>'Расчет субсидий'!D204-1</f>
        <v>-1</v>
      </c>
      <c r="D204" s="56">
        <f>C204*'Расчет субсидий'!E204</f>
        <v>0</v>
      </c>
      <c r="E204" s="57">
        <f t="shared" si="61"/>
        <v>0</v>
      </c>
      <c r="F204" s="28" t="s">
        <v>375</v>
      </c>
      <c r="G204" s="28" t="s">
        <v>375</v>
      </c>
      <c r="H204" s="28" t="s">
        <v>375</v>
      </c>
      <c r="I204" s="28" t="s">
        <v>375</v>
      </c>
      <c r="J204" s="28" t="s">
        <v>375</v>
      </c>
      <c r="K204" s="28" t="s">
        <v>375</v>
      </c>
      <c r="L204" s="56">
        <f>'Расчет субсидий'!P204-1</f>
        <v>-0.22324159021406731</v>
      </c>
      <c r="M204" s="56">
        <f>L204*'Расчет субсидий'!Q204</f>
        <v>-4.4648318042813457</v>
      </c>
      <c r="N204" s="57">
        <f t="shared" si="62"/>
        <v>-11.762527754987842</v>
      </c>
      <c r="O204" s="56">
        <f>'Расчет субсидий'!T204-1</f>
        <v>9.375E-2</v>
      </c>
      <c r="P204" s="56">
        <f>O204*'Расчет субсидий'!U204</f>
        <v>0.46875</v>
      </c>
      <c r="Q204" s="57">
        <f t="shared" si="63"/>
        <v>1.2349143544138563</v>
      </c>
      <c r="R204" s="56">
        <f>'Расчет субсидий'!X204-1</f>
        <v>0.10344827586206895</v>
      </c>
      <c r="S204" s="56">
        <f>R204*'Расчет субсидий'!Y204</f>
        <v>4.6551724137931032</v>
      </c>
      <c r="T204" s="57">
        <f t="shared" si="64"/>
        <v>12.263977036937607</v>
      </c>
      <c r="U204" s="56">
        <f t="shared" si="56"/>
        <v>0.65909060951175746</v>
      </c>
    </row>
    <row r="205" spans="1:21" ht="15" customHeight="1">
      <c r="A205" s="34" t="s">
        <v>202</v>
      </c>
      <c r="B205" s="54">
        <f>'Расчет субсидий'!AD205</f>
        <v>-21.400000000000006</v>
      </c>
      <c r="C205" s="56">
        <f>'Расчет субсидий'!D205-1</f>
        <v>0.21533783783783789</v>
      </c>
      <c r="D205" s="56">
        <f>C205*'Расчет субсидий'!E205</f>
        <v>2.1533783783783789</v>
      </c>
      <c r="E205" s="57">
        <f t="shared" si="61"/>
        <v>6.4127438321288128</v>
      </c>
      <c r="F205" s="28" t="s">
        <v>375</v>
      </c>
      <c r="G205" s="28" t="s">
        <v>375</v>
      </c>
      <c r="H205" s="28" t="s">
        <v>375</v>
      </c>
      <c r="I205" s="28" t="s">
        <v>375</v>
      </c>
      <c r="J205" s="28" t="s">
        <v>375</v>
      </c>
      <c r="K205" s="28" t="s">
        <v>375</v>
      </c>
      <c r="L205" s="56">
        <f>'Расчет субсидий'!P205-1</f>
        <v>-0.55645161290322587</v>
      </c>
      <c r="M205" s="56">
        <f>L205*'Расчет субсидий'!Q205</f>
        <v>-11.129032258064518</v>
      </c>
      <c r="N205" s="57">
        <f t="shared" si="62"/>
        <v>-33.142170315748167</v>
      </c>
      <c r="O205" s="56">
        <f>'Расчет субсидий'!T205-1</f>
        <v>2.9702970297029729E-2</v>
      </c>
      <c r="P205" s="56">
        <f>O205*'Расчет субсидий'!U205</f>
        <v>1.0396039603960405</v>
      </c>
      <c r="Q205" s="57">
        <f t="shared" si="63"/>
        <v>3.0959323971232702</v>
      </c>
      <c r="R205" s="56">
        <f>'Расчет субсидий'!X205-1</f>
        <v>5.0000000000000044E-2</v>
      </c>
      <c r="S205" s="56">
        <f>R205*'Расчет субсидий'!Y205</f>
        <v>0.75000000000000067</v>
      </c>
      <c r="T205" s="57">
        <f t="shared" si="64"/>
        <v>2.2334940864960737</v>
      </c>
      <c r="U205" s="56">
        <f t="shared" si="56"/>
        <v>-7.1860499192900971</v>
      </c>
    </row>
    <row r="206" spans="1:21" ht="15" customHeight="1">
      <c r="A206" s="34" t="s">
        <v>203</v>
      </c>
      <c r="B206" s="54">
        <f>'Расчет субсидий'!AD206</f>
        <v>20.463636363636397</v>
      </c>
      <c r="C206" s="56">
        <f>'Расчет субсидий'!D206-1</f>
        <v>-8.3725344557233683E-2</v>
      </c>
      <c r="D206" s="56">
        <f>C206*'Расчет субсидий'!E206</f>
        <v>-0.83725344557233683</v>
      </c>
      <c r="E206" s="57">
        <f t="shared" si="61"/>
        <v>-3.8008017512248777</v>
      </c>
      <c r="F206" s="28" t="s">
        <v>375</v>
      </c>
      <c r="G206" s="28" t="s">
        <v>375</v>
      </c>
      <c r="H206" s="28" t="s">
        <v>375</v>
      </c>
      <c r="I206" s="28" t="s">
        <v>375</v>
      </c>
      <c r="J206" s="28" t="s">
        <v>375</v>
      </c>
      <c r="K206" s="28" t="s">
        <v>375</v>
      </c>
      <c r="L206" s="56">
        <f>'Расчет субсидий'!P206-1</f>
        <v>-0.16250688922132106</v>
      </c>
      <c r="M206" s="56">
        <f>L206*'Расчет субсидий'!Q206</f>
        <v>-3.2501377844264212</v>
      </c>
      <c r="N206" s="57">
        <f t="shared" si="62"/>
        <v>-14.754348815280929</v>
      </c>
      <c r="O206" s="56">
        <f>'Расчет субсидий'!T206-1</f>
        <v>0.27261744966442958</v>
      </c>
      <c r="P206" s="56">
        <f>O206*'Расчет субсидий'!U206</f>
        <v>8.1785234899328874</v>
      </c>
      <c r="Q206" s="57">
        <f t="shared" si="63"/>
        <v>37.12728393935889</v>
      </c>
      <c r="R206" s="56">
        <f>'Расчет субсидий'!X206-1</f>
        <v>2.0833333333333481E-2</v>
      </c>
      <c r="S206" s="56">
        <f>R206*'Расчет субсидий'!Y206</f>
        <v>0.41666666666666963</v>
      </c>
      <c r="T206" s="57">
        <f t="shared" si="64"/>
        <v>1.8915029907833143</v>
      </c>
      <c r="U206" s="56">
        <f t="shared" si="56"/>
        <v>4.5077989266007989</v>
      </c>
    </row>
    <row r="207" spans="1:21" ht="15" customHeight="1">
      <c r="A207" s="34" t="s">
        <v>204</v>
      </c>
      <c r="B207" s="54">
        <f>'Расчет субсидий'!AD207</f>
        <v>-28.86363636363636</v>
      </c>
      <c r="C207" s="56">
        <f>'Расчет субсидий'!D207-1</f>
        <v>-1</v>
      </c>
      <c r="D207" s="56">
        <f>C207*'Расчет субсидий'!E207</f>
        <v>0</v>
      </c>
      <c r="E207" s="57">
        <f t="shared" si="61"/>
        <v>0</v>
      </c>
      <c r="F207" s="28" t="s">
        <v>375</v>
      </c>
      <c r="G207" s="28" t="s">
        <v>375</v>
      </c>
      <c r="H207" s="28" t="s">
        <v>375</v>
      </c>
      <c r="I207" s="28" t="s">
        <v>375</v>
      </c>
      <c r="J207" s="28" t="s">
        <v>375</v>
      </c>
      <c r="K207" s="28" t="s">
        <v>375</v>
      </c>
      <c r="L207" s="56">
        <f>'Расчет субсидий'!P207-1</f>
        <v>-0.9260475297060663</v>
      </c>
      <c r="M207" s="56">
        <f>L207*'Расчет субсидий'!Q207</f>
        <v>-18.520950594121327</v>
      </c>
      <c r="N207" s="57">
        <f t="shared" si="62"/>
        <v>-23.341304339439631</v>
      </c>
      <c r="O207" s="56">
        <f>'Расчет субсидий'!T207-1</f>
        <v>-4.7297297297297369E-2</v>
      </c>
      <c r="P207" s="56">
        <f>O207*'Расчет субсидий'!U207</f>
        <v>-1.4189189189189211</v>
      </c>
      <c r="Q207" s="57">
        <f t="shared" si="63"/>
        <v>-1.788213739417216</v>
      </c>
      <c r="R207" s="56">
        <f>'Расчет субсидий'!X207-1</f>
        <v>-0.14814814814814825</v>
      </c>
      <c r="S207" s="56">
        <f>R207*'Расчет субсидий'!Y207</f>
        <v>-2.962962962962965</v>
      </c>
      <c r="T207" s="57">
        <f t="shared" si="64"/>
        <v>-3.7341182847795089</v>
      </c>
      <c r="U207" s="56">
        <f t="shared" si="56"/>
        <v>-22.902832476003216</v>
      </c>
    </row>
    <row r="208" spans="1:21" ht="15" customHeight="1">
      <c r="A208" s="34" t="s">
        <v>205</v>
      </c>
      <c r="B208" s="54">
        <f>'Расчет субсидий'!AD208</f>
        <v>-10.918181818181822</v>
      </c>
      <c r="C208" s="56">
        <f>'Расчет субсидий'!D208-1</f>
        <v>-1</v>
      </c>
      <c r="D208" s="56">
        <f>C208*'Расчет субсидий'!E208</f>
        <v>0</v>
      </c>
      <c r="E208" s="57">
        <f t="shared" si="61"/>
        <v>0</v>
      </c>
      <c r="F208" s="28" t="s">
        <v>375</v>
      </c>
      <c r="G208" s="28" t="s">
        <v>375</v>
      </c>
      <c r="H208" s="28" t="s">
        <v>375</v>
      </c>
      <c r="I208" s="28" t="s">
        <v>375</v>
      </c>
      <c r="J208" s="28" t="s">
        <v>375</v>
      </c>
      <c r="K208" s="28" t="s">
        <v>375</v>
      </c>
      <c r="L208" s="56">
        <f>'Расчет субсидий'!P208-1</f>
        <v>-0.46805349182763745</v>
      </c>
      <c r="M208" s="56">
        <f>L208*'Расчет субсидий'!Q208</f>
        <v>-9.3610698365527494</v>
      </c>
      <c r="N208" s="57">
        <f t="shared" si="62"/>
        <v>-6.7711098834358117</v>
      </c>
      <c r="O208" s="56">
        <f>'Расчет субсидий'!T208-1</f>
        <v>-0.33333333333333337</v>
      </c>
      <c r="P208" s="56">
        <f>O208*'Расчет субсидий'!U208</f>
        <v>-10.000000000000002</v>
      </c>
      <c r="Q208" s="57">
        <f t="shared" si="63"/>
        <v>-7.2332650024639706</v>
      </c>
      <c r="R208" s="56">
        <f>'Расчет субсидий'!X208-1</f>
        <v>0.21333333333333337</v>
      </c>
      <c r="S208" s="56">
        <f>R208*'Расчет субсидий'!Y208</f>
        <v>4.2666666666666675</v>
      </c>
      <c r="T208" s="57">
        <f t="shared" si="64"/>
        <v>3.0861930677179612</v>
      </c>
      <c r="U208" s="56">
        <f t="shared" si="56"/>
        <v>-15.094403169886084</v>
      </c>
    </row>
    <row r="209" spans="1:21" ht="15" customHeight="1">
      <c r="A209" s="34" t="s">
        <v>206</v>
      </c>
      <c r="B209" s="54">
        <f>'Расчет субсидий'!AD209</f>
        <v>-53.718181818181819</v>
      </c>
      <c r="C209" s="56">
        <f>'Расчет субсидий'!D209-1</f>
        <v>-1</v>
      </c>
      <c r="D209" s="56">
        <f>C209*'Расчет субсидий'!E209</f>
        <v>0</v>
      </c>
      <c r="E209" s="57">
        <f t="shared" si="61"/>
        <v>0</v>
      </c>
      <c r="F209" s="28" t="s">
        <v>375</v>
      </c>
      <c r="G209" s="28" t="s">
        <v>375</v>
      </c>
      <c r="H209" s="28" t="s">
        <v>375</v>
      </c>
      <c r="I209" s="28" t="s">
        <v>375</v>
      </c>
      <c r="J209" s="28" t="s">
        <v>375</v>
      </c>
      <c r="K209" s="28" t="s">
        <v>375</v>
      </c>
      <c r="L209" s="56">
        <f>'Расчет субсидий'!P209-1</f>
        <v>-0.18856259659969088</v>
      </c>
      <c r="M209" s="56">
        <f>L209*'Расчет субсидий'!Q209</f>
        <v>-3.7712519319938176</v>
      </c>
      <c r="N209" s="57">
        <f t="shared" si="62"/>
        <v>-13.632765442442082</v>
      </c>
      <c r="O209" s="56">
        <f>'Расчет субсидий'!T209-1</f>
        <v>-0.11078140454995045</v>
      </c>
      <c r="P209" s="56">
        <f>O209*'Расчет субсидий'!U209</f>
        <v>-3.8773491592482658</v>
      </c>
      <c r="Q209" s="57">
        <f t="shared" si="63"/>
        <v>-14.016298189480988</v>
      </c>
      <c r="R209" s="56">
        <f>'Расчет субсидий'!X209-1</f>
        <v>-0.48076923076923073</v>
      </c>
      <c r="S209" s="56">
        <f>R209*'Расчет субсидий'!Y209</f>
        <v>-7.2115384615384608</v>
      </c>
      <c r="T209" s="57">
        <f t="shared" si="64"/>
        <v>-26.069118186258748</v>
      </c>
      <c r="U209" s="56">
        <f t="shared" si="56"/>
        <v>-14.860139552780545</v>
      </c>
    </row>
    <row r="210" spans="1:21" ht="15" customHeight="1">
      <c r="A210" s="34" t="s">
        <v>207</v>
      </c>
      <c r="B210" s="54">
        <f>'Расчет субсидий'!AD210</f>
        <v>-2.7818181818181813</v>
      </c>
      <c r="C210" s="56">
        <f>'Расчет субсидий'!D210-1</f>
        <v>-1</v>
      </c>
      <c r="D210" s="56">
        <f>C210*'Расчет субсидий'!E210</f>
        <v>0</v>
      </c>
      <c r="E210" s="57">
        <f t="shared" si="61"/>
        <v>0</v>
      </c>
      <c r="F210" s="28" t="s">
        <v>375</v>
      </c>
      <c r="G210" s="28" t="s">
        <v>375</v>
      </c>
      <c r="H210" s="28" t="s">
        <v>375</v>
      </c>
      <c r="I210" s="28" t="s">
        <v>375</v>
      </c>
      <c r="J210" s="28" t="s">
        <v>375</v>
      </c>
      <c r="K210" s="28" t="s">
        <v>375</v>
      </c>
      <c r="L210" s="56">
        <f>'Расчет субсидий'!P210-1</f>
        <v>0.20193308550185862</v>
      </c>
      <c r="M210" s="56">
        <f>L210*'Расчет субсидий'!Q210</f>
        <v>4.0386617100371724</v>
      </c>
      <c r="N210" s="57">
        <f t="shared" si="62"/>
        <v>4.0321100333241295</v>
      </c>
      <c r="O210" s="56">
        <f>'Расчет субсидий'!T210-1</f>
        <v>0.23357142857142854</v>
      </c>
      <c r="P210" s="56">
        <f>O210*'Расчет субсидий'!U210</f>
        <v>8.1749999999999989</v>
      </c>
      <c r="Q210" s="57">
        <f t="shared" si="63"/>
        <v>8.1617381917638649</v>
      </c>
      <c r="R210" s="56">
        <f>'Расчет субсидий'!X210-1</f>
        <v>-1</v>
      </c>
      <c r="S210" s="56">
        <f>R210*'Расчет субсидий'!Y210</f>
        <v>-15</v>
      </c>
      <c r="T210" s="57">
        <f t="shared" si="64"/>
        <v>-14.975666406906177</v>
      </c>
      <c r="U210" s="56">
        <f t="shared" si="56"/>
        <v>-2.7863382899628277</v>
      </c>
    </row>
    <row r="211" spans="1:21" ht="15" customHeight="1">
      <c r="A211" s="34" t="s">
        <v>208</v>
      </c>
      <c r="B211" s="54">
        <f>'Расчет субсидий'!AD211</f>
        <v>-16.318181818181813</v>
      </c>
      <c r="C211" s="56">
        <f>'Расчет субсидий'!D211-1</f>
        <v>-1</v>
      </c>
      <c r="D211" s="56">
        <f>C211*'Расчет субсидий'!E211</f>
        <v>0</v>
      </c>
      <c r="E211" s="57">
        <f t="shared" si="61"/>
        <v>0</v>
      </c>
      <c r="F211" s="28" t="s">
        <v>375</v>
      </c>
      <c r="G211" s="28" t="s">
        <v>375</v>
      </c>
      <c r="H211" s="28" t="s">
        <v>375</v>
      </c>
      <c r="I211" s="28" t="s">
        <v>375</v>
      </c>
      <c r="J211" s="28" t="s">
        <v>375</v>
      </c>
      <c r="K211" s="28" t="s">
        <v>375</v>
      </c>
      <c r="L211" s="56">
        <f>'Расчет субсидий'!P211-1</f>
        <v>-0.76556291390728481</v>
      </c>
      <c r="M211" s="56">
        <f>L211*'Расчет субсидий'!Q211</f>
        <v>-15.311258278145697</v>
      </c>
      <c r="N211" s="57">
        <f t="shared" si="62"/>
        <v>-16.318181818181813</v>
      </c>
      <c r="O211" s="56">
        <f>'Расчет субсидий'!T211-1</f>
        <v>0</v>
      </c>
      <c r="P211" s="56">
        <f>O211*'Расчет субсидий'!U211</f>
        <v>0</v>
      </c>
      <c r="Q211" s="57">
        <f t="shared" si="63"/>
        <v>0</v>
      </c>
      <c r="R211" s="56">
        <f>'Расчет субсидий'!X211-1</f>
        <v>0</v>
      </c>
      <c r="S211" s="56">
        <f>R211*'Расчет субсидий'!Y211</f>
        <v>0</v>
      </c>
      <c r="T211" s="57">
        <f t="shared" si="64"/>
        <v>0</v>
      </c>
      <c r="U211" s="56">
        <f t="shared" si="56"/>
        <v>-15.311258278145697</v>
      </c>
    </row>
    <row r="212" spans="1:21" ht="15" customHeight="1">
      <c r="A212" s="33" t="s">
        <v>209</v>
      </c>
      <c r="B212" s="58"/>
      <c r="C212" s="59"/>
      <c r="D212" s="59"/>
      <c r="E212" s="60"/>
      <c r="F212" s="59"/>
      <c r="G212" s="59"/>
      <c r="H212" s="60"/>
      <c r="I212" s="60"/>
      <c r="J212" s="60"/>
      <c r="K212" s="60"/>
      <c r="L212" s="59"/>
      <c r="M212" s="59"/>
      <c r="N212" s="60"/>
      <c r="O212" s="59"/>
      <c r="P212" s="59"/>
      <c r="Q212" s="60"/>
      <c r="R212" s="59"/>
      <c r="S212" s="59"/>
      <c r="T212" s="60"/>
      <c r="U212" s="60"/>
    </row>
    <row r="213" spans="1:21" ht="15" customHeight="1">
      <c r="A213" s="34" t="s">
        <v>210</v>
      </c>
      <c r="B213" s="54">
        <f>'Расчет субсидий'!AD213</f>
        <v>-84.290909090909096</v>
      </c>
      <c r="C213" s="56">
        <f>'Расчет субсидий'!D213-1</f>
        <v>-1</v>
      </c>
      <c r="D213" s="56">
        <f>C213*'Расчет субсидий'!E213</f>
        <v>-10</v>
      </c>
      <c r="E213" s="57">
        <f t="shared" ref="E213:E225" si="65">$B213*D213/$U213</f>
        <v>-13.134726852621224</v>
      </c>
      <c r="F213" s="28" t="s">
        <v>375</v>
      </c>
      <c r="G213" s="28" t="s">
        <v>375</v>
      </c>
      <c r="H213" s="28" t="s">
        <v>375</v>
      </c>
      <c r="I213" s="28" t="s">
        <v>375</v>
      </c>
      <c r="J213" s="28" t="s">
        <v>375</v>
      </c>
      <c r="K213" s="28" t="s">
        <v>375</v>
      </c>
      <c r="L213" s="56">
        <f>'Расчет субсидий'!P213-1</f>
        <v>-0.7372043010752688</v>
      </c>
      <c r="M213" s="56">
        <f>L213*'Расчет субсидий'!Q213</f>
        <v>-14.744086021505376</v>
      </c>
      <c r="N213" s="57">
        <f t="shared" ref="N213:N225" si="66">$B213*M213/$U213</f>
        <v>-19.36595425840239</v>
      </c>
      <c r="O213" s="56">
        <f>'Расчет субсидий'!T213-1</f>
        <v>-0.29533333333333334</v>
      </c>
      <c r="P213" s="56">
        <f>O213*'Расчет субсидий'!U213</f>
        <v>-4.43</v>
      </c>
      <c r="Q213" s="57">
        <f t="shared" ref="Q213:Q225" si="67">$B213*P213/$U213</f>
        <v>-5.8186839957112015</v>
      </c>
      <c r="R213" s="56">
        <f>'Расчет субсидий'!X213-1</f>
        <v>-1</v>
      </c>
      <c r="S213" s="56">
        <f>R213*'Расчет субсидий'!Y213</f>
        <v>-35</v>
      </c>
      <c r="T213" s="57">
        <f t="shared" ref="T213:T225" si="68">$B213*S213/$U213</f>
        <v>-45.971543984174282</v>
      </c>
      <c r="U213" s="56">
        <f t="shared" si="56"/>
        <v>-64.174086021505374</v>
      </c>
    </row>
    <row r="214" spans="1:21" ht="15" customHeight="1">
      <c r="A214" s="34" t="s">
        <v>211</v>
      </c>
      <c r="B214" s="54">
        <f>'Расчет субсидий'!AD214</f>
        <v>33.909090909090907</v>
      </c>
      <c r="C214" s="56">
        <f>'Расчет субсидий'!D214-1</f>
        <v>-1</v>
      </c>
      <c r="D214" s="56">
        <f>C214*'Расчет субсидий'!E214</f>
        <v>0</v>
      </c>
      <c r="E214" s="57">
        <f t="shared" si="65"/>
        <v>0</v>
      </c>
      <c r="F214" s="28" t="s">
        <v>375</v>
      </c>
      <c r="G214" s="28" t="s">
        <v>375</v>
      </c>
      <c r="H214" s="28" t="s">
        <v>375</v>
      </c>
      <c r="I214" s="28" t="s">
        <v>375</v>
      </c>
      <c r="J214" s="28" t="s">
        <v>375</v>
      </c>
      <c r="K214" s="28" t="s">
        <v>375</v>
      </c>
      <c r="L214" s="56">
        <f>'Расчет субсидий'!P214-1</f>
        <v>0.2208678756476683</v>
      </c>
      <c r="M214" s="56">
        <f>L214*'Расчет субсидий'!Q214</f>
        <v>4.417357512953366</v>
      </c>
      <c r="N214" s="57">
        <f t="shared" si="66"/>
        <v>15.257524979308849</v>
      </c>
      <c r="O214" s="56">
        <f>'Расчет субсидий'!T214-1</f>
        <v>0.27</v>
      </c>
      <c r="P214" s="56">
        <f>O214*'Расчет субсидий'!U214</f>
        <v>5.4</v>
      </c>
      <c r="Q214" s="57">
        <f t="shared" si="67"/>
        <v>18.651565929782056</v>
      </c>
      <c r="R214" s="56">
        <f>'Расчет субсидий'!X214-1</f>
        <v>0</v>
      </c>
      <c r="S214" s="56">
        <f>R214*'Расчет субсидий'!Y214</f>
        <v>0</v>
      </c>
      <c r="T214" s="57">
        <f t="shared" si="68"/>
        <v>0</v>
      </c>
      <c r="U214" s="56">
        <f t="shared" si="56"/>
        <v>9.8173575129533663</v>
      </c>
    </row>
    <row r="215" spans="1:21" ht="15" customHeight="1">
      <c r="A215" s="34" t="s">
        <v>212</v>
      </c>
      <c r="B215" s="54">
        <f>'Расчет субсидий'!AD215</f>
        <v>-0.40909090909090651</v>
      </c>
      <c r="C215" s="56">
        <f>'Расчет субсидий'!D215-1</f>
        <v>-8.8186535635562002E-2</v>
      </c>
      <c r="D215" s="56">
        <f>C215*'Расчет субсидий'!E215</f>
        <v>-0.88186535635562002</v>
      </c>
      <c r="E215" s="57">
        <f t="shared" si="65"/>
        <v>-0.48487491266288968</v>
      </c>
      <c r="F215" s="28" t="s">
        <v>375</v>
      </c>
      <c r="G215" s="28" t="s">
        <v>375</v>
      </c>
      <c r="H215" s="28" t="s">
        <v>375</v>
      </c>
      <c r="I215" s="28" t="s">
        <v>375</v>
      </c>
      <c r="J215" s="28" t="s">
        <v>375</v>
      </c>
      <c r="K215" s="28" t="s">
        <v>375</v>
      </c>
      <c r="L215" s="56">
        <f>'Расчет субсидий'!P215-1</f>
        <v>6.8916008614501312E-3</v>
      </c>
      <c r="M215" s="56">
        <f>L215*'Расчет субсидий'!Q215</f>
        <v>0.13783201722900262</v>
      </c>
      <c r="N215" s="57">
        <f t="shared" si="66"/>
        <v>7.5784003571983213E-2</v>
      </c>
      <c r="O215" s="56">
        <f>'Расчет субсидий'!T215-1</f>
        <v>0</v>
      </c>
      <c r="P215" s="56">
        <f>O215*'Расчет субсидий'!U215</f>
        <v>0</v>
      </c>
      <c r="Q215" s="57">
        <f t="shared" si="67"/>
        <v>0</v>
      </c>
      <c r="R215" s="56">
        <f>'Расчет субсидий'!X215-1</f>
        <v>0</v>
      </c>
      <c r="S215" s="56">
        <f>R215*'Расчет субсидий'!Y215</f>
        <v>0</v>
      </c>
      <c r="T215" s="57">
        <f t="shared" si="68"/>
        <v>0</v>
      </c>
      <c r="U215" s="56">
        <f t="shared" si="56"/>
        <v>-0.7440333391266174</v>
      </c>
    </row>
    <row r="216" spans="1:21" ht="15" customHeight="1">
      <c r="A216" s="34" t="s">
        <v>213</v>
      </c>
      <c r="B216" s="54">
        <f>'Расчет субсидий'!AD216</f>
        <v>-5.7818181818181813</v>
      </c>
      <c r="C216" s="56">
        <f>'Расчет субсидий'!D216-1</f>
        <v>0.30000000000000004</v>
      </c>
      <c r="D216" s="56">
        <f>C216*'Расчет субсидий'!E216</f>
        <v>3.0000000000000004</v>
      </c>
      <c r="E216" s="57">
        <f t="shared" si="65"/>
        <v>7.8517586049917734</v>
      </c>
      <c r="F216" s="28" t="s">
        <v>375</v>
      </c>
      <c r="G216" s="28" t="s">
        <v>375</v>
      </c>
      <c r="H216" s="28" t="s">
        <v>375</v>
      </c>
      <c r="I216" s="28" t="s">
        <v>375</v>
      </c>
      <c r="J216" s="28" t="s">
        <v>375</v>
      </c>
      <c r="K216" s="28" t="s">
        <v>375</v>
      </c>
      <c r="L216" s="56">
        <f>'Расчет субсидий'!P216-1</f>
        <v>-0.59170585720393332</v>
      </c>
      <c r="M216" s="56">
        <f>L216*'Расчет субсидий'!Q216</f>
        <v>-11.834117144078666</v>
      </c>
      <c r="N216" s="57">
        <f t="shared" si="66"/>
        <v>-30.972877039500105</v>
      </c>
      <c r="O216" s="56">
        <f>'Расчет субсидий'!T216-1</f>
        <v>8.7499999999999911E-2</v>
      </c>
      <c r="P216" s="56">
        <f>O216*'Расчет субсидий'!U216</f>
        <v>2.6249999999999973</v>
      </c>
      <c r="Q216" s="57">
        <f t="shared" si="67"/>
        <v>6.8702887793677929</v>
      </c>
      <c r="R216" s="56">
        <f>'Расчет субсидий'!X216-1</f>
        <v>0.19999999999999996</v>
      </c>
      <c r="S216" s="56">
        <f>R216*'Расчет субсидий'!Y216</f>
        <v>3.9999999999999991</v>
      </c>
      <c r="T216" s="57">
        <f t="shared" si="68"/>
        <v>10.469011473322361</v>
      </c>
      <c r="U216" s="56">
        <f t="shared" si="56"/>
        <v>-2.2091171440786699</v>
      </c>
    </row>
    <row r="217" spans="1:21" ht="15" customHeight="1">
      <c r="A217" s="34" t="s">
        <v>214</v>
      </c>
      <c r="B217" s="54">
        <f>'Расчет субсидий'!AD217</f>
        <v>-19.554545454545462</v>
      </c>
      <c r="C217" s="56">
        <f>'Расчет субсидий'!D217-1</f>
        <v>-2.8275444641028047E-2</v>
      </c>
      <c r="D217" s="56">
        <f>C217*'Расчет субсидий'!E217</f>
        <v>-0.28275444641028047</v>
      </c>
      <c r="E217" s="57">
        <f t="shared" si="65"/>
        <v>-0.61563950243162779</v>
      </c>
      <c r="F217" s="28" t="s">
        <v>375</v>
      </c>
      <c r="G217" s="28" t="s">
        <v>375</v>
      </c>
      <c r="H217" s="28" t="s">
        <v>375</v>
      </c>
      <c r="I217" s="28" t="s">
        <v>375</v>
      </c>
      <c r="J217" s="28" t="s">
        <v>375</v>
      </c>
      <c r="K217" s="28" t="s">
        <v>375</v>
      </c>
      <c r="L217" s="56">
        <f>'Расчет субсидий'!P217-1</f>
        <v>-0.65562993721992746</v>
      </c>
      <c r="M217" s="56">
        <f>L217*'Расчет субсидий'!Q217</f>
        <v>-13.11259874439855</v>
      </c>
      <c r="N217" s="57">
        <f t="shared" si="66"/>
        <v>-28.549979917463837</v>
      </c>
      <c r="O217" s="56">
        <f>'Расчет субсидий'!T217-1</f>
        <v>9.2173913043478217E-2</v>
      </c>
      <c r="P217" s="56">
        <f>O217*'Расчет субсидий'!U217</f>
        <v>3.6869565217391287</v>
      </c>
      <c r="Q217" s="57">
        <f t="shared" si="67"/>
        <v>8.0275875670473447</v>
      </c>
      <c r="R217" s="56">
        <f>'Расчет субсидий'!X217-1</f>
        <v>7.2727272727272751E-2</v>
      </c>
      <c r="S217" s="56">
        <f>R217*'Расчет субсидий'!Y217</f>
        <v>0.72727272727272751</v>
      </c>
      <c r="T217" s="57">
        <f t="shared" si="68"/>
        <v>1.5834863983026508</v>
      </c>
      <c r="U217" s="56">
        <f t="shared" si="56"/>
        <v>-8.981123941796973</v>
      </c>
    </row>
    <row r="218" spans="1:21" ht="15" customHeight="1">
      <c r="A218" s="34" t="s">
        <v>215</v>
      </c>
      <c r="B218" s="54">
        <f>'Расчет субсидий'!AD218</f>
        <v>-0.10000000000002274</v>
      </c>
      <c r="C218" s="56">
        <f>'Расчет субсидий'!D218-1</f>
        <v>0.22574736842105247</v>
      </c>
      <c r="D218" s="56">
        <f>C218*'Расчет субсидий'!E218</f>
        <v>2.2574736842105247</v>
      </c>
      <c r="E218" s="57">
        <f t="shared" si="65"/>
        <v>6.2202995642451731</v>
      </c>
      <c r="F218" s="28" t="s">
        <v>375</v>
      </c>
      <c r="G218" s="28" t="s">
        <v>375</v>
      </c>
      <c r="H218" s="28" t="s">
        <v>375</v>
      </c>
      <c r="I218" s="28" t="s">
        <v>375</v>
      </c>
      <c r="J218" s="28" t="s">
        <v>375</v>
      </c>
      <c r="K218" s="28" t="s">
        <v>375</v>
      </c>
      <c r="L218" s="56">
        <f>'Расчет субсидий'!P218-1</f>
        <v>0.23531171372658655</v>
      </c>
      <c r="M218" s="56">
        <f>L218*'Расчет субсидий'!Q218</f>
        <v>4.7062342745317309</v>
      </c>
      <c r="N218" s="57">
        <f t="shared" si="66"/>
        <v>12.967675863447809</v>
      </c>
      <c r="O218" s="56">
        <f>'Расчет субсидий'!T218-1</f>
        <v>0</v>
      </c>
      <c r="P218" s="56">
        <f>O218*'Расчет субсидий'!U218</f>
        <v>0</v>
      </c>
      <c r="Q218" s="57">
        <f t="shared" si="67"/>
        <v>0</v>
      </c>
      <c r="R218" s="56">
        <f>'Расчет субсидий'!X218-1</f>
        <v>-0.19999999999999996</v>
      </c>
      <c r="S218" s="56">
        <f>R218*'Расчет субсидий'!Y218</f>
        <v>-6.9999999999999982</v>
      </c>
      <c r="T218" s="57">
        <f t="shared" si="68"/>
        <v>-19.287975427693002</v>
      </c>
      <c r="U218" s="56">
        <f t="shared" si="56"/>
        <v>-3.6292041257742547E-2</v>
      </c>
    </row>
    <row r="219" spans="1:21" ht="15" customHeight="1">
      <c r="A219" s="34" t="s">
        <v>216</v>
      </c>
      <c r="B219" s="54">
        <f>'Расчет субсидий'!AD219</f>
        <v>-40.463636363636368</v>
      </c>
      <c r="C219" s="56">
        <f>'Расчет субсидий'!D219-1</f>
        <v>-0.4923958097821991</v>
      </c>
      <c r="D219" s="56">
        <f>C219*'Расчет субсидий'!E219</f>
        <v>-4.9239580978219912</v>
      </c>
      <c r="E219" s="57">
        <f t="shared" si="65"/>
        <v>-14.544103882896525</v>
      </c>
      <c r="F219" s="28" t="s">
        <v>375</v>
      </c>
      <c r="G219" s="28" t="s">
        <v>375</v>
      </c>
      <c r="H219" s="28" t="s">
        <v>375</v>
      </c>
      <c r="I219" s="28" t="s">
        <v>375</v>
      </c>
      <c r="J219" s="28" t="s">
        <v>375</v>
      </c>
      <c r="K219" s="28" t="s">
        <v>375</v>
      </c>
      <c r="L219" s="56">
        <f>'Расчет субсидий'!P219-1</f>
        <v>-0.38875749540122795</v>
      </c>
      <c r="M219" s="56">
        <f>L219*'Расчет субсидий'!Q219</f>
        <v>-7.7751499080245594</v>
      </c>
      <c r="N219" s="57">
        <f t="shared" si="66"/>
        <v>-22.965790065805443</v>
      </c>
      <c r="O219" s="56">
        <f>'Расчет субсидий'!T219-1</f>
        <v>-3.3333333333333326E-2</v>
      </c>
      <c r="P219" s="56">
        <f>O219*'Расчет субсидий'!U219</f>
        <v>-0.99999999999999978</v>
      </c>
      <c r="Q219" s="57">
        <f t="shared" si="67"/>
        <v>-2.9537424149343998</v>
      </c>
      <c r="R219" s="56">
        <f>'Расчет субсидий'!X219-1</f>
        <v>0</v>
      </c>
      <c r="S219" s="56">
        <f>R219*'Расчет субсидий'!Y219</f>
        <v>0</v>
      </c>
      <c r="T219" s="57">
        <f t="shared" si="68"/>
        <v>0</v>
      </c>
      <c r="U219" s="56">
        <f t="shared" si="56"/>
        <v>-13.699108005846551</v>
      </c>
    </row>
    <row r="220" spans="1:21" ht="15" customHeight="1">
      <c r="A220" s="34" t="s">
        <v>217</v>
      </c>
      <c r="B220" s="54">
        <f>'Расчет субсидий'!AD220</f>
        <v>48.427272727272737</v>
      </c>
      <c r="C220" s="56">
        <f>'Расчет субсидий'!D220-1</f>
        <v>7.1764705882352953E-2</v>
      </c>
      <c r="D220" s="56">
        <f>C220*'Расчет субсидий'!E220</f>
        <v>0.71764705882352953</v>
      </c>
      <c r="E220" s="57">
        <f t="shared" si="65"/>
        <v>3.6195127460941405</v>
      </c>
      <c r="F220" s="28" t="s">
        <v>375</v>
      </c>
      <c r="G220" s="28" t="s">
        <v>375</v>
      </c>
      <c r="H220" s="28" t="s">
        <v>375</v>
      </c>
      <c r="I220" s="28" t="s">
        <v>375</v>
      </c>
      <c r="J220" s="28" t="s">
        <v>375</v>
      </c>
      <c r="K220" s="28" t="s">
        <v>375</v>
      </c>
      <c r="L220" s="56">
        <f>'Расчет субсидий'!P220-1</f>
        <v>-0.12079439252336444</v>
      </c>
      <c r="M220" s="56">
        <f>L220*'Расчет субсидий'!Q220</f>
        <v>-2.4158878504672887</v>
      </c>
      <c r="N220" s="57">
        <f t="shared" si="66"/>
        <v>-12.184731701172586</v>
      </c>
      <c r="O220" s="56">
        <f>'Расчет субсидий'!T220-1</f>
        <v>0.24</v>
      </c>
      <c r="P220" s="56">
        <f>O220*'Расчет субсидий'!U220</f>
        <v>7.1999999999999993</v>
      </c>
      <c r="Q220" s="57">
        <f t="shared" si="67"/>
        <v>36.313800009993663</v>
      </c>
      <c r="R220" s="56">
        <f>'Расчет субсидий'!X220-1</f>
        <v>0.20500000000000007</v>
      </c>
      <c r="S220" s="56">
        <f>R220*'Расчет субсидий'!Y220</f>
        <v>4.1000000000000014</v>
      </c>
      <c r="T220" s="57">
        <f t="shared" si="68"/>
        <v>20.678691672357512</v>
      </c>
      <c r="U220" s="56">
        <f t="shared" si="56"/>
        <v>9.601759208356242</v>
      </c>
    </row>
    <row r="221" spans="1:21" ht="15" customHeight="1">
      <c r="A221" s="34" t="s">
        <v>218</v>
      </c>
      <c r="B221" s="54">
        <f>'Расчет субсидий'!AD221</f>
        <v>-2.0090909090909008</v>
      </c>
      <c r="C221" s="56">
        <f>'Расчет субсидий'!D221-1</f>
        <v>0.20041961833998667</v>
      </c>
      <c r="D221" s="56">
        <f>C221*'Расчет субсидий'!E221</f>
        <v>2.0041961833998667</v>
      </c>
      <c r="E221" s="57">
        <f t="shared" si="65"/>
        <v>4.4664520579281115</v>
      </c>
      <c r="F221" s="28" t="s">
        <v>375</v>
      </c>
      <c r="G221" s="28" t="s">
        <v>375</v>
      </c>
      <c r="H221" s="28" t="s">
        <v>375</v>
      </c>
      <c r="I221" s="28" t="s">
        <v>375</v>
      </c>
      <c r="J221" s="28" t="s">
        <v>375</v>
      </c>
      <c r="K221" s="28" t="s">
        <v>375</v>
      </c>
      <c r="L221" s="56">
        <f>'Расчет субсидий'!P221-1</f>
        <v>-0.61438123167155423</v>
      </c>
      <c r="M221" s="56">
        <f>L221*'Расчет субсидий'!Q221</f>
        <v>-12.287624633431085</v>
      </c>
      <c r="N221" s="57">
        <f t="shared" si="66"/>
        <v>-27.383589882870581</v>
      </c>
      <c r="O221" s="56">
        <f>'Расчет субсидий'!T221-1</f>
        <v>-2.114285714285713E-2</v>
      </c>
      <c r="P221" s="56">
        <f>O221*'Расчет субсидий'!U221</f>
        <v>-0.2114285714285713</v>
      </c>
      <c r="Q221" s="57">
        <f t="shared" si="67"/>
        <v>-0.47117921178753891</v>
      </c>
      <c r="R221" s="56">
        <f>'Расчет субсидий'!X221-1</f>
        <v>0.23983333333333334</v>
      </c>
      <c r="S221" s="56">
        <f>R221*'Расчет субсидий'!Y221</f>
        <v>9.5933333333333337</v>
      </c>
      <c r="T221" s="57">
        <f t="shared" si="68"/>
        <v>21.379226127639111</v>
      </c>
      <c r="U221" s="56">
        <f t="shared" si="56"/>
        <v>-0.90152368812645634</v>
      </c>
    </row>
    <row r="222" spans="1:21" ht="15" customHeight="1">
      <c r="A222" s="34" t="s">
        <v>219</v>
      </c>
      <c r="B222" s="54">
        <f>'Расчет субсидий'!AD222</f>
        <v>-5.1090909090909058</v>
      </c>
      <c r="C222" s="56">
        <f>'Расчет субсидий'!D222-1</f>
        <v>-1</v>
      </c>
      <c r="D222" s="56">
        <f>C222*'Расчет субсидий'!E222</f>
        <v>0</v>
      </c>
      <c r="E222" s="57">
        <f t="shared" si="65"/>
        <v>0</v>
      </c>
      <c r="F222" s="28" t="s">
        <v>375</v>
      </c>
      <c r="G222" s="28" t="s">
        <v>375</v>
      </c>
      <c r="H222" s="28" t="s">
        <v>375</v>
      </c>
      <c r="I222" s="28" t="s">
        <v>375</v>
      </c>
      <c r="J222" s="28" t="s">
        <v>375</v>
      </c>
      <c r="K222" s="28" t="s">
        <v>375</v>
      </c>
      <c r="L222" s="56">
        <f>'Расчет субсидий'!P222-1</f>
        <v>-0.8926247288503254</v>
      </c>
      <c r="M222" s="56">
        <f>L222*'Расчет субсидий'!Q222</f>
        <v>-17.852494577006507</v>
      </c>
      <c r="N222" s="57">
        <f t="shared" si="66"/>
        <v>-8.9181193948552551</v>
      </c>
      <c r="O222" s="56">
        <f>'Расчет субсидий'!T222-1</f>
        <v>0.10000000000000009</v>
      </c>
      <c r="P222" s="56">
        <f>O222*'Расчет субсидий'!U222</f>
        <v>2.5000000000000022</v>
      </c>
      <c r="Q222" s="57">
        <f t="shared" si="67"/>
        <v>1.2488617986112625</v>
      </c>
      <c r="R222" s="56">
        <f>'Расчет субсидий'!X222-1</f>
        <v>0.20500000000000007</v>
      </c>
      <c r="S222" s="56">
        <f>R222*'Расчет субсидий'!Y222</f>
        <v>5.1250000000000018</v>
      </c>
      <c r="T222" s="57">
        <f t="shared" si="68"/>
        <v>2.560166687153087</v>
      </c>
      <c r="U222" s="56">
        <f t="shared" si="56"/>
        <v>-10.227494577006503</v>
      </c>
    </row>
    <row r="223" spans="1:21" ht="15" customHeight="1">
      <c r="A223" s="34" t="s">
        <v>220</v>
      </c>
      <c r="B223" s="54">
        <f>'Расчет субсидий'!AD223</f>
        <v>-29.109090909090924</v>
      </c>
      <c r="C223" s="56">
        <f>'Расчет субсидий'!D223-1</f>
        <v>-0.33238414293690677</v>
      </c>
      <c r="D223" s="56">
        <f>C223*'Расчет субсидий'!E223</f>
        <v>-3.3238414293690677</v>
      </c>
      <c r="E223" s="57">
        <f t="shared" si="65"/>
        <v>-12.316472482975103</v>
      </c>
      <c r="F223" s="28" t="s">
        <v>375</v>
      </c>
      <c r="G223" s="28" t="s">
        <v>375</v>
      </c>
      <c r="H223" s="28" t="s">
        <v>375</v>
      </c>
      <c r="I223" s="28" t="s">
        <v>375</v>
      </c>
      <c r="J223" s="28" t="s">
        <v>375</v>
      </c>
      <c r="K223" s="28" t="s">
        <v>375</v>
      </c>
      <c r="L223" s="56">
        <f>'Расчет субсидий'!P223-1</f>
        <v>-0.59336970205623163</v>
      </c>
      <c r="M223" s="56">
        <f>L223*'Расчет субсидий'!Q223</f>
        <v>-11.867394041124633</v>
      </c>
      <c r="N223" s="57">
        <f t="shared" si="66"/>
        <v>-43.974550308159316</v>
      </c>
      <c r="O223" s="56">
        <f>'Расчет субсидий'!T223-1</f>
        <v>1.2499999999999956E-2</v>
      </c>
      <c r="P223" s="56">
        <f>O223*'Расчет субсидий'!U223</f>
        <v>0.18749999999999933</v>
      </c>
      <c r="Q223" s="57">
        <f t="shared" si="67"/>
        <v>0.69478001271444001</v>
      </c>
      <c r="R223" s="56">
        <f>'Расчет субсидий'!X223-1</f>
        <v>0.20423076923076922</v>
      </c>
      <c r="S223" s="56">
        <f>R223*'Расчет субсидий'!Y223</f>
        <v>7.148076923076923</v>
      </c>
      <c r="T223" s="57">
        <f t="shared" si="68"/>
        <v>26.48715186932905</v>
      </c>
      <c r="U223" s="56">
        <f t="shared" si="56"/>
        <v>-7.8556585474167786</v>
      </c>
    </row>
    <row r="224" spans="1:21" ht="15" customHeight="1">
      <c r="A224" s="34" t="s">
        <v>221</v>
      </c>
      <c r="B224" s="54">
        <f>'Расчет субсидий'!AD224</f>
        <v>-0.7181818181818187</v>
      </c>
      <c r="C224" s="56">
        <f>'Расчет субсидий'!D224-1</f>
        <v>0</v>
      </c>
      <c r="D224" s="56">
        <f>C224*'Расчет субсидий'!E224</f>
        <v>0</v>
      </c>
      <c r="E224" s="57">
        <f t="shared" si="65"/>
        <v>0</v>
      </c>
      <c r="F224" s="28" t="s">
        <v>375</v>
      </c>
      <c r="G224" s="28" t="s">
        <v>375</v>
      </c>
      <c r="H224" s="28" t="s">
        <v>375</v>
      </c>
      <c r="I224" s="28" t="s">
        <v>375</v>
      </c>
      <c r="J224" s="28" t="s">
        <v>375</v>
      </c>
      <c r="K224" s="28" t="s">
        <v>375</v>
      </c>
      <c r="L224" s="56">
        <f>'Расчет субсидий'!P224-1</f>
        <v>-0.22624309392265196</v>
      </c>
      <c r="M224" s="56">
        <f>L224*'Расчет субсидий'!Q224</f>
        <v>-4.5248618784530397</v>
      </c>
      <c r="N224" s="57">
        <f t="shared" si="66"/>
        <v>-2.5953068592057789</v>
      </c>
      <c r="O224" s="56">
        <f>'Расчет субсидий'!T224-1</f>
        <v>6.9090909090909092E-2</v>
      </c>
      <c r="P224" s="56">
        <f>O224*'Расчет субсидий'!U224</f>
        <v>2.0727272727272728</v>
      </c>
      <c r="Q224" s="57">
        <f t="shared" si="67"/>
        <v>1.1888458593151745</v>
      </c>
      <c r="R224" s="56">
        <f>'Расчет субсидий'!X224-1</f>
        <v>6.0000000000000053E-2</v>
      </c>
      <c r="S224" s="56">
        <f>R224*'Расчет субсидий'!Y224</f>
        <v>1.2000000000000011</v>
      </c>
      <c r="T224" s="57">
        <f t="shared" si="68"/>
        <v>0.68827918170878566</v>
      </c>
      <c r="U224" s="56">
        <f t="shared" si="56"/>
        <v>-1.2521346057257658</v>
      </c>
    </row>
    <row r="225" spans="1:21" ht="15" customHeight="1">
      <c r="A225" s="34" t="s">
        <v>222</v>
      </c>
      <c r="B225" s="54">
        <f>'Расчет субсидий'!AD225</f>
        <v>-2.4909090909090992</v>
      </c>
      <c r="C225" s="56">
        <f>'Расчет субсидий'!D225-1</f>
        <v>-1</v>
      </c>
      <c r="D225" s="56">
        <f>C225*'Расчет субсидий'!E225</f>
        <v>0</v>
      </c>
      <c r="E225" s="57">
        <f t="shared" si="65"/>
        <v>0</v>
      </c>
      <c r="F225" s="28" t="s">
        <v>375</v>
      </c>
      <c r="G225" s="28" t="s">
        <v>375</v>
      </c>
      <c r="H225" s="28" t="s">
        <v>375</v>
      </c>
      <c r="I225" s="28" t="s">
        <v>375</v>
      </c>
      <c r="J225" s="28" t="s">
        <v>375</v>
      </c>
      <c r="K225" s="28" t="s">
        <v>375</v>
      </c>
      <c r="L225" s="56">
        <f>'Расчет субсидий'!P225-1</f>
        <v>-0.59203980099502496</v>
      </c>
      <c r="M225" s="56">
        <f>L225*'Расчет субсидий'!Q225</f>
        <v>-11.840796019900498</v>
      </c>
      <c r="N225" s="57">
        <f t="shared" si="66"/>
        <v>-23.169529858298382</v>
      </c>
      <c r="O225" s="56">
        <f>'Расчет субсидий'!T225-1</f>
        <v>0.21086206896551718</v>
      </c>
      <c r="P225" s="56">
        <f>O225*'Расчет субсидий'!U225</f>
        <v>8.4344827586206872</v>
      </c>
      <c r="Q225" s="57">
        <f t="shared" si="67"/>
        <v>16.50421135426393</v>
      </c>
      <c r="R225" s="56">
        <f>'Расчет субсидий'!X225-1</f>
        <v>0.21333333333333337</v>
      </c>
      <c r="S225" s="56">
        <f>R225*'Расчет субсидий'!Y225</f>
        <v>2.1333333333333337</v>
      </c>
      <c r="T225" s="57">
        <f t="shared" si="68"/>
        <v>4.174409413125356</v>
      </c>
      <c r="U225" s="56">
        <f t="shared" si="56"/>
        <v>-1.2729799279464773</v>
      </c>
    </row>
    <row r="226" spans="1:21" ht="15" customHeight="1">
      <c r="A226" s="33" t="s">
        <v>223</v>
      </c>
      <c r="B226" s="58"/>
      <c r="C226" s="59"/>
      <c r="D226" s="59"/>
      <c r="E226" s="60"/>
      <c r="F226" s="59"/>
      <c r="G226" s="59"/>
      <c r="H226" s="60"/>
      <c r="I226" s="60"/>
      <c r="J226" s="60"/>
      <c r="K226" s="60"/>
      <c r="L226" s="59"/>
      <c r="M226" s="59"/>
      <c r="N226" s="60"/>
      <c r="O226" s="59"/>
      <c r="P226" s="59"/>
      <c r="Q226" s="60"/>
      <c r="R226" s="59"/>
      <c r="S226" s="59"/>
      <c r="T226" s="60"/>
      <c r="U226" s="60"/>
    </row>
    <row r="227" spans="1:21" ht="15" customHeight="1">
      <c r="A227" s="34" t="s">
        <v>224</v>
      </c>
      <c r="B227" s="54">
        <f>'Расчет субсидий'!AD227</f>
        <v>-92.636363636363626</v>
      </c>
      <c r="C227" s="56">
        <f>'Расчет субсидий'!D227-1</f>
        <v>-1</v>
      </c>
      <c r="D227" s="56">
        <f>C227*'Расчет субсидий'!E227</f>
        <v>0</v>
      </c>
      <c r="E227" s="57">
        <f t="shared" ref="E227:E235" si="69">$B227*D227/$U227</f>
        <v>0</v>
      </c>
      <c r="F227" s="28" t="s">
        <v>375</v>
      </c>
      <c r="G227" s="28" t="s">
        <v>375</v>
      </c>
      <c r="H227" s="28" t="s">
        <v>375</v>
      </c>
      <c r="I227" s="28" t="s">
        <v>375</v>
      </c>
      <c r="J227" s="28" t="s">
        <v>375</v>
      </c>
      <c r="K227" s="28" t="s">
        <v>375</v>
      </c>
      <c r="L227" s="56">
        <f>'Расчет субсидий'!P227-1</f>
        <v>-2.1372328458942658E-2</v>
      </c>
      <c r="M227" s="56">
        <f>L227*'Расчет субсидий'!Q227</f>
        <v>-0.42744656917885315</v>
      </c>
      <c r="N227" s="57">
        <f t="shared" ref="N227:N235" si="70">$B227*M227/$U227</f>
        <v>-0.7852290471072545</v>
      </c>
      <c r="O227" s="56">
        <f>'Расчет субсидий'!T227-1</f>
        <v>-1</v>
      </c>
      <c r="P227" s="56">
        <f>O227*'Расчет субсидий'!U227</f>
        <v>-20</v>
      </c>
      <c r="Q227" s="57">
        <f t="shared" ref="Q227:Q235" si="71">$B227*P227/$U227</f>
        <v>-36.740453835702546</v>
      </c>
      <c r="R227" s="56">
        <f>'Расчет субсидий'!X227-1</f>
        <v>-1</v>
      </c>
      <c r="S227" s="56">
        <f>R227*'Расчет субсидий'!Y227</f>
        <v>-30</v>
      </c>
      <c r="T227" s="57">
        <f t="shared" ref="T227:T235" si="72">$B227*S227/$U227</f>
        <v>-55.110680753553822</v>
      </c>
      <c r="U227" s="56">
        <f t="shared" si="56"/>
        <v>-50.427446569178855</v>
      </c>
    </row>
    <row r="228" spans="1:21" ht="15" customHeight="1">
      <c r="A228" s="34" t="s">
        <v>148</v>
      </c>
      <c r="B228" s="54">
        <f>'Расчет субсидий'!AD228</f>
        <v>2.0090909090909115</v>
      </c>
      <c r="C228" s="56">
        <f>'Расчет субсидий'!D228-1</f>
        <v>-1</v>
      </c>
      <c r="D228" s="56">
        <f>C228*'Расчет субсидий'!E228</f>
        <v>0</v>
      </c>
      <c r="E228" s="57">
        <f t="shared" si="69"/>
        <v>0</v>
      </c>
      <c r="F228" s="28" t="s">
        <v>375</v>
      </c>
      <c r="G228" s="28" t="s">
        <v>375</v>
      </c>
      <c r="H228" s="28" t="s">
        <v>375</v>
      </c>
      <c r="I228" s="28" t="s">
        <v>375</v>
      </c>
      <c r="J228" s="28" t="s">
        <v>375</v>
      </c>
      <c r="K228" s="28" t="s">
        <v>375</v>
      </c>
      <c r="L228" s="56">
        <f>'Расчет субсидий'!P228-1</f>
        <v>0.231593220338983</v>
      </c>
      <c r="M228" s="56">
        <f>L228*'Расчет субсидий'!Q228</f>
        <v>4.6318644067796599</v>
      </c>
      <c r="N228" s="57">
        <f t="shared" si="70"/>
        <v>2.0090909090909115</v>
      </c>
      <c r="O228" s="56">
        <f>'Расчет субсидий'!T228-1</f>
        <v>0</v>
      </c>
      <c r="P228" s="56">
        <f>O228*'Расчет субсидий'!U228</f>
        <v>0</v>
      </c>
      <c r="Q228" s="57">
        <f t="shared" si="71"/>
        <v>0</v>
      </c>
      <c r="R228" s="56">
        <f>'Расчет субсидий'!X228-1</f>
        <v>0</v>
      </c>
      <c r="S228" s="56">
        <f>R228*'Расчет субсидий'!Y228</f>
        <v>0</v>
      </c>
      <c r="T228" s="57">
        <f t="shared" si="72"/>
        <v>0</v>
      </c>
      <c r="U228" s="56">
        <f t="shared" si="56"/>
        <v>4.6318644067796599</v>
      </c>
    </row>
    <row r="229" spans="1:21" ht="15" customHeight="1">
      <c r="A229" s="34" t="s">
        <v>225</v>
      </c>
      <c r="B229" s="54">
        <f>'Расчет субсидий'!AD229</f>
        <v>7.5909090909090935</v>
      </c>
      <c r="C229" s="56">
        <f>'Расчет субсидий'!D229-1</f>
        <v>-1</v>
      </c>
      <c r="D229" s="56">
        <f>C229*'Расчет субсидий'!E229</f>
        <v>0</v>
      </c>
      <c r="E229" s="57">
        <f t="shared" si="69"/>
        <v>0</v>
      </c>
      <c r="F229" s="28" t="s">
        <v>375</v>
      </c>
      <c r="G229" s="28" t="s">
        <v>375</v>
      </c>
      <c r="H229" s="28" t="s">
        <v>375</v>
      </c>
      <c r="I229" s="28" t="s">
        <v>375</v>
      </c>
      <c r="J229" s="28" t="s">
        <v>375</v>
      </c>
      <c r="K229" s="28" t="s">
        <v>375</v>
      </c>
      <c r="L229" s="56">
        <f>'Расчет субсидий'!P229-1</f>
        <v>0.30000000000000004</v>
      </c>
      <c r="M229" s="56">
        <f>L229*'Расчет субсидий'!Q229</f>
        <v>6.0000000000000009</v>
      </c>
      <c r="N229" s="57">
        <f t="shared" si="70"/>
        <v>12.939049586776857</v>
      </c>
      <c r="O229" s="56">
        <f>'Расчет субсидий'!T229-1</f>
        <v>-0.28200000000000003</v>
      </c>
      <c r="P229" s="56">
        <f>O229*'Расчет субсидий'!U229</f>
        <v>-4.2300000000000004</v>
      </c>
      <c r="Q229" s="57">
        <f t="shared" si="71"/>
        <v>-9.1220299586776843</v>
      </c>
      <c r="R229" s="56">
        <f>'Расчет субсидий'!X229-1</f>
        <v>5.0000000000000044E-2</v>
      </c>
      <c r="S229" s="56">
        <f>R229*'Расчет субсидий'!Y229</f>
        <v>1.7500000000000016</v>
      </c>
      <c r="T229" s="57">
        <f t="shared" si="72"/>
        <v>3.7738894628099198</v>
      </c>
      <c r="U229" s="56">
        <f t="shared" si="56"/>
        <v>3.5200000000000022</v>
      </c>
    </row>
    <row r="230" spans="1:21" ht="15" customHeight="1">
      <c r="A230" s="34" t="s">
        <v>226</v>
      </c>
      <c r="B230" s="54">
        <f>'Расчет субсидий'!AD230</f>
        <v>-17.76363636363638</v>
      </c>
      <c r="C230" s="56">
        <f>'Расчет субсидий'!D230-1</f>
        <v>-1</v>
      </c>
      <c r="D230" s="56">
        <f>C230*'Расчет субсидий'!E230</f>
        <v>0</v>
      </c>
      <c r="E230" s="57">
        <f t="shared" si="69"/>
        <v>0</v>
      </c>
      <c r="F230" s="28" t="s">
        <v>375</v>
      </c>
      <c r="G230" s="28" t="s">
        <v>375</v>
      </c>
      <c r="H230" s="28" t="s">
        <v>375</v>
      </c>
      <c r="I230" s="28" t="s">
        <v>375</v>
      </c>
      <c r="J230" s="28" t="s">
        <v>375</v>
      </c>
      <c r="K230" s="28" t="s">
        <v>375</v>
      </c>
      <c r="L230" s="56">
        <f>'Расчет субсидий'!P230-1</f>
        <v>-0.61158021712907118</v>
      </c>
      <c r="M230" s="56">
        <f>L230*'Расчет субсидий'!Q230</f>
        <v>-12.231604342581424</v>
      </c>
      <c r="N230" s="57">
        <f t="shared" si="70"/>
        <v>-30.0455834407461</v>
      </c>
      <c r="O230" s="56">
        <f>'Расчет субсидий'!T230-1</f>
        <v>0</v>
      </c>
      <c r="P230" s="56">
        <f>O230*'Расчет субсидий'!U230</f>
        <v>0</v>
      </c>
      <c r="Q230" s="57">
        <f t="shared" si="71"/>
        <v>0</v>
      </c>
      <c r="R230" s="56">
        <f>'Расчет субсидий'!X230-1</f>
        <v>0.19999999999999996</v>
      </c>
      <c r="S230" s="56">
        <f>R230*'Расчет субсидий'!Y230</f>
        <v>4.9999999999999991</v>
      </c>
      <c r="T230" s="57">
        <f t="shared" si="72"/>
        <v>12.28194707710972</v>
      </c>
      <c r="U230" s="56">
        <f t="shared" si="56"/>
        <v>-7.2316043425814245</v>
      </c>
    </row>
    <row r="231" spans="1:21" ht="15" customHeight="1">
      <c r="A231" s="34" t="s">
        <v>227</v>
      </c>
      <c r="B231" s="54">
        <f>'Расчет субсидий'!AD231</f>
        <v>-0.37272727272727302</v>
      </c>
      <c r="C231" s="56">
        <f>'Расчет субсидий'!D231-1</f>
        <v>-0.52844950213371267</v>
      </c>
      <c r="D231" s="56">
        <f>C231*'Расчет субсидий'!E231</f>
        <v>-5.2844950213371265</v>
      </c>
      <c r="E231" s="57">
        <f t="shared" si="69"/>
        <v>-0.14064183611271652</v>
      </c>
      <c r="F231" s="28" t="s">
        <v>375</v>
      </c>
      <c r="G231" s="28" t="s">
        <v>375</v>
      </c>
      <c r="H231" s="28" t="s">
        <v>375</v>
      </c>
      <c r="I231" s="28" t="s">
        <v>375</v>
      </c>
      <c r="J231" s="28" t="s">
        <v>375</v>
      </c>
      <c r="K231" s="28" t="s">
        <v>375</v>
      </c>
      <c r="L231" s="56">
        <f>'Расчет субсидий'!P231-1</f>
        <v>-0.66102045032018175</v>
      </c>
      <c r="M231" s="56">
        <f>L231*'Расчет субсидий'!Q231</f>
        <v>-13.220409006403635</v>
      </c>
      <c r="N231" s="57">
        <f t="shared" si="70"/>
        <v>-0.35184867982924795</v>
      </c>
      <c r="O231" s="56">
        <f>'Расчет субсидий'!T231-1</f>
        <v>0.30000000000000004</v>
      </c>
      <c r="P231" s="56">
        <f>O231*'Расчет субсидий'!U231</f>
        <v>4.5000000000000009</v>
      </c>
      <c r="Q231" s="57">
        <f t="shared" si="71"/>
        <v>0.11976324321469146</v>
      </c>
      <c r="R231" s="56">
        <f>'Расчет субсидий'!X231-1</f>
        <v>0</v>
      </c>
      <c r="S231" s="56">
        <f>R231*'Расчет субсидий'!Y231</f>
        <v>0</v>
      </c>
      <c r="T231" s="57">
        <f t="shared" si="72"/>
        <v>0</v>
      </c>
      <c r="U231" s="56">
        <f t="shared" si="56"/>
        <v>-14.004904027740761</v>
      </c>
    </row>
    <row r="232" spans="1:21" ht="15" customHeight="1">
      <c r="A232" s="34" t="s">
        <v>228</v>
      </c>
      <c r="B232" s="54">
        <f>'Расчет субсидий'!AD232</f>
        <v>0</v>
      </c>
      <c r="C232" s="56">
        <f>'Расчет субсидий'!D232-1</f>
        <v>0.15645373104662386</v>
      </c>
      <c r="D232" s="56">
        <f>C232*'Расчет субсидий'!E232</f>
        <v>1.5645373104662386</v>
      </c>
      <c r="E232" s="57">
        <f t="shared" si="69"/>
        <v>0</v>
      </c>
      <c r="F232" s="28" t="s">
        <v>375</v>
      </c>
      <c r="G232" s="28" t="s">
        <v>375</v>
      </c>
      <c r="H232" s="28" t="s">
        <v>375</v>
      </c>
      <c r="I232" s="28" t="s">
        <v>375</v>
      </c>
      <c r="J232" s="28" t="s">
        <v>375</v>
      </c>
      <c r="K232" s="28" t="s">
        <v>375</v>
      </c>
      <c r="L232" s="56">
        <f>'Расчет субсидий'!P232-1</f>
        <v>-0.67055624272409786</v>
      </c>
      <c r="M232" s="56">
        <f>L232*'Расчет субсидий'!Q232</f>
        <v>-13.411124854481958</v>
      </c>
      <c r="N232" s="57">
        <f t="shared" si="70"/>
        <v>0</v>
      </c>
      <c r="O232" s="56">
        <f>'Расчет субсидий'!T232-1</f>
        <v>0</v>
      </c>
      <c r="P232" s="56">
        <f>O232*'Расчет субсидий'!U232</f>
        <v>0</v>
      </c>
      <c r="Q232" s="57">
        <f t="shared" si="71"/>
        <v>0</v>
      </c>
      <c r="R232" s="56">
        <f>'Расчет субсидий'!X232-1</f>
        <v>0</v>
      </c>
      <c r="S232" s="56">
        <f>R232*'Расчет субсидий'!Y232</f>
        <v>0</v>
      </c>
      <c r="T232" s="57">
        <f t="shared" si="72"/>
        <v>0</v>
      </c>
      <c r="U232" s="56">
        <f t="shared" si="56"/>
        <v>-11.846587544015719</v>
      </c>
    </row>
    <row r="233" spans="1:21" ht="15" customHeight="1">
      <c r="A233" s="34" t="s">
        <v>229</v>
      </c>
      <c r="B233" s="54">
        <f>'Расчет субсидий'!AD233</f>
        <v>-42.909090909090907</v>
      </c>
      <c r="C233" s="56">
        <f>'Расчет субсидий'!D233-1</f>
        <v>-1</v>
      </c>
      <c r="D233" s="56">
        <f>C233*'Расчет субсидий'!E233</f>
        <v>0</v>
      </c>
      <c r="E233" s="57">
        <f t="shared" si="69"/>
        <v>0</v>
      </c>
      <c r="F233" s="28" t="s">
        <v>375</v>
      </c>
      <c r="G233" s="28" t="s">
        <v>375</v>
      </c>
      <c r="H233" s="28" t="s">
        <v>375</v>
      </c>
      <c r="I233" s="28" t="s">
        <v>375</v>
      </c>
      <c r="J233" s="28" t="s">
        <v>375</v>
      </c>
      <c r="K233" s="28" t="s">
        <v>375</v>
      </c>
      <c r="L233" s="56">
        <f>'Расчет субсидий'!P233-1</f>
        <v>-0.77651245551601422</v>
      </c>
      <c r="M233" s="56">
        <f>L233*'Расчет субсидий'!Q233</f>
        <v>-15.530249110320284</v>
      </c>
      <c r="N233" s="57">
        <f t="shared" si="70"/>
        <v>-36.103918867282935</v>
      </c>
      <c r="O233" s="56">
        <f>'Расчет субсидий'!T233-1</f>
        <v>0.16909090909090896</v>
      </c>
      <c r="P233" s="56">
        <f>O233*'Расчет субсидий'!U233</f>
        <v>5.0727272727272688</v>
      </c>
      <c r="Q233" s="57">
        <f t="shared" si="71"/>
        <v>11.792813662511927</v>
      </c>
      <c r="R233" s="56">
        <f>'Расчет субсидий'!X233-1</f>
        <v>-0.4</v>
      </c>
      <c r="S233" s="56">
        <f>R233*'Расчет субсидий'!Y233</f>
        <v>-8</v>
      </c>
      <c r="T233" s="57">
        <f t="shared" si="72"/>
        <v>-18.5979857043199</v>
      </c>
      <c r="U233" s="56">
        <f t="shared" si="56"/>
        <v>-18.457521837593013</v>
      </c>
    </row>
    <row r="234" spans="1:21" ht="15" customHeight="1">
      <c r="A234" s="34" t="s">
        <v>230</v>
      </c>
      <c r="B234" s="54">
        <f>'Расчет субсидий'!AD234</f>
        <v>4.681818181818187</v>
      </c>
      <c r="C234" s="56">
        <f>'Расчет субсидий'!D234-1</f>
        <v>-1</v>
      </c>
      <c r="D234" s="56">
        <f>C234*'Расчет субсидий'!E234</f>
        <v>0</v>
      </c>
      <c r="E234" s="57">
        <f t="shared" si="69"/>
        <v>0</v>
      </c>
      <c r="F234" s="28" t="s">
        <v>375</v>
      </c>
      <c r="G234" s="28" t="s">
        <v>375</v>
      </c>
      <c r="H234" s="28" t="s">
        <v>375</v>
      </c>
      <c r="I234" s="28" t="s">
        <v>375</v>
      </c>
      <c r="J234" s="28" t="s">
        <v>375</v>
      </c>
      <c r="K234" s="28" t="s">
        <v>375</v>
      </c>
      <c r="L234" s="56">
        <f>'Расчет субсидий'!P234-1</f>
        <v>-0.13005315861045852</v>
      </c>
      <c r="M234" s="56">
        <f>L234*'Расчет субсидий'!Q234</f>
        <v>-2.6010631722091704</v>
      </c>
      <c r="N234" s="57">
        <f t="shared" si="70"/>
        <v>-5.0762924269752379</v>
      </c>
      <c r="O234" s="56">
        <f>'Расчет субсидий'!T234-1</f>
        <v>0</v>
      </c>
      <c r="P234" s="56">
        <f>O234*'Расчет субсидий'!U234</f>
        <v>0</v>
      </c>
      <c r="Q234" s="57">
        <f t="shared" si="71"/>
        <v>0</v>
      </c>
      <c r="R234" s="56">
        <f>'Расчет субсидий'!X234-1</f>
        <v>0.19999999999999996</v>
      </c>
      <c r="S234" s="56">
        <f>R234*'Расчет субсидий'!Y234</f>
        <v>4.9999999999999991</v>
      </c>
      <c r="T234" s="57">
        <f t="shared" si="72"/>
        <v>9.7581106087934248</v>
      </c>
      <c r="U234" s="56">
        <f t="shared" si="56"/>
        <v>2.3989368277908287</v>
      </c>
    </row>
    <row r="235" spans="1:21" ht="15" customHeight="1">
      <c r="A235" s="34" t="s">
        <v>231</v>
      </c>
      <c r="B235" s="54">
        <f>'Расчет субсидий'!AD235</f>
        <v>-9.2454545454545496</v>
      </c>
      <c r="C235" s="56">
        <f>'Расчет субсидий'!D235-1</f>
        <v>0.2858758104019592</v>
      </c>
      <c r="D235" s="56">
        <f>C235*'Расчет субсидий'!E235</f>
        <v>2.858758104019592</v>
      </c>
      <c r="E235" s="57">
        <f t="shared" si="69"/>
        <v>12.710056947302064</v>
      </c>
      <c r="F235" s="28" t="s">
        <v>375</v>
      </c>
      <c r="G235" s="28" t="s">
        <v>375</v>
      </c>
      <c r="H235" s="28" t="s">
        <v>375</v>
      </c>
      <c r="I235" s="28" t="s">
        <v>375</v>
      </c>
      <c r="J235" s="28" t="s">
        <v>375</v>
      </c>
      <c r="K235" s="28" t="s">
        <v>375</v>
      </c>
      <c r="L235" s="56">
        <f>'Расчет субсидий'!P235-1</f>
        <v>-0.49691272693760946</v>
      </c>
      <c r="M235" s="56">
        <f>L235*'Расчет субсидий'!Q235</f>
        <v>-9.9382545387521901</v>
      </c>
      <c r="N235" s="57">
        <f t="shared" si="70"/>
        <v>-44.185543704000587</v>
      </c>
      <c r="O235" s="56">
        <f>'Расчет субсидий'!T235-1</f>
        <v>-7.4999999999999956E-2</v>
      </c>
      <c r="P235" s="56">
        <f>O235*'Расчет субсидий'!U235</f>
        <v>-1.4999999999999991</v>
      </c>
      <c r="Q235" s="57">
        <f t="shared" si="71"/>
        <v>-6.6690096633731919</v>
      </c>
      <c r="R235" s="56">
        <f>'Расчет субсидий'!X235-1</f>
        <v>0.21666666666666656</v>
      </c>
      <c r="S235" s="56">
        <f>R235*'Расчет субсидий'!Y235</f>
        <v>6.4999999999999964</v>
      </c>
      <c r="T235" s="57">
        <f t="shared" si="72"/>
        <v>28.899041874617168</v>
      </c>
      <c r="U235" s="56">
        <f t="shared" si="56"/>
        <v>-2.0794964347326008</v>
      </c>
    </row>
    <row r="236" spans="1:21" ht="15" customHeight="1">
      <c r="A236" s="33" t="s">
        <v>232</v>
      </c>
      <c r="B236" s="58"/>
      <c r="C236" s="59"/>
      <c r="D236" s="59"/>
      <c r="E236" s="60"/>
      <c r="F236" s="59"/>
      <c r="G236" s="59"/>
      <c r="H236" s="60"/>
      <c r="I236" s="60"/>
      <c r="J236" s="60"/>
      <c r="K236" s="60"/>
      <c r="L236" s="59"/>
      <c r="M236" s="59"/>
      <c r="N236" s="60"/>
      <c r="O236" s="59"/>
      <c r="P236" s="59"/>
      <c r="Q236" s="60"/>
      <c r="R236" s="59"/>
      <c r="S236" s="59"/>
      <c r="T236" s="60"/>
      <c r="U236" s="60"/>
    </row>
    <row r="237" spans="1:21" ht="15" customHeight="1">
      <c r="A237" s="34" t="s">
        <v>233</v>
      </c>
      <c r="B237" s="54">
        <f>'Расчет субсидий'!AD237</f>
        <v>61.936363636363637</v>
      </c>
      <c r="C237" s="56">
        <f>'Расчет субсидий'!D237-1</f>
        <v>-1</v>
      </c>
      <c r="D237" s="56">
        <f>C237*'Расчет субсидий'!E237</f>
        <v>0</v>
      </c>
      <c r="E237" s="57">
        <f t="shared" ref="E237:E244" si="73">$B237*D237/$U237</f>
        <v>0</v>
      </c>
      <c r="F237" s="28" t="s">
        <v>375</v>
      </c>
      <c r="G237" s="28" t="s">
        <v>375</v>
      </c>
      <c r="H237" s="28" t="s">
        <v>375</v>
      </c>
      <c r="I237" s="28" t="s">
        <v>375</v>
      </c>
      <c r="J237" s="28" t="s">
        <v>375</v>
      </c>
      <c r="K237" s="28" t="s">
        <v>375</v>
      </c>
      <c r="L237" s="56">
        <f>'Расчет субсидий'!P237-1</f>
        <v>0.30000000000000004</v>
      </c>
      <c r="M237" s="56">
        <f>L237*'Расчет субсидий'!Q237</f>
        <v>6.0000000000000009</v>
      </c>
      <c r="N237" s="57">
        <f t="shared" ref="N237:N244" si="74">$B237*M237/$U237</f>
        <v>20.087469287469286</v>
      </c>
      <c r="O237" s="56">
        <f>'Расчет субсидий'!T237-1</f>
        <v>0.17500000000000004</v>
      </c>
      <c r="P237" s="56">
        <f>O237*'Расчет субсидий'!U237</f>
        <v>3.5000000000000009</v>
      </c>
      <c r="Q237" s="57">
        <f t="shared" ref="Q237:Q244" si="75">$B237*P237/$U237</f>
        <v>11.717690417690418</v>
      </c>
      <c r="R237" s="56">
        <f>'Расчет субсидий'!X237-1</f>
        <v>0.30000000000000004</v>
      </c>
      <c r="S237" s="56">
        <f>R237*'Расчет субсидий'!Y237</f>
        <v>9.0000000000000018</v>
      </c>
      <c r="T237" s="57">
        <f t="shared" ref="T237:T244" si="76">$B237*S237/$U237</f>
        <v>30.131203931203927</v>
      </c>
      <c r="U237" s="56">
        <f t="shared" si="56"/>
        <v>18.500000000000004</v>
      </c>
    </row>
    <row r="238" spans="1:21" ht="15" customHeight="1">
      <c r="A238" s="34" t="s">
        <v>234</v>
      </c>
      <c r="B238" s="54">
        <f>'Расчет субсидий'!AD238</f>
        <v>-59.736363636363635</v>
      </c>
      <c r="C238" s="56">
        <f>'Расчет субсидий'!D238-1</f>
        <v>-1</v>
      </c>
      <c r="D238" s="56">
        <f>C238*'Расчет субсидий'!E238</f>
        <v>0</v>
      </c>
      <c r="E238" s="57">
        <f t="shared" si="73"/>
        <v>0</v>
      </c>
      <c r="F238" s="28" t="s">
        <v>375</v>
      </c>
      <c r="G238" s="28" t="s">
        <v>375</v>
      </c>
      <c r="H238" s="28" t="s">
        <v>375</v>
      </c>
      <c r="I238" s="28" t="s">
        <v>375</v>
      </c>
      <c r="J238" s="28" t="s">
        <v>375</v>
      </c>
      <c r="K238" s="28" t="s">
        <v>375</v>
      </c>
      <c r="L238" s="56">
        <f>'Расчет субсидий'!P238-1</f>
        <v>-0.91268323773103888</v>
      </c>
      <c r="M238" s="56">
        <f>L238*'Расчет субсидий'!Q238</f>
        <v>-18.253664754620779</v>
      </c>
      <c r="N238" s="57">
        <f t="shared" si="74"/>
        <v>-32.485318577487881</v>
      </c>
      <c r="O238" s="56">
        <f>'Расчет субсидий'!T238-1</f>
        <v>0.13749999999999996</v>
      </c>
      <c r="P238" s="56">
        <f>O238*'Расчет субсидий'!U238</f>
        <v>3.4374999999999991</v>
      </c>
      <c r="Q238" s="57">
        <f t="shared" si="75"/>
        <v>6.1175815438292496</v>
      </c>
      <c r="R238" s="56">
        <f>'Расчет субсидий'!X238-1</f>
        <v>-0.75</v>
      </c>
      <c r="S238" s="56">
        <f>R238*'Расчет субсидий'!Y238</f>
        <v>-18.75</v>
      </c>
      <c r="T238" s="57">
        <f t="shared" si="76"/>
        <v>-33.368626602705014</v>
      </c>
      <c r="U238" s="56">
        <f t="shared" si="56"/>
        <v>-33.566164754620779</v>
      </c>
    </row>
    <row r="239" spans="1:21" ht="15" customHeight="1">
      <c r="A239" s="34" t="s">
        <v>235</v>
      </c>
      <c r="B239" s="54">
        <f>'Расчет субсидий'!AD239</f>
        <v>-13.472727272727241</v>
      </c>
      <c r="C239" s="56">
        <f>'Расчет субсидий'!D239-1</f>
        <v>-1</v>
      </c>
      <c r="D239" s="56">
        <f>C239*'Расчет субсидий'!E239</f>
        <v>0</v>
      </c>
      <c r="E239" s="57">
        <f t="shared" si="73"/>
        <v>0</v>
      </c>
      <c r="F239" s="28" t="s">
        <v>375</v>
      </c>
      <c r="G239" s="28" t="s">
        <v>375</v>
      </c>
      <c r="H239" s="28" t="s">
        <v>375</v>
      </c>
      <c r="I239" s="28" t="s">
        <v>375</v>
      </c>
      <c r="J239" s="28" t="s">
        <v>375</v>
      </c>
      <c r="K239" s="28" t="s">
        <v>375</v>
      </c>
      <c r="L239" s="56">
        <f>'Расчет субсидий'!P239-1</f>
        <v>-0.55790697674418599</v>
      </c>
      <c r="M239" s="56">
        <f>L239*'Расчет субсидий'!Q239</f>
        <v>-11.15813953488372</v>
      </c>
      <c r="N239" s="57">
        <f t="shared" si="74"/>
        <v>-48.173000804505122</v>
      </c>
      <c r="O239" s="56">
        <f>'Расчет субсидий'!T239-1</f>
        <v>0.23583333333333334</v>
      </c>
      <c r="P239" s="56">
        <f>O239*'Расчет субсидий'!U239</f>
        <v>3.5375000000000001</v>
      </c>
      <c r="Q239" s="57">
        <f t="shared" si="75"/>
        <v>15.272437650844699</v>
      </c>
      <c r="R239" s="56">
        <f>'Расчет субсидий'!X239-1</f>
        <v>0.12857142857142856</v>
      </c>
      <c r="S239" s="56">
        <f>R239*'Расчет субсидий'!Y239</f>
        <v>4.5</v>
      </c>
      <c r="T239" s="57">
        <f t="shared" si="76"/>
        <v>19.427835880933184</v>
      </c>
      <c r="U239" s="56">
        <f t="shared" si="56"/>
        <v>-3.1206395348837201</v>
      </c>
    </row>
    <row r="240" spans="1:21" ht="15" customHeight="1">
      <c r="A240" s="34" t="s">
        <v>236</v>
      </c>
      <c r="B240" s="54">
        <f>'Расчет субсидий'!AD240</f>
        <v>16.827272727272771</v>
      </c>
      <c r="C240" s="56">
        <f>'Расчет субсидий'!D240-1</f>
        <v>-0.71134374999999994</v>
      </c>
      <c r="D240" s="56">
        <f>C240*'Расчет субсидий'!E240</f>
        <v>-7.1134374999999999</v>
      </c>
      <c r="E240" s="57">
        <f t="shared" si="73"/>
        <v>-28.806657321641094</v>
      </c>
      <c r="F240" s="28" t="s">
        <v>375</v>
      </c>
      <c r="G240" s="28" t="s">
        <v>375</v>
      </c>
      <c r="H240" s="28" t="s">
        <v>375</v>
      </c>
      <c r="I240" s="28" t="s">
        <v>375</v>
      </c>
      <c r="J240" s="28" t="s">
        <v>375</v>
      </c>
      <c r="K240" s="28" t="s">
        <v>375</v>
      </c>
      <c r="L240" s="56">
        <f>'Расчет субсидий'!P240-1</f>
        <v>4.3591979075841003E-4</v>
      </c>
      <c r="M240" s="56">
        <f>L240*'Расчет субсидий'!Q240</f>
        <v>8.7183958151682006E-3</v>
      </c>
      <c r="N240" s="57">
        <f t="shared" si="74"/>
        <v>3.5306114750003795E-2</v>
      </c>
      <c r="O240" s="56">
        <f>'Расчет субсидий'!T240-1</f>
        <v>0.2373333333333334</v>
      </c>
      <c r="P240" s="56">
        <f>O240*'Расчет субсидий'!U240</f>
        <v>3.5600000000000009</v>
      </c>
      <c r="Q240" s="57">
        <f t="shared" si="75"/>
        <v>14.416616448101543</v>
      </c>
      <c r="R240" s="56">
        <f>'Расчет субсидий'!X240-1</f>
        <v>0.21999999999999997</v>
      </c>
      <c r="S240" s="56">
        <f>R240*'Расчет субсидий'!Y240</f>
        <v>7.6999999999999993</v>
      </c>
      <c r="T240" s="57">
        <f t="shared" si="76"/>
        <v>31.182007486062318</v>
      </c>
      <c r="U240" s="56">
        <f t="shared" ref="U240:U303" si="77">D240+M240+P240+S240</f>
        <v>4.155280895815169</v>
      </c>
    </row>
    <row r="241" spans="1:21" ht="15" customHeight="1">
      <c r="A241" s="34" t="s">
        <v>237</v>
      </c>
      <c r="B241" s="54">
        <f>'Расчет субсидий'!AD241</f>
        <v>-47.13636363636364</v>
      </c>
      <c r="C241" s="56">
        <f>'Расчет субсидий'!D241-1</f>
        <v>-1</v>
      </c>
      <c r="D241" s="56">
        <f>C241*'Расчет субсидий'!E241</f>
        <v>0</v>
      </c>
      <c r="E241" s="57">
        <f t="shared" si="73"/>
        <v>0</v>
      </c>
      <c r="F241" s="28" t="s">
        <v>375</v>
      </c>
      <c r="G241" s="28" t="s">
        <v>375</v>
      </c>
      <c r="H241" s="28" t="s">
        <v>375</v>
      </c>
      <c r="I241" s="28" t="s">
        <v>375</v>
      </c>
      <c r="J241" s="28" t="s">
        <v>375</v>
      </c>
      <c r="K241" s="28" t="s">
        <v>375</v>
      </c>
      <c r="L241" s="56">
        <f>'Расчет субсидий'!P241-1</f>
        <v>-0.24857142857142855</v>
      </c>
      <c r="M241" s="56">
        <f>L241*'Расчет субсидий'!Q241</f>
        <v>-4.9714285714285715</v>
      </c>
      <c r="N241" s="57">
        <f t="shared" si="74"/>
        <v>-7.9243741765480911</v>
      </c>
      <c r="O241" s="56">
        <f>'Расчет субсидий'!T241-1</f>
        <v>0.27</v>
      </c>
      <c r="P241" s="56">
        <f>O241*'Расчет субсидий'!U241</f>
        <v>5.4</v>
      </c>
      <c r="Q241" s="57">
        <f t="shared" si="75"/>
        <v>8.6075098814229261</v>
      </c>
      <c r="R241" s="56">
        <f>'Расчет субсидий'!X241-1</f>
        <v>-1</v>
      </c>
      <c r="S241" s="56">
        <f>R241*'Расчет субсидий'!Y241</f>
        <v>-30</v>
      </c>
      <c r="T241" s="57">
        <f t="shared" si="76"/>
        <v>-47.819499341238483</v>
      </c>
      <c r="U241" s="56">
        <f t="shared" si="77"/>
        <v>-29.571428571428569</v>
      </c>
    </row>
    <row r="242" spans="1:21" ht="15" customHeight="1">
      <c r="A242" s="34" t="s">
        <v>238</v>
      </c>
      <c r="B242" s="54">
        <f>'Расчет субсидий'!AD242</f>
        <v>11.854545454545416</v>
      </c>
      <c r="C242" s="56">
        <f>'Расчет субсидий'!D242-1</f>
        <v>-1</v>
      </c>
      <c r="D242" s="56">
        <f>C242*'Расчет субсидий'!E242</f>
        <v>0</v>
      </c>
      <c r="E242" s="57">
        <f t="shared" si="73"/>
        <v>0</v>
      </c>
      <c r="F242" s="28" t="s">
        <v>375</v>
      </c>
      <c r="G242" s="28" t="s">
        <v>375</v>
      </c>
      <c r="H242" s="28" t="s">
        <v>375</v>
      </c>
      <c r="I242" s="28" t="s">
        <v>375</v>
      </c>
      <c r="J242" s="28" t="s">
        <v>375</v>
      </c>
      <c r="K242" s="28" t="s">
        <v>375</v>
      </c>
      <c r="L242" s="56">
        <f>'Расчет субсидий'!P242-1</f>
        <v>-0.43069077422345847</v>
      </c>
      <c r="M242" s="56">
        <f>L242*'Расчет субсидий'!Q242</f>
        <v>-8.6138154844691694</v>
      </c>
      <c r="N242" s="57">
        <f t="shared" si="74"/>
        <v>-33.339153985419657</v>
      </c>
      <c r="O242" s="56">
        <f>'Расчет субсидий'!T242-1</f>
        <v>0.20133333333333336</v>
      </c>
      <c r="P242" s="56">
        <f>O242*'Расчет субсидий'!U242</f>
        <v>4.0266666666666673</v>
      </c>
      <c r="Q242" s="57">
        <f t="shared" si="75"/>
        <v>15.584924043242316</v>
      </c>
      <c r="R242" s="56">
        <f>'Расчет субсидий'!X242-1</f>
        <v>0.25499999999999989</v>
      </c>
      <c r="S242" s="56">
        <f>R242*'Расчет субсидий'!Y242</f>
        <v>7.6499999999999968</v>
      </c>
      <c r="T242" s="57">
        <f t="shared" si="76"/>
        <v>29.608775396722759</v>
      </c>
      <c r="U242" s="56">
        <f t="shared" si="77"/>
        <v>3.0628511821974946</v>
      </c>
    </row>
    <row r="243" spans="1:21" ht="15" customHeight="1">
      <c r="A243" s="34" t="s">
        <v>239</v>
      </c>
      <c r="B243" s="54">
        <f>'Расчет субсидий'!AD243</f>
        <v>-46.672727272727286</v>
      </c>
      <c r="C243" s="56">
        <f>'Расчет субсидий'!D243-1</f>
        <v>-1.7560975609756113E-2</v>
      </c>
      <c r="D243" s="56">
        <f>C243*'Расчет субсидий'!E243</f>
        <v>-0.17560975609756113</v>
      </c>
      <c r="E243" s="57">
        <f t="shared" si="73"/>
        <v>-0.55386249372659879</v>
      </c>
      <c r="F243" s="28" t="s">
        <v>375</v>
      </c>
      <c r="G243" s="28" t="s">
        <v>375</v>
      </c>
      <c r="H243" s="28" t="s">
        <v>375</v>
      </c>
      <c r="I243" s="28" t="s">
        <v>375</v>
      </c>
      <c r="J243" s="28" t="s">
        <v>375</v>
      </c>
      <c r="K243" s="28" t="s">
        <v>375</v>
      </c>
      <c r="L243" s="56">
        <f>'Расчет субсидий'!P243-1</f>
        <v>-0.90967283072546234</v>
      </c>
      <c r="M243" s="56">
        <f>L243*'Расчет субсидий'!Q243</f>
        <v>-18.193456614509248</v>
      </c>
      <c r="N243" s="57">
        <f t="shared" si="74"/>
        <v>-57.381056007051313</v>
      </c>
      <c r="O243" s="56">
        <f>'Расчет субсидий'!T243-1</f>
        <v>-0.33750000000000002</v>
      </c>
      <c r="P243" s="56">
        <f>O243*'Расчет субсидий'!U243</f>
        <v>-5.0625</v>
      </c>
      <c r="Q243" s="57">
        <f t="shared" si="75"/>
        <v>-15.96681720196209</v>
      </c>
      <c r="R243" s="56">
        <f>'Расчет субсидий'!X243-1</f>
        <v>0.24666666666666659</v>
      </c>
      <c r="S243" s="56">
        <f>R243*'Расчет субсидий'!Y243</f>
        <v>8.6333333333333311</v>
      </c>
      <c r="T243" s="57">
        <f t="shared" si="76"/>
        <v>27.229008430012708</v>
      </c>
      <c r="U243" s="56">
        <f t="shared" si="77"/>
        <v>-14.798233037273478</v>
      </c>
    </row>
    <row r="244" spans="1:21" ht="15" customHeight="1">
      <c r="A244" s="34" t="s">
        <v>240</v>
      </c>
      <c r="B244" s="54">
        <f>'Расчет субсидий'!AD244</f>
        <v>-14.75454545454545</v>
      </c>
      <c r="C244" s="56">
        <f>'Расчет субсидий'!D244-1</f>
        <v>7.8615621788283629E-2</v>
      </c>
      <c r="D244" s="56">
        <f>C244*'Расчет субсидий'!E244</f>
        <v>0.78615621788283629</v>
      </c>
      <c r="E244" s="57">
        <f t="shared" si="73"/>
        <v>2.9836378052969326</v>
      </c>
      <c r="F244" s="28" t="s">
        <v>375</v>
      </c>
      <c r="G244" s="28" t="s">
        <v>375</v>
      </c>
      <c r="H244" s="28" t="s">
        <v>375</v>
      </c>
      <c r="I244" s="28" t="s">
        <v>375</v>
      </c>
      <c r="J244" s="28" t="s">
        <v>375</v>
      </c>
      <c r="K244" s="28" t="s">
        <v>375</v>
      </c>
      <c r="L244" s="56">
        <f>'Расчет субсидий'!P244-1</f>
        <v>-0.43494095000260136</v>
      </c>
      <c r="M244" s="56">
        <f>L244*'Расчет субсидий'!Q244</f>
        <v>-8.6988190000520262</v>
      </c>
      <c r="N244" s="57">
        <f t="shared" si="74"/>
        <v>-33.013954020342716</v>
      </c>
      <c r="O244" s="56">
        <f>'Расчет субсидий'!T244-1</f>
        <v>0.2024999999999999</v>
      </c>
      <c r="P244" s="56">
        <f>O244*'Расчет субсидий'!U244</f>
        <v>2.024999999999999</v>
      </c>
      <c r="Q244" s="57">
        <f t="shared" si="75"/>
        <v>7.6853256621150665</v>
      </c>
      <c r="R244" s="56">
        <f>'Расчет субсидий'!X244-1</f>
        <v>5.0000000000000044E-2</v>
      </c>
      <c r="S244" s="56">
        <f>R244*'Расчет субсидий'!Y244</f>
        <v>2.0000000000000018</v>
      </c>
      <c r="T244" s="57">
        <f t="shared" si="76"/>
        <v>7.5904450983852616</v>
      </c>
      <c r="U244" s="56">
        <f t="shared" si="77"/>
        <v>-3.8876627821691887</v>
      </c>
    </row>
    <row r="245" spans="1:21" ht="15" customHeight="1">
      <c r="A245" s="33" t="s">
        <v>241</v>
      </c>
      <c r="B245" s="58"/>
      <c r="C245" s="59"/>
      <c r="D245" s="59"/>
      <c r="E245" s="60"/>
      <c r="F245" s="59"/>
      <c r="G245" s="59"/>
      <c r="H245" s="60"/>
      <c r="I245" s="60"/>
      <c r="J245" s="60"/>
      <c r="K245" s="60"/>
      <c r="L245" s="59"/>
      <c r="M245" s="59"/>
      <c r="N245" s="60"/>
      <c r="O245" s="59"/>
      <c r="P245" s="59"/>
      <c r="Q245" s="60"/>
      <c r="R245" s="59"/>
      <c r="S245" s="59"/>
      <c r="T245" s="60"/>
      <c r="U245" s="60"/>
    </row>
    <row r="246" spans="1:21" ht="15" customHeight="1">
      <c r="A246" s="34" t="s">
        <v>242</v>
      </c>
      <c r="B246" s="54">
        <f>'Расчет субсидий'!AD246</f>
        <v>7.2090909090909463</v>
      </c>
      <c r="C246" s="56">
        <f>'Расчет субсидий'!D246-1</f>
        <v>8.4523129640205585E-2</v>
      </c>
      <c r="D246" s="56">
        <f>C246*'Расчет субсидий'!E246</f>
        <v>0.84523129640205585</v>
      </c>
      <c r="E246" s="57">
        <f t="shared" ref="E246:E260" si="78">$B246*D246/$U246</f>
        <v>2.7209743488485603</v>
      </c>
      <c r="F246" s="28" t="s">
        <v>375</v>
      </c>
      <c r="G246" s="28" t="s">
        <v>375</v>
      </c>
      <c r="H246" s="28" t="s">
        <v>375</v>
      </c>
      <c r="I246" s="28" t="s">
        <v>375</v>
      </c>
      <c r="J246" s="28" t="s">
        <v>375</v>
      </c>
      <c r="K246" s="28" t="s">
        <v>375</v>
      </c>
      <c r="L246" s="56">
        <f>'Расчет субсидий'!P246-1</f>
        <v>-0.29228243021346467</v>
      </c>
      <c r="M246" s="56">
        <f>L246*'Расчет субсидий'!Q246</f>
        <v>-5.845648604269293</v>
      </c>
      <c r="N246" s="57">
        <f t="shared" ref="N246:N260" si="79">$B246*M246/$U246</f>
        <v>-18.818351819562899</v>
      </c>
      <c r="O246" s="56">
        <f>'Расчет субсидий'!T246-1</f>
        <v>0.259049676025918</v>
      </c>
      <c r="P246" s="56">
        <f>O246*'Расчет субсидий'!U246</f>
        <v>5.1809935205183599</v>
      </c>
      <c r="Q246" s="57">
        <f t="shared" ref="Q246:Q260" si="80">$B246*P246/$U246</f>
        <v>16.678689644941034</v>
      </c>
      <c r="R246" s="56">
        <f>'Расчет субсидий'!X246-1</f>
        <v>6.8627450980392357E-2</v>
      </c>
      <c r="S246" s="56">
        <f>R246*'Расчет субсидий'!Y246</f>
        <v>2.0588235294117707</v>
      </c>
      <c r="T246" s="57">
        <f t="shared" ref="T246:T260" si="81">$B246*S246/$U246</f>
        <v>6.6277787348642505</v>
      </c>
      <c r="U246" s="56">
        <f t="shared" si="77"/>
        <v>2.2393997420628935</v>
      </c>
    </row>
    <row r="247" spans="1:21" ht="15" customHeight="1">
      <c r="A247" s="34" t="s">
        <v>243</v>
      </c>
      <c r="B247" s="54">
        <f>'Расчет субсидий'!AD247</f>
        <v>12.690909090909088</v>
      </c>
      <c r="C247" s="56">
        <f>'Расчет субсидий'!D247-1</f>
        <v>-1</v>
      </c>
      <c r="D247" s="56">
        <f>C247*'Расчет субсидий'!E247</f>
        <v>0</v>
      </c>
      <c r="E247" s="57">
        <f t="shared" si="78"/>
        <v>0</v>
      </c>
      <c r="F247" s="28" t="s">
        <v>375</v>
      </c>
      <c r="G247" s="28" t="s">
        <v>375</v>
      </c>
      <c r="H247" s="28" t="s">
        <v>375</v>
      </c>
      <c r="I247" s="28" t="s">
        <v>375</v>
      </c>
      <c r="J247" s="28" t="s">
        <v>375</v>
      </c>
      <c r="K247" s="28" t="s">
        <v>375</v>
      </c>
      <c r="L247" s="56">
        <f>'Расчет субсидий'!P247-1</f>
        <v>0.28000000000000003</v>
      </c>
      <c r="M247" s="56">
        <f>L247*'Расчет субсидий'!Q247</f>
        <v>5.6000000000000005</v>
      </c>
      <c r="N247" s="57">
        <f t="shared" si="79"/>
        <v>15.609174527011691</v>
      </c>
      <c r="O247" s="56">
        <f>'Расчет субсидий'!T247-1</f>
        <v>-0.21428571428571419</v>
      </c>
      <c r="P247" s="56">
        <f>O247*'Расчет субсидий'!U247</f>
        <v>-2.1428571428571419</v>
      </c>
      <c r="Q247" s="57">
        <f t="shared" si="80"/>
        <v>-5.9728984159483476</v>
      </c>
      <c r="R247" s="56">
        <f>'Расчет субсидий'!X247-1</f>
        <v>2.7397260273972712E-2</v>
      </c>
      <c r="S247" s="56">
        <f>R247*'Расчет субсидий'!Y247</f>
        <v>1.0958904109589085</v>
      </c>
      <c r="T247" s="57">
        <f t="shared" si="81"/>
        <v>3.0546329798457439</v>
      </c>
      <c r="U247" s="56">
        <f t="shared" si="77"/>
        <v>4.5530332681017676</v>
      </c>
    </row>
    <row r="248" spans="1:21" ht="15" customHeight="1">
      <c r="A248" s="34" t="s">
        <v>244</v>
      </c>
      <c r="B248" s="54">
        <f>'Расчет субсидий'!AD248</f>
        <v>20.454545454545467</v>
      </c>
      <c r="C248" s="56">
        <f>'Расчет субсидий'!D248-1</f>
        <v>0.26128834355828223</v>
      </c>
      <c r="D248" s="56">
        <f>C248*'Расчет субсидий'!E248</f>
        <v>2.6128834355828223</v>
      </c>
      <c r="E248" s="57">
        <f t="shared" si="78"/>
        <v>4.6006708993488772</v>
      </c>
      <c r="F248" s="28" t="s">
        <v>375</v>
      </c>
      <c r="G248" s="28" t="s">
        <v>375</v>
      </c>
      <c r="H248" s="28" t="s">
        <v>375</v>
      </c>
      <c r="I248" s="28" t="s">
        <v>375</v>
      </c>
      <c r="J248" s="28" t="s">
        <v>375</v>
      </c>
      <c r="K248" s="28" t="s">
        <v>375</v>
      </c>
      <c r="L248" s="56">
        <f>'Расчет субсидий'!P248-1</f>
        <v>0.22303646144650324</v>
      </c>
      <c r="M248" s="56">
        <f>L248*'Расчет субсидий'!Q248</f>
        <v>4.4607292289300648</v>
      </c>
      <c r="N248" s="57">
        <f t="shared" si="79"/>
        <v>7.854291115300307</v>
      </c>
      <c r="O248" s="56">
        <f>'Расчет субсидий'!T248-1</f>
        <v>0.13411078717201175</v>
      </c>
      <c r="P248" s="56">
        <f>O248*'Расчет субсидий'!U248</f>
        <v>3.3527696793002937</v>
      </c>
      <c r="Q248" s="57">
        <f t="shared" si="80"/>
        <v>5.9034359075170428</v>
      </c>
      <c r="R248" s="56">
        <f>'Расчет субсидий'!X248-1</f>
        <v>4.7619047619047672E-2</v>
      </c>
      <c r="S248" s="56">
        <f>R248*'Расчет субсидий'!Y248</f>
        <v>1.1904761904761918</v>
      </c>
      <c r="T248" s="57">
        <f t="shared" si="81"/>
        <v>2.0961475323792409</v>
      </c>
      <c r="U248" s="56">
        <f t="shared" si="77"/>
        <v>11.616858534289372</v>
      </c>
    </row>
    <row r="249" spans="1:21" ht="15" customHeight="1">
      <c r="A249" s="34" t="s">
        <v>245</v>
      </c>
      <c r="B249" s="54">
        <f>'Расчет субсидий'!AD249</f>
        <v>-27.627272727272725</v>
      </c>
      <c r="C249" s="56">
        <f>'Расчет субсидий'!D249-1</f>
        <v>-1</v>
      </c>
      <c r="D249" s="56">
        <f>C249*'Расчет субсидий'!E249</f>
        <v>0</v>
      </c>
      <c r="E249" s="57">
        <f t="shared" si="78"/>
        <v>0</v>
      </c>
      <c r="F249" s="28" t="s">
        <v>375</v>
      </c>
      <c r="G249" s="28" t="s">
        <v>375</v>
      </c>
      <c r="H249" s="28" t="s">
        <v>375</v>
      </c>
      <c r="I249" s="28" t="s">
        <v>375</v>
      </c>
      <c r="J249" s="28" t="s">
        <v>375</v>
      </c>
      <c r="K249" s="28" t="s">
        <v>375</v>
      </c>
      <c r="L249" s="56">
        <f>'Расчет субсидий'!P249-1</f>
        <v>-0.80920751259734314</v>
      </c>
      <c r="M249" s="56">
        <f>L249*'Расчет субсидий'!Q249</f>
        <v>-16.184150251946864</v>
      </c>
      <c r="N249" s="57">
        <f t="shared" si="79"/>
        <v>-37.640323211693605</v>
      </c>
      <c r="O249" s="56">
        <f>'Расчет субсидий'!T249-1</f>
        <v>0.17088607594936711</v>
      </c>
      <c r="P249" s="56">
        <f>O249*'Расчет субсидий'!U249</f>
        <v>3.4177215189873422</v>
      </c>
      <c r="Q249" s="57">
        <f t="shared" si="80"/>
        <v>7.9487733751587486</v>
      </c>
      <c r="R249" s="56">
        <f>'Расчет субсидий'!X249-1</f>
        <v>2.9585798816567976E-2</v>
      </c>
      <c r="S249" s="56">
        <f>R249*'Расчет субсидий'!Y249</f>
        <v>0.88757396449703929</v>
      </c>
      <c r="T249" s="57">
        <f t="shared" si="81"/>
        <v>2.0642771092621288</v>
      </c>
      <c r="U249" s="56">
        <f t="shared" si="77"/>
        <v>-11.878854768462482</v>
      </c>
    </row>
    <row r="250" spans="1:21" ht="15" customHeight="1">
      <c r="A250" s="34" t="s">
        <v>246</v>
      </c>
      <c r="B250" s="54">
        <f>'Расчет субсидий'!AD250</f>
        <v>-14.27272727272728</v>
      </c>
      <c r="C250" s="56">
        <f>'Расчет субсидий'!D250-1</f>
        <v>-1</v>
      </c>
      <c r="D250" s="56">
        <f>C250*'Расчет субсидий'!E250</f>
        <v>0</v>
      </c>
      <c r="E250" s="57">
        <f t="shared" si="78"/>
        <v>0</v>
      </c>
      <c r="F250" s="28" t="s">
        <v>375</v>
      </c>
      <c r="G250" s="28" t="s">
        <v>375</v>
      </c>
      <c r="H250" s="28" t="s">
        <v>375</v>
      </c>
      <c r="I250" s="28" t="s">
        <v>375</v>
      </c>
      <c r="J250" s="28" t="s">
        <v>375</v>
      </c>
      <c r="K250" s="28" t="s">
        <v>375</v>
      </c>
      <c r="L250" s="56">
        <f>'Расчет субсидий'!P250-1</f>
        <v>-0.66087502616705041</v>
      </c>
      <c r="M250" s="56">
        <f>L250*'Расчет субсидий'!Q250</f>
        <v>-13.217500523341009</v>
      </c>
      <c r="N250" s="57">
        <f t="shared" si="79"/>
        <v>-30.341739335375937</v>
      </c>
      <c r="O250" s="56">
        <f>'Расчет субсидий'!T250-1</f>
        <v>0</v>
      </c>
      <c r="P250" s="56">
        <f>O250*'Расчет субсидий'!U250</f>
        <v>0</v>
      </c>
      <c r="Q250" s="57">
        <f t="shared" si="80"/>
        <v>0</v>
      </c>
      <c r="R250" s="56">
        <f>'Расчет субсидий'!X250-1</f>
        <v>0.28000000000000003</v>
      </c>
      <c r="S250" s="56">
        <f>R250*'Расчет субсидий'!Y250</f>
        <v>7.0000000000000009</v>
      </c>
      <c r="T250" s="57">
        <f t="shared" si="81"/>
        <v>16.069012062648653</v>
      </c>
      <c r="U250" s="56">
        <f t="shared" si="77"/>
        <v>-6.2175005233410081</v>
      </c>
    </row>
    <row r="251" spans="1:21" ht="15" customHeight="1">
      <c r="A251" s="34" t="s">
        <v>247</v>
      </c>
      <c r="B251" s="54">
        <f>'Расчет субсидий'!AD251</f>
        <v>-1.636363636363626</v>
      </c>
      <c r="C251" s="56">
        <f>'Расчет субсидий'!D251-1</f>
        <v>-1</v>
      </c>
      <c r="D251" s="56">
        <f>C251*'Расчет субсидий'!E251</f>
        <v>0</v>
      </c>
      <c r="E251" s="57">
        <f t="shared" si="78"/>
        <v>0</v>
      </c>
      <c r="F251" s="28" t="s">
        <v>375</v>
      </c>
      <c r="G251" s="28" t="s">
        <v>375</v>
      </c>
      <c r="H251" s="28" t="s">
        <v>375</v>
      </c>
      <c r="I251" s="28" t="s">
        <v>375</v>
      </c>
      <c r="J251" s="28" t="s">
        <v>375</v>
      </c>
      <c r="K251" s="28" t="s">
        <v>375</v>
      </c>
      <c r="L251" s="56">
        <f>'Расчет субсидий'!P251-1</f>
        <v>9.2005076142132047E-2</v>
      </c>
      <c r="M251" s="56">
        <f>L251*'Расчет субсидий'!Q251</f>
        <v>1.8401015228426409</v>
      </c>
      <c r="N251" s="57">
        <f t="shared" si="79"/>
        <v>4.1110905766756813</v>
      </c>
      <c r="O251" s="56">
        <f>'Расчет субсидий'!T251-1</f>
        <v>1.4634146341463428E-2</v>
      </c>
      <c r="P251" s="56">
        <f>O251*'Расчет субсидий'!U251</f>
        <v>0.58536585365853711</v>
      </c>
      <c r="Q251" s="57">
        <f t="shared" si="80"/>
        <v>1.3078039526676282</v>
      </c>
      <c r="R251" s="56">
        <f>'Расчет субсидий'!X251-1</f>
        <v>-0.31578947368421051</v>
      </c>
      <c r="S251" s="56">
        <f>R251*'Расчет субсидий'!Y251</f>
        <v>-3.1578947368421053</v>
      </c>
      <c r="T251" s="57">
        <f t="shared" si="81"/>
        <v>-7.0552581657069355</v>
      </c>
      <c r="U251" s="56">
        <f t="shared" si="77"/>
        <v>-0.73242736034092726</v>
      </c>
    </row>
    <row r="252" spans="1:21" ht="15" customHeight="1">
      <c r="A252" s="34" t="s">
        <v>248</v>
      </c>
      <c r="B252" s="54">
        <f>'Расчет субсидий'!AD252</f>
        <v>6.181818181818187</v>
      </c>
      <c r="C252" s="56">
        <f>'Расчет субсидий'!D252-1</f>
        <v>-1</v>
      </c>
      <c r="D252" s="56">
        <f>C252*'Расчет субсидий'!E252</f>
        <v>0</v>
      </c>
      <c r="E252" s="57">
        <f t="shared" si="78"/>
        <v>0</v>
      </c>
      <c r="F252" s="28" t="s">
        <v>375</v>
      </c>
      <c r="G252" s="28" t="s">
        <v>375</v>
      </c>
      <c r="H252" s="28" t="s">
        <v>375</v>
      </c>
      <c r="I252" s="28" t="s">
        <v>375</v>
      </c>
      <c r="J252" s="28" t="s">
        <v>375</v>
      </c>
      <c r="K252" s="28" t="s">
        <v>375</v>
      </c>
      <c r="L252" s="56">
        <f>'Расчет субсидий'!P252-1</f>
        <v>-0.23689727463312371</v>
      </c>
      <c r="M252" s="56">
        <f>L252*'Расчет субсидий'!Q252</f>
        <v>-4.7379454926624742</v>
      </c>
      <c r="N252" s="57">
        <f t="shared" si="79"/>
        <v>-18.462877218502619</v>
      </c>
      <c r="O252" s="56">
        <f>'Расчет субсидий'!T252-1</f>
        <v>0</v>
      </c>
      <c r="P252" s="56">
        <f>O252*'Расчет субсидий'!U252</f>
        <v>0</v>
      </c>
      <c r="Q252" s="57">
        <f t="shared" si="80"/>
        <v>0</v>
      </c>
      <c r="R252" s="56">
        <f>'Расчет субсидий'!X252-1</f>
        <v>0.25297297297297305</v>
      </c>
      <c r="S252" s="56">
        <f>R252*'Расчет субсидий'!Y252</f>
        <v>6.3243243243243263</v>
      </c>
      <c r="T252" s="57">
        <f t="shared" si="81"/>
        <v>24.644695400320806</v>
      </c>
      <c r="U252" s="56">
        <f t="shared" si="77"/>
        <v>1.5863788316618521</v>
      </c>
    </row>
    <row r="253" spans="1:21" ht="15" customHeight="1">
      <c r="A253" s="34" t="s">
        <v>249</v>
      </c>
      <c r="B253" s="54">
        <f>'Расчет субсидий'!AD253</f>
        <v>14.327272727272714</v>
      </c>
      <c r="C253" s="56">
        <f>'Расчет субсидий'!D253-1</f>
        <v>-1</v>
      </c>
      <c r="D253" s="56">
        <f>C253*'Расчет субсидий'!E253</f>
        <v>0</v>
      </c>
      <c r="E253" s="57">
        <f t="shared" si="78"/>
        <v>0</v>
      </c>
      <c r="F253" s="28" t="s">
        <v>375</v>
      </c>
      <c r="G253" s="28" t="s">
        <v>375</v>
      </c>
      <c r="H253" s="28" t="s">
        <v>375</v>
      </c>
      <c r="I253" s="28" t="s">
        <v>375</v>
      </c>
      <c r="J253" s="28" t="s">
        <v>375</v>
      </c>
      <c r="K253" s="28" t="s">
        <v>375</v>
      </c>
      <c r="L253" s="56">
        <f>'Расчет субсидий'!P253-1</f>
        <v>0.20636834319526631</v>
      </c>
      <c r="M253" s="56">
        <f>L253*'Расчет субсидий'!Q253</f>
        <v>4.1273668639053263</v>
      </c>
      <c r="N253" s="57">
        <f t="shared" si="79"/>
        <v>10.241145253540884</v>
      </c>
      <c r="O253" s="56">
        <f>'Расчет субсидий'!T253-1</f>
        <v>6.1505832449628706E-2</v>
      </c>
      <c r="P253" s="56">
        <f>O253*'Расчет субсидий'!U253</f>
        <v>1.2301166489925741</v>
      </c>
      <c r="Q253" s="57">
        <f t="shared" si="80"/>
        <v>3.0522615741533188</v>
      </c>
      <c r="R253" s="56">
        <f>'Расчет субсидий'!X253-1</f>
        <v>1.388888888888884E-2</v>
      </c>
      <c r="S253" s="56">
        <f>R253*'Расчет субсидий'!Y253</f>
        <v>0.41666666666666519</v>
      </c>
      <c r="T253" s="57">
        <f t="shared" si="81"/>
        <v>1.0338658995785115</v>
      </c>
      <c r="U253" s="56">
        <f t="shared" si="77"/>
        <v>5.7741501795645656</v>
      </c>
    </row>
    <row r="254" spans="1:21" ht="15" customHeight="1">
      <c r="A254" s="34" t="s">
        <v>250</v>
      </c>
      <c r="B254" s="54">
        <f>'Расчет субсидий'!AD254</f>
        <v>-14.554545454545462</v>
      </c>
      <c r="C254" s="56">
        <f>'Расчет субсидий'!D254-1</f>
        <v>0.21114375655823703</v>
      </c>
      <c r="D254" s="56">
        <f>C254*'Расчет субсидий'!E254</f>
        <v>2.1114375655823703</v>
      </c>
      <c r="E254" s="57">
        <f t="shared" si="78"/>
        <v>9.1687285945053265</v>
      </c>
      <c r="F254" s="28" t="s">
        <v>375</v>
      </c>
      <c r="G254" s="28" t="s">
        <v>375</v>
      </c>
      <c r="H254" s="28" t="s">
        <v>375</v>
      </c>
      <c r="I254" s="28" t="s">
        <v>375</v>
      </c>
      <c r="J254" s="28" t="s">
        <v>375</v>
      </c>
      <c r="K254" s="28" t="s">
        <v>375</v>
      </c>
      <c r="L254" s="56">
        <f>'Расчет субсидий'!P254-1</f>
        <v>-0.27315789473684216</v>
      </c>
      <c r="M254" s="56">
        <f>L254*'Расчет субсидий'!Q254</f>
        <v>-5.4631578947368435</v>
      </c>
      <c r="N254" s="57">
        <f t="shared" si="79"/>
        <v>-23.723274049050787</v>
      </c>
      <c r="O254" s="56">
        <f>'Расчет субсидий'!T254-1</f>
        <v>0</v>
      </c>
      <c r="P254" s="56">
        <f>O254*'Расчет субсидий'!U254</f>
        <v>0</v>
      </c>
      <c r="Q254" s="57">
        <f t="shared" si="80"/>
        <v>0</v>
      </c>
      <c r="R254" s="56">
        <f>'Расчет субсидий'!X254-1</f>
        <v>0</v>
      </c>
      <c r="S254" s="56">
        <f>R254*'Расчет субсидий'!Y254</f>
        <v>0</v>
      </c>
      <c r="T254" s="57">
        <f t="shared" si="81"/>
        <v>0</v>
      </c>
      <c r="U254" s="56">
        <f t="shared" si="77"/>
        <v>-3.3517203291544733</v>
      </c>
    </row>
    <row r="255" spans="1:21" ht="15" customHeight="1">
      <c r="A255" s="34" t="s">
        <v>251</v>
      </c>
      <c r="B255" s="54">
        <f>'Расчет субсидий'!AD255</f>
        <v>25.563636363636363</v>
      </c>
      <c r="C255" s="56">
        <f>'Расчет субсидий'!D255-1</f>
        <v>-1</v>
      </c>
      <c r="D255" s="56">
        <f>C255*'Расчет субсидий'!E255</f>
        <v>0</v>
      </c>
      <c r="E255" s="57">
        <f t="shared" si="78"/>
        <v>0</v>
      </c>
      <c r="F255" s="28" t="s">
        <v>375</v>
      </c>
      <c r="G255" s="28" t="s">
        <v>375</v>
      </c>
      <c r="H255" s="28" t="s">
        <v>375</v>
      </c>
      <c r="I255" s="28" t="s">
        <v>375</v>
      </c>
      <c r="J255" s="28" t="s">
        <v>375</v>
      </c>
      <c r="K255" s="28" t="s">
        <v>375</v>
      </c>
      <c r="L255" s="56">
        <f>'Расчет субсидий'!P255-1</f>
        <v>0.24464270962412216</v>
      </c>
      <c r="M255" s="56">
        <f>L255*'Расчет субсидий'!Q255</f>
        <v>4.8928541924824431</v>
      </c>
      <c r="N255" s="57">
        <f t="shared" si="79"/>
        <v>13.819756390728799</v>
      </c>
      <c r="O255" s="56">
        <f>'Расчет субсидий'!T255-1</f>
        <v>5.0000000000000044E-2</v>
      </c>
      <c r="P255" s="56">
        <f>O255*'Расчет субсидий'!U255</f>
        <v>1.0000000000000009</v>
      </c>
      <c r="Q255" s="57">
        <f t="shared" si="80"/>
        <v>2.8244774618385278</v>
      </c>
      <c r="R255" s="56">
        <f>'Расчет субсидий'!X255-1</f>
        <v>0.10526315789473695</v>
      </c>
      <c r="S255" s="56">
        <f>R255*'Расчет субсидий'!Y255</f>
        <v>3.1578947368421084</v>
      </c>
      <c r="T255" s="57">
        <f t="shared" si="81"/>
        <v>8.9194025110690376</v>
      </c>
      <c r="U255" s="56">
        <f t="shared" si="77"/>
        <v>9.050748929324552</v>
      </c>
    </row>
    <row r="256" spans="1:21" ht="15" customHeight="1">
      <c r="A256" s="34" t="s">
        <v>252</v>
      </c>
      <c r="B256" s="54">
        <f>'Расчет субсидий'!AD256</f>
        <v>-48.536363636363632</v>
      </c>
      <c r="C256" s="56">
        <f>'Расчет субсидий'!D256-1</f>
        <v>0.13448844884488453</v>
      </c>
      <c r="D256" s="56">
        <f>C256*'Расчет субсидий'!E256</f>
        <v>1.3448844884488453</v>
      </c>
      <c r="E256" s="57">
        <f t="shared" si="78"/>
        <v>4.0469563623040905</v>
      </c>
      <c r="F256" s="28" t="s">
        <v>375</v>
      </c>
      <c r="G256" s="28" t="s">
        <v>375</v>
      </c>
      <c r="H256" s="28" t="s">
        <v>375</v>
      </c>
      <c r="I256" s="28" t="s">
        <v>375</v>
      </c>
      <c r="J256" s="28" t="s">
        <v>375</v>
      </c>
      <c r="K256" s="28" t="s">
        <v>375</v>
      </c>
      <c r="L256" s="56">
        <f>'Расчет субсидий'!P256-1</f>
        <v>-0.71419244266710191</v>
      </c>
      <c r="M256" s="56">
        <f>L256*'Расчет субсидий'!Q256</f>
        <v>-14.283848853342038</v>
      </c>
      <c r="N256" s="57">
        <f t="shared" si="79"/>
        <v>-42.982214079883256</v>
      </c>
      <c r="O256" s="56">
        <f>'Расчет субсидий'!T256-1</f>
        <v>-0.2561387699932417</v>
      </c>
      <c r="P256" s="56">
        <f>O256*'Расчет субсидий'!U256</f>
        <v>-2.5613876999324168</v>
      </c>
      <c r="Q256" s="57">
        <f t="shared" si="80"/>
        <v>-7.7075944719420528</v>
      </c>
      <c r="R256" s="56">
        <f>'Расчет субсидий'!X256-1</f>
        <v>-1.5731292517006779E-2</v>
      </c>
      <c r="S256" s="56">
        <f>R256*'Расчет субсидий'!Y256</f>
        <v>-0.62925170068027114</v>
      </c>
      <c r="T256" s="57">
        <f t="shared" si="81"/>
        <v>-1.8935114468424137</v>
      </c>
      <c r="U256" s="56">
        <f t="shared" si="77"/>
        <v>-16.12960376550588</v>
      </c>
    </row>
    <row r="257" spans="1:21" ht="15" customHeight="1">
      <c r="A257" s="34" t="s">
        <v>253</v>
      </c>
      <c r="B257" s="54">
        <f>'Расчет субсидий'!AD257</f>
        <v>-21.209090909090946</v>
      </c>
      <c r="C257" s="56">
        <f>'Расчет субсидий'!D257-1</f>
        <v>-1</v>
      </c>
      <c r="D257" s="56">
        <f>C257*'Расчет субсидий'!E257</f>
        <v>0</v>
      </c>
      <c r="E257" s="57">
        <f t="shared" si="78"/>
        <v>0</v>
      </c>
      <c r="F257" s="28" t="s">
        <v>375</v>
      </c>
      <c r="G257" s="28" t="s">
        <v>375</v>
      </c>
      <c r="H257" s="28" t="s">
        <v>375</v>
      </c>
      <c r="I257" s="28" t="s">
        <v>375</v>
      </c>
      <c r="J257" s="28" t="s">
        <v>375</v>
      </c>
      <c r="K257" s="28" t="s">
        <v>375</v>
      </c>
      <c r="L257" s="56">
        <f>'Расчет субсидий'!P257-1</f>
        <v>-0.36575735821966981</v>
      </c>
      <c r="M257" s="56">
        <f>L257*'Расчет субсидий'!Q257</f>
        <v>-7.3151471643933963</v>
      </c>
      <c r="N257" s="57">
        <f t="shared" si="79"/>
        <v>-32.478683913226639</v>
      </c>
      <c r="O257" s="56">
        <f>'Расчет субсидий'!T257-1</f>
        <v>4.871060171919761E-2</v>
      </c>
      <c r="P257" s="56">
        <f>O257*'Расчет субсидий'!U257</f>
        <v>1.4613180515759283</v>
      </c>
      <c r="Q257" s="57">
        <f t="shared" si="80"/>
        <v>6.4881383828950669</v>
      </c>
      <c r="R257" s="56">
        <f>'Расчет субсидий'!X257-1</f>
        <v>5.3846153846153877E-2</v>
      </c>
      <c r="S257" s="56">
        <f>R257*'Расчет субсидий'!Y257</f>
        <v>1.0769230769230775</v>
      </c>
      <c r="T257" s="57">
        <f t="shared" si="81"/>
        <v>4.7814546212406306</v>
      </c>
      <c r="U257" s="56">
        <f t="shared" si="77"/>
        <v>-4.7769060358943909</v>
      </c>
    </row>
    <row r="258" spans="1:21" ht="15" customHeight="1">
      <c r="A258" s="34" t="s">
        <v>254</v>
      </c>
      <c r="B258" s="54">
        <f>'Расчет субсидий'!AD258</f>
        <v>-41.609090909090909</v>
      </c>
      <c r="C258" s="56">
        <f>'Расчет субсидий'!D258-1</f>
        <v>-1</v>
      </c>
      <c r="D258" s="56">
        <f>C258*'Расчет субсидий'!E258</f>
        <v>0</v>
      </c>
      <c r="E258" s="57">
        <f t="shared" si="78"/>
        <v>0</v>
      </c>
      <c r="F258" s="28" t="s">
        <v>375</v>
      </c>
      <c r="G258" s="28" t="s">
        <v>375</v>
      </c>
      <c r="H258" s="28" t="s">
        <v>375</v>
      </c>
      <c r="I258" s="28" t="s">
        <v>375</v>
      </c>
      <c r="J258" s="28" t="s">
        <v>375</v>
      </c>
      <c r="K258" s="28" t="s">
        <v>375</v>
      </c>
      <c r="L258" s="56">
        <f>'Расчет субсидий'!P258-1</f>
        <v>-0.95494584837545127</v>
      </c>
      <c r="M258" s="56">
        <f>L258*'Расчет субсидий'!Q258</f>
        <v>-19.098916967509027</v>
      </c>
      <c r="N258" s="57">
        <f t="shared" si="79"/>
        <v>-41.944383358450153</v>
      </c>
      <c r="O258" s="56">
        <f>'Расчет субсидий'!T258-1</f>
        <v>7.6335877862594437E-3</v>
      </c>
      <c r="P258" s="56">
        <f>O258*'Расчет субсидий'!U258</f>
        <v>0.15267175572518887</v>
      </c>
      <c r="Q258" s="57">
        <f t="shared" si="80"/>
        <v>0.33529244935924674</v>
      </c>
      <c r="R258" s="56">
        <f>'Расчет субсидий'!X258-1</f>
        <v>0</v>
      </c>
      <c r="S258" s="56">
        <f>R258*'Расчет субсидий'!Y258</f>
        <v>0</v>
      </c>
      <c r="T258" s="57">
        <f t="shared" si="81"/>
        <v>0</v>
      </c>
      <c r="U258" s="56">
        <f t="shared" si="77"/>
        <v>-18.94624521178384</v>
      </c>
    </row>
    <row r="259" spans="1:21" ht="15" customHeight="1">
      <c r="A259" s="34" t="s">
        <v>255</v>
      </c>
      <c r="B259" s="54">
        <f>'Расчет субсидий'!AD259</f>
        <v>1.3000000000000114</v>
      </c>
      <c r="C259" s="56">
        <f>'Расчет субсидий'!D259-1</f>
        <v>-1</v>
      </c>
      <c r="D259" s="56">
        <f>C259*'Расчет субсидий'!E259</f>
        <v>0</v>
      </c>
      <c r="E259" s="57">
        <f t="shared" si="78"/>
        <v>0</v>
      </c>
      <c r="F259" s="28" t="s">
        <v>375</v>
      </c>
      <c r="G259" s="28" t="s">
        <v>375</v>
      </c>
      <c r="H259" s="28" t="s">
        <v>375</v>
      </c>
      <c r="I259" s="28" t="s">
        <v>375</v>
      </c>
      <c r="J259" s="28" t="s">
        <v>375</v>
      </c>
      <c r="K259" s="28" t="s">
        <v>375</v>
      </c>
      <c r="L259" s="56">
        <f>'Расчет субсидий'!P259-1</f>
        <v>-0.43355534411671426</v>
      </c>
      <c r="M259" s="56">
        <f>L259*'Расчет субсидий'!Q259</f>
        <v>-8.6711068823342856</v>
      </c>
      <c r="N259" s="57">
        <f t="shared" si="79"/>
        <v>-19.73060812515795</v>
      </c>
      <c r="O259" s="56">
        <f>'Расчет субсидий'!T259-1</f>
        <v>0.13636363636363624</v>
      </c>
      <c r="P259" s="56">
        <f>O259*'Расчет субсидий'!U259</f>
        <v>3.4090909090909061</v>
      </c>
      <c r="Q259" s="57">
        <f t="shared" si="80"/>
        <v>7.7571915215746507</v>
      </c>
      <c r="R259" s="56">
        <f>'Расчет субсидий'!X259-1</f>
        <v>0.23333333333333339</v>
      </c>
      <c r="S259" s="56">
        <f>R259*'Расчет субсидий'!Y259</f>
        <v>5.8333333333333348</v>
      </c>
      <c r="T259" s="57">
        <f t="shared" si="81"/>
        <v>13.273416603583307</v>
      </c>
      <c r="U259" s="56">
        <f t="shared" si="77"/>
        <v>0.57131736008995571</v>
      </c>
    </row>
    <row r="260" spans="1:21" ht="15" customHeight="1">
      <c r="A260" s="34" t="s">
        <v>256</v>
      </c>
      <c r="B260" s="54">
        <f>'Расчет субсидий'!AD260</f>
        <v>7.0545454545454618</v>
      </c>
      <c r="C260" s="56">
        <f>'Расчет субсидий'!D260-1</f>
        <v>0.21246053853296187</v>
      </c>
      <c r="D260" s="56">
        <f>C260*'Расчет субсидий'!E260</f>
        <v>2.1246053853296187</v>
      </c>
      <c r="E260" s="57">
        <f t="shared" si="78"/>
        <v>5.3963534411025087</v>
      </c>
      <c r="F260" s="28" t="s">
        <v>375</v>
      </c>
      <c r="G260" s="28" t="s">
        <v>375</v>
      </c>
      <c r="H260" s="28" t="s">
        <v>375</v>
      </c>
      <c r="I260" s="28" t="s">
        <v>375</v>
      </c>
      <c r="J260" s="28" t="s">
        <v>375</v>
      </c>
      <c r="K260" s="28" t="s">
        <v>375</v>
      </c>
      <c r="L260" s="56">
        <f>'Расчет субсидий'!P260-1</f>
        <v>-0.3850658857979502</v>
      </c>
      <c r="M260" s="56">
        <f>L260*'Расчет субсидий'!Q260</f>
        <v>-7.7013177159590036</v>
      </c>
      <c r="N260" s="57">
        <f t="shared" si="79"/>
        <v>-19.560824162691027</v>
      </c>
      <c r="O260" s="56">
        <f>'Расчет субсидий'!T260-1</f>
        <v>0.19513888888888875</v>
      </c>
      <c r="P260" s="56">
        <f>O260*'Расчет субсидий'!U260</f>
        <v>5.8541666666666625</v>
      </c>
      <c r="Q260" s="57">
        <f t="shared" si="80"/>
        <v>14.869185898986641</v>
      </c>
      <c r="R260" s="56">
        <f>'Расчет субсидий'!X260-1</f>
        <v>0.12500000000000022</v>
      </c>
      <c r="S260" s="56">
        <f>R260*'Расчет субсидий'!Y260</f>
        <v>2.5000000000000044</v>
      </c>
      <c r="T260" s="57">
        <f t="shared" si="81"/>
        <v>6.3498302771473369</v>
      </c>
      <c r="U260" s="56">
        <f t="shared" si="77"/>
        <v>2.7774543360372821</v>
      </c>
    </row>
    <row r="261" spans="1:21" ht="15" customHeight="1">
      <c r="A261" s="33" t="s">
        <v>257</v>
      </c>
      <c r="B261" s="58"/>
      <c r="C261" s="59"/>
      <c r="D261" s="59"/>
      <c r="E261" s="60"/>
      <c r="F261" s="59"/>
      <c r="G261" s="59"/>
      <c r="H261" s="60"/>
      <c r="I261" s="60"/>
      <c r="J261" s="60"/>
      <c r="K261" s="60"/>
      <c r="L261" s="59"/>
      <c r="M261" s="59"/>
      <c r="N261" s="60"/>
      <c r="O261" s="59"/>
      <c r="P261" s="59"/>
      <c r="Q261" s="60"/>
      <c r="R261" s="59"/>
      <c r="S261" s="59"/>
      <c r="T261" s="60"/>
      <c r="U261" s="60"/>
    </row>
    <row r="262" spans="1:21" ht="15" customHeight="1">
      <c r="A262" s="34" t="s">
        <v>258</v>
      </c>
      <c r="B262" s="54">
        <f>'Расчет субсидий'!AD262</f>
        <v>29.509090909090929</v>
      </c>
      <c r="C262" s="56">
        <f>'Расчет субсидий'!D262-1</f>
        <v>-1</v>
      </c>
      <c r="D262" s="56">
        <f>C262*'Расчет субсидий'!E262</f>
        <v>0</v>
      </c>
      <c r="E262" s="57">
        <f t="shared" ref="E262:E268" si="82">$B262*D262/$U262</f>
        <v>0</v>
      </c>
      <c r="F262" s="28" t="s">
        <v>375</v>
      </c>
      <c r="G262" s="28" t="s">
        <v>375</v>
      </c>
      <c r="H262" s="28" t="s">
        <v>375</v>
      </c>
      <c r="I262" s="28" t="s">
        <v>375</v>
      </c>
      <c r="J262" s="28" t="s">
        <v>375</v>
      </c>
      <c r="K262" s="28" t="s">
        <v>375</v>
      </c>
      <c r="L262" s="56">
        <f>'Расчет субсидий'!P262-1</f>
        <v>0.26628820960698696</v>
      </c>
      <c r="M262" s="56">
        <f>L262*'Расчет субсидий'!Q262</f>
        <v>5.3257641921397392</v>
      </c>
      <c r="N262" s="57">
        <f t="shared" ref="N262:N268" si="83">$B262*M262/$U262</f>
        <v>17.806782085363064</v>
      </c>
      <c r="O262" s="56">
        <f>'Расчет субсидий'!T262-1</f>
        <v>0.14000000000000012</v>
      </c>
      <c r="P262" s="56">
        <f>O262*'Расчет субсидий'!U262</f>
        <v>3.5000000000000031</v>
      </c>
      <c r="Q262" s="57">
        <f t="shared" ref="Q262:Q268" si="84">$B262*P262/$U262</f>
        <v>11.702308823727865</v>
      </c>
      <c r="R262" s="56">
        <f>'Расчет субсидий'!X262-1</f>
        <v>0</v>
      </c>
      <c r="S262" s="56">
        <f>R262*'Расчет субсидий'!Y262</f>
        <v>0</v>
      </c>
      <c r="T262" s="57">
        <f t="shared" ref="T262:T268" si="85">$B262*S262/$U262</f>
        <v>0</v>
      </c>
      <c r="U262" s="56">
        <f t="shared" si="77"/>
        <v>8.8257641921397418</v>
      </c>
    </row>
    <row r="263" spans="1:21" ht="15" customHeight="1">
      <c r="A263" s="34" t="s">
        <v>259</v>
      </c>
      <c r="B263" s="54">
        <f>'Расчет субсидий'!AD263</f>
        <v>-18.38181818181819</v>
      </c>
      <c r="C263" s="56">
        <f>'Расчет субсидий'!D263-1</f>
        <v>-1</v>
      </c>
      <c r="D263" s="56">
        <f>C263*'Расчет субсидий'!E263</f>
        <v>0</v>
      </c>
      <c r="E263" s="57">
        <f t="shared" si="82"/>
        <v>0</v>
      </c>
      <c r="F263" s="28" t="s">
        <v>375</v>
      </c>
      <c r="G263" s="28" t="s">
        <v>375</v>
      </c>
      <c r="H263" s="28" t="s">
        <v>375</v>
      </c>
      <c r="I263" s="28" t="s">
        <v>375</v>
      </c>
      <c r="J263" s="28" t="s">
        <v>375</v>
      </c>
      <c r="K263" s="28" t="s">
        <v>375</v>
      </c>
      <c r="L263" s="56">
        <f>'Расчет субсидий'!P263-1</f>
        <v>-0.64864864864864868</v>
      </c>
      <c r="M263" s="56">
        <f>L263*'Расчет субсидий'!Q263</f>
        <v>-12.972972972972974</v>
      </c>
      <c r="N263" s="57">
        <f t="shared" si="83"/>
        <v>-23.911308203991137</v>
      </c>
      <c r="O263" s="56">
        <f>'Расчет субсидий'!T263-1</f>
        <v>0.19999999999999996</v>
      </c>
      <c r="P263" s="56">
        <f>O263*'Расчет субсидий'!U263</f>
        <v>2.9999999999999991</v>
      </c>
      <c r="Q263" s="57">
        <f t="shared" si="84"/>
        <v>5.5294900221729488</v>
      </c>
      <c r="R263" s="56">
        <f>'Расчет субсидий'!X263-1</f>
        <v>0</v>
      </c>
      <c r="S263" s="56">
        <f>R263*'Расчет субсидий'!Y263</f>
        <v>0</v>
      </c>
      <c r="T263" s="57">
        <f t="shared" si="85"/>
        <v>0</v>
      </c>
      <c r="U263" s="56">
        <f t="shared" si="77"/>
        <v>-9.9729729729729755</v>
      </c>
    </row>
    <row r="264" spans="1:21" ht="15" customHeight="1">
      <c r="A264" s="34" t="s">
        <v>260</v>
      </c>
      <c r="B264" s="54">
        <f>'Расчет субсидий'!AD264</f>
        <v>-35.77272727272728</v>
      </c>
      <c r="C264" s="56">
        <f>'Расчет субсидий'!D264-1</f>
        <v>-1</v>
      </c>
      <c r="D264" s="56">
        <f>C264*'Расчет субсидий'!E264</f>
        <v>0</v>
      </c>
      <c r="E264" s="57">
        <f t="shared" si="82"/>
        <v>0</v>
      </c>
      <c r="F264" s="28" t="s">
        <v>375</v>
      </c>
      <c r="G264" s="28" t="s">
        <v>375</v>
      </c>
      <c r="H264" s="28" t="s">
        <v>375</v>
      </c>
      <c r="I264" s="28" t="s">
        <v>375</v>
      </c>
      <c r="J264" s="28" t="s">
        <v>375</v>
      </c>
      <c r="K264" s="28" t="s">
        <v>375</v>
      </c>
      <c r="L264" s="56">
        <f>'Расчет субсидий'!P264-1</f>
        <v>-0.70416666666666661</v>
      </c>
      <c r="M264" s="56">
        <f>L264*'Расчет субсидий'!Q264</f>
        <v>-14.083333333333332</v>
      </c>
      <c r="N264" s="57">
        <f t="shared" si="83"/>
        <v>-43.888137271077397</v>
      </c>
      <c r="O264" s="56">
        <f>'Расчет субсидий'!T264-1</f>
        <v>3.7500000000000089E-2</v>
      </c>
      <c r="P264" s="56">
        <f>O264*'Расчет субсидий'!U264</f>
        <v>0.93750000000000222</v>
      </c>
      <c r="Q264" s="57">
        <f t="shared" si="84"/>
        <v>2.9215475994060469</v>
      </c>
      <c r="R264" s="56">
        <f>'Расчет субсидий'!X264-1</f>
        <v>6.6666666666666652E-2</v>
      </c>
      <c r="S264" s="56">
        <f>R264*'Расчет субсидий'!Y264</f>
        <v>1.6666666666666663</v>
      </c>
      <c r="T264" s="57">
        <f t="shared" si="85"/>
        <v>5.1938623989440691</v>
      </c>
      <c r="U264" s="56">
        <f t="shared" si="77"/>
        <v>-11.479166666666664</v>
      </c>
    </row>
    <row r="265" spans="1:21" ht="15" customHeight="1">
      <c r="A265" s="34" t="s">
        <v>261</v>
      </c>
      <c r="B265" s="54">
        <f>'Расчет субсидий'!AD265</f>
        <v>31.554545454545462</v>
      </c>
      <c r="C265" s="56">
        <f>'Расчет субсидий'!D265-1</f>
        <v>-6.902255639097743E-2</v>
      </c>
      <c r="D265" s="56">
        <f>C265*'Расчет субсидий'!E265</f>
        <v>-0.6902255639097743</v>
      </c>
      <c r="E265" s="57">
        <f t="shared" si="82"/>
        <v>-2.8949359075965679</v>
      </c>
      <c r="F265" s="28" t="s">
        <v>375</v>
      </c>
      <c r="G265" s="28" t="s">
        <v>375</v>
      </c>
      <c r="H265" s="28" t="s">
        <v>375</v>
      </c>
      <c r="I265" s="28" t="s">
        <v>375</v>
      </c>
      <c r="J265" s="28" t="s">
        <v>375</v>
      </c>
      <c r="K265" s="28" t="s">
        <v>375</v>
      </c>
      <c r="L265" s="56">
        <f>'Расчет субсидий'!P265-1</f>
        <v>0.30000000000000004</v>
      </c>
      <c r="M265" s="56">
        <f>L265*'Расчет субсидий'!Q265</f>
        <v>6.0000000000000009</v>
      </c>
      <c r="N265" s="57">
        <f t="shared" si="83"/>
        <v>25.165129131395009</v>
      </c>
      <c r="O265" s="56">
        <f>'Расчет субсидий'!T265-1</f>
        <v>1.2666666666666604E-2</v>
      </c>
      <c r="P265" s="56">
        <f>O265*'Расчет субсидий'!U265</f>
        <v>0.12666666666666604</v>
      </c>
      <c r="Q265" s="57">
        <f t="shared" si="84"/>
        <v>0.53126383721833637</v>
      </c>
      <c r="R265" s="56">
        <f>'Расчет субсидий'!X265-1</f>
        <v>5.2173913043478182E-2</v>
      </c>
      <c r="S265" s="56">
        <f>R265*'Расчет субсидий'!Y265</f>
        <v>2.0869565217391273</v>
      </c>
      <c r="T265" s="57">
        <f t="shared" si="85"/>
        <v>8.7530883935286852</v>
      </c>
      <c r="U265" s="56">
        <f t="shared" si="77"/>
        <v>7.5233976244960195</v>
      </c>
    </row>
    <row r="266" spans="1:21" ht="15" customHeight="1">
      <c r="A266" s="34" t="s">
        <v>262</v>
      </c>
      <c r="B266" s="54">
        <f>'Расчет субсидий'!AD266</f>
        <v>-50.118181818181881</v>
      </c>
      <c r="C266" s="56">
        <f>'Расчет субсидий'!D266-1</f>
        <v>0.22760147601476</v>
      </c>
      <c r="D266" s="56">
        <f>C266*'Расчет субсидий'!E266</f>
        <v>2.2760147601476</v>
      </c>
      <c r="E266" s="57">
        <f t="shared" si="82"/>
        <v>15.883333876589875</v>
      </c>
      <c r="F266" s="28" t="s">
        <v>375</v>
      </c>
      <c r="G266" s="28" t="s">
        <v>375</v>
      </c>
      <c r="H266" s="28" t="s">
        <v>375</v>
      </c>
      <c r="I266" s="28" t="s">
        <v>375</v>
      </c>
      <c r="J266" s="28" t="s">
        <v>375</v>
      </c>
      <c r="K266" s="28" t="s">
        <v>375</v>
      </c>
      <c r="L266" s="56">
        <f>'Расчет субсидий'!P266-1</f>
        <v>-0.58361774744027306</v>
      </c>
      <c r="M266" s="56">
        <f>L266*'Расчет субсидий'!Q266</f>
        <v>-11.672354948805461</v>
      </c>
      <c r="N266" s="57">
        <f t="shared" si="83"/>
        <v>-81.456374547377848</v>
      </c>
      <c r="O266" s="56">
        <f>'Расчет субсидий'!T266-1</f>
        <v>1.276595744680864E-2</v>
      </c>
      <c r="P266" s="56">
        <f>O266*'Расчет субсидий'!U266</f>
        <v>0.1276595744680864</v>
      </c>
      <c r="Q266" s="57">
        <f t="shared" si="84"/>
        <v>0.89088158799484696</v>
      </c>
      <c r="R266" s="56">
        <f>'Расчет субсидий'!X266-1</f>
        <v>5.2173913043478182E-2</v>
      </c>
      <c r="S266" s="56">
        <f>R266*'Расчет субсидий'!Y266</f>
        <v>2.0869565217391273</v>
      </c>
      <c r="T266" s="57">
        <f t="shared" si="85"/>
        <v>14.563977264611243</v>
      </c>
      <c r="U266" s="56">
        <f t="shared" si="77"/>
        <v>-7.1817240924506471</v>
      </c>
    </row>
    <row r="267" spans="1:21" ht="15" customHeight="1">
      <c r="A267" s="34" t="s">
        <v>263</v>
      </c>
      <c r="B267" s="54">
        <f>'Расчет субсидий'!AD267</f>
        <v>65.772727272727252</v>
      </c>
      <c r="C267" s="56">
        <f>'Расчет субсидий'!D267-1</f>
        <v>4.9538807649043726E-2</v>
      </c>
      <c r="D267" s="56">
        <f>C267*'Расчет субсидий'!E267</f>
        <v>0.49538807649043726</v>
      </c>
      <c r="E267" s="57">
        <f t="shared" si="82"/>
        <v>2.9596551951354249</v>
      </c>
      <c r="F267" s="28" t="s">
        <v>375</v>
      </c>
      <c r="G267" s="28" t="s">
        <v>375</v>
      </c>
      <c r="H267" s="28" t="s">
        <v>375</v>
      </c>
      <c r="I267" s="28" t="s">
        <v>375</v>
      </c>
      <c r="J267" s="28" t="s">
        <v>375</v>
      </c>
      <c r="K267" s="28" t="s">
        <v>375</v>
      </c>
      <c r="L267" s="56">
        <f>'Расчет субсидий'!P267-1</f>
        <v>0.25666191155492157</v>
      </c>
      <c r="M267" s="56">
        <f>L267*'Расчет субсидий'!Q267</f>
        <v>5.1332382310984315</v>
      </c>
      <c r="N267" s="57">
        <f t="shared" si="83"/>
        <v>30.668108336740563</v>
      </c>
      <c r="O267" s="56">
        <f>'Расчет субсидий'!T267-1</f>
        <v>5.0000000000000044E-2</v>
      </c>
      <c r="P267" s="56">
        <f>O267*'Расчет субсидий'!U267</f>
        <v>1.2500000000000011</v>
      </c>
      <c r="Q267" s="57">
        <f t="shared" si="84"/>
        <v>7.4680218791876767</v>
      </c>
      <c r="R267" s="56">
        <f>'Расчет субсидий'!X267-1</f>
        <v>0.16521739130434776</v>
      </c>
      <c r="S267" s="56">
        <f>R267*'Расчет субсидий'!Y267</f>
        <v>4.1304347826086936</v>
      </c>
      <c r="T267" s="57">
        <f t="shared" si="85"/>
        <v>24.676941861663597</v>
      </c>
      <c r="U267" s="56">
        <f t="shared" si="77"/>
        <v>11.009061090197562</v>
      </c>
    </row>
    <row r="268" spans="1:21" ht="15" customHeight="1">
      <c r="A268" s="34" t="s">
        <v>264</v>
      </c>
      <c r="B268" s="54">
        <f>'Расчет субсидий'!AD268</f>
        <v>6.9727272727272691</v>
      </c>
      <c r="C268" s="56">
        <f>'Расчет субсидий'!D268-1</f>
        <v>4.7232992597814549E-2</v>
      </c>
      <c r="D268" s="56">
        <f>C268*'Расчет субсидий'!E268</f>
        <v>0.47232992597814549</v>
      </c>
      <c r="E268" s="57">
        <f t="shared" si="82"/>
        <v>0.41333887411716691</v>
      </c>
      <c r="F268" s="28" t="s">
        <v>375</v>
      </c>
      <c r="G268" s="28" t="s">
        <v>375</v>
      </c>
      <c r="H268" s="28" t="s">
        <v>375</v>
      </c>
      <c r="I268" s="28" t="s">
        <v>375</v>
      </c>
      <c r="J268" s="28" t="s">
        <v>375</v>
      </c>
      <c r="K268" s="28" t="s">
        <v>375</v>
      </c>
      <c r="L268" s="56">
        <f>'Расчет субсидий'!P268-1</f>
        <v>0.24352668213457074</v>
      </c>
      <c r="M268" s="56">
        <f>L268*'Расчет субсидий'!Q268</f>
        <v>4.8705336426914148</v>
      </c>
      <c r="N268" s="57">
        <f t="shared" si="83"/>
        <v>4.2622344710654696</v>
      </c>
      <c r="O268" s="56">
        <f>'Расчет субсидий'!T268-1</f>
        <v>0</v>
      </c>
      <c r="P268" s="56">
        <f>O268*'Расчет субсидий'!U268</f>
        <v>0</v>
      </c>
      <c r="Q268" s="57">
        <f t="shared" si="84"/>
        <v>0</v>
      </c>
      <c r="R268" s="56">
        <f>'Расчет субсидий'!X268-1</f>
        <v>7.4999999999999956E-2</v>
      </c>
      <c r="S268" s="56">
        <f>R268*'Расчет субсидий'!Y268</f>
        <v>2.6249999999999982</v>
      </c>
      <c r="T268" s="57">
        <f t="shared" si="85"/>
        <v>2.2971539275446329</v>
      </c>
      <c r="U268" s="56">
        <f t="shared" si="77"/>
        <v>7.9678635686695589</v>
      </c>
    </row>
    <row r="269" spans="1:21" ht="15" customHeight="1">
      <c r="A269" s="33" t="s">
        <v>265</v>
      </c>
      <c r="B269" s="58"/>
      <c r="C269" s="59"/>
      <c r="D269" s="59"/>
      <c r="E269" s="60"/>
      <c r="F269" s="59"/>
      <c r="G269" s="59"/>
      <c r="H269" s="60"/>
      <c r="I269" s="60"/>
      <c r="J269" s="60"/>
      <c r="K269" s="60"/>
      <c r="L269" s="59"/>
      <c r="M269" s="59"/>
      <c r="N269" s="60"/>
      <c r="O269" s="59"/>
      <c r="P269" s="59"/>
      <c r="Q269" s="60"/>
      <c r="R269" s="59"/>
      <c r="S269" s="59"/>
      <c r="T269" s="60"/>
      <c r="U269" s="60"/>
    </row>
    <row r="270" spans="1:21" ht="15" customHeight="1">
      <c r="A270" s="34" t="s">
        <v>266</v>
      </c>
      <c r="B270" s="54">
        <f>'Расчет субсидий'!AD270</f>
        <v>-14.536363636363632</v>
      </c>
      <c r="C270" s="56">
        <f>'Расчет субсидий'!D270-1</f>
        <v>-1</v>
      </c>
      <c r="D270" s="56">
        <f>C270*'Расчет субсидий'!E270</f>
        <v>0</v>
      </c>
      <c r="E270" s="57">
        <f t="shared" ref="E270:E286" si="86">$B270*D270/$U270</f>
        <v>0</v>
      </c>
      <c r="F270" s="28" t="s">
        <v>375</v>
      </c>
      <c r="G270" s="28" t="s">
        <v>375</v>
      </c>
      <c r="H270" s="28" t="s">
        <v>375</v>
      </c>
      <c r="I270" s="28" t="s">
        <v>375</v>
      </c>
      <c r="J270" s="28" t="s">
        <v>375</v>
      </c>
      <c r="K270" s="28" t="s">
        <v>375</v>
      </c>
      <c r="L270" s="56">
        <f>'Расчет субсидий'!P270-1</f>
        <v>-0.82270916334661348</v>
      </c>
      <c r="M270" s="56">
        <f>L270*'Расчет субсидий'!Q270</f>
        <v>-16.454183266932269</v>
      </c>
      <c r="N270" s="57">
        <f t="shared" ref="N270:N286" si="87">$B270*M270/$U270</f>
        <v>-14.536363636363632</v>
      </c>
      <c r="O270" s="56">
        <f>'Расчет субсидий'!T270-1</f>
        <v>0</v>
      </c>
      <c r="P270" s="56">
        <f>O270*'Расчет субсидий'!U270</f>
        <v>0</v>
      </c>
      <c r="Q270" s="57">
        <f t="shared" ref="Q270:Q286" si="88">$B270*P270/$U270</f>
        <v>0</v>
      </c>
      <c r="R270" s="56">
        <f>'Расчет субсидий'!X270-1</f>
        <v>0</v>
      </c>
      <c r="S270" s="56">
        <f>R270*'Расчет субсидий'!Y270</f>
        <v>0</v>
      </c>
      <c r="T270" s="57">
        <f t="shared" ref="T270:T286" si="89">$B270*S270/$U270</f>
        <v>0</v>
      </c>
      <c r="U270" s="56">
        <f t="shared" si="77"/>
        <v>-16.454183266932269</v>
      </c>
    </row>
    <row r="271" spans="1:21" ht="15" customHeight="1">
      <c r="A271" s="34" t="s">
        <v>267</v>
      </c>
      <c r="B271" s="54">
        <f>'Расчет субсидий'!AD271</f>
        <v>-10.899999999999999</v>
      </c>
      <c r="C271" s="56">
        <f>'Расчет субсидий'!D271-1</f>
        <v>-1</v>
      </c>
      <c r="D271" s="56">
        <f>C271*'Расчет субсидий'!E271</f>
        <v>0</v>
      </c>
      <c r="E271" s="57">
        <f t="shared" si="86"/>
        <v>0</v>
      </c>
      <c r="F271" s="28" t="s">
        <v>375</v>
      </c>
      <c r="G271" s="28" t="s">
        <v>375</v>
      </c>
      <c r="H271" s="28" t="s">
        <v>375</v>
      </c>
      <c r="I271" s="28" t="s">
        <v>375</v>
      </c>
      <c r="J271" s="28" t="s">
        <v>375</v>
      </c>
      <c r="K271" s="28" t="s">
        <v>375</v>
      </c>
      <c r="L271" s="56">
        <f>'Расчет субсидий'!P271-1</f>
        <v>-0.73591348890153663</v>
      </c>
      <c r="M271" s="56">
        <f>L271*'Расчет субсидий'!Q271</f>
        <v>-14.718269778030733</v>
      </c>
      <c r="N271" s="57">
        <f t="shared" si="87"/>
        <v>-10.899999999999999</v>
      </c>
      <c r="O271" s="56">
        <f>'Расчет субсидий'!T271-1</f>
        <v>0</v>
      </c>
      <c r="P271" s="56">
        <f>O271*'Расчет субсидий'!U271</f>
        <v>0</v>
      </c>
      <c r="Q271" s="57">
        <f t="shared" si="88"/>
        <v>0</v>
      </c>
      <c r="R271" s="56">
        <f>'Расчет субсидий'!X271-1</f>
        <v>0</v>
      </c>
      <c r="S271" s="56">
        <f>R271*'Расчет субсидий'!Y271</f>
        <v>0</v>
      </c>
      <c r="T271" s="57">
        <f t="shared" si="89"/>
        <v>0</v>
      </c>
      <c r="U271" s="56">
        <f t="shared" si="77"/>
        <v>-14.718269778030733</v>
      </c>
    </row>
    <row r="272" spans="1:21" ht="15" customHeight="1">
      <c r="A272" s="34" t="s">
        <v>268</v>
      </c>
      <c r="B272" s="54">
        <f>'Расчет субсидий'!AD272</f>
        <v>-6.4454545454545453</v>
      </c>
      <c r="C272" s="56">
        <f>'Расчет субсидий'!D272-1</f>
        <v>-1</v>
      </c>
      <c r="D272" s="56">
        <f>C272*'Расчет субсидий'!E272</f>
        <v>0</v>
      </c>
      <c r="E272" s="57">
        <f t="shared" si="86"/>
        <v>0</v>
      </c>
      <c r="F272" s="28" t="s">
        <v>375</v>
      </c>
      <c r="G272" s="28" t="s">
        <v>375</v>
      </c>
      <c r="H272" s="28" t="s">
        <v>375</v>
      </c>
      <c r="I272" s="28" t="s">
        <v>375</v>
      </c>
      <c r="J272" s="28" t="s">
        <v>375</v>
      </c>
      <c r="K272" s="28" t="s">
        <v>375</v>
      </c>
      <c r="L272" s="56">
        <f>'Расчет субсидий'!P272-1</f>
        <v>-0.56607495069033531</v>
      </c>
      <c r="M272" s="56">
        <f>L272*'Расчет субсидий'!Q272</f>
        <v>-11.321499013806706</v>
      </c>
      <c r="N272" s="57">
        <f t="shared" si="87"/>
        <v>-6.4454545454545462</v>
      </c>
      <c r="O272" s="56">
        <f>'Расчет субсидий'!T272-1</f>
        <v>0</v>
      </c>
      <c r="P272" s="56">
        <f>O272*'Расчет субсидий'!U272</f>
        <v>0</v>
      </c>
      <c r="Q272" s="57">
        <f t="shared" si="88"/>
        <v>0</v>
      </c>
      <c r="R272" s="56">
        <f>'Расчет субсидий'!X272-1</f>
        <v>0</v>
      </c>
      <c r="S272" s="56">
        <f>R272*'Расчет субсидий'!Y272</f>
        <v>0</v>
      </c>
      <c r="T272" s="57">
        <f t="shared" si="89"/>
        <v>0</v>
      </c>
      <c r="U272" s="56">
        <f t="shared" si="77"/>
        <v>-11.321499013806706</v>
      </c>
    </row>
    <row r="273" spans="1:21" ht="15" customHeight="1">
      <c r="A273" s="34" t="s">
        <v>269</v>
      </c>
      <c r="B273" s="54">
        <f>'Расчет субсидий'!AD273</f>
        <v>-21.036363636363632</v>
      </c>
      <c r="C273" s="56">
        <f>'Расчет субсидий'!D273-1</f>
        <v>-1</v>
      </c>
      <c r="D273" s="56">
        <f>C273*'Расчет субсидий'!E273</f>
        <v>0</v>
      </c>
      <c r="E273" s="57">
        <f t="shared" si="86"/>
        <v>0</v>
      </c>
      <c r="F273" s="28" t="s">
        <v>375</v>
      </c>
      <c r="G273" s="28" t="s">
        <v>375</v>
      </c>
      <c r="H273" s="28" t="s">
        <v>375</v>
      </c>
      <c r="I273" s="28" t="s">
        <v>375</v>
      </c>
      <c r="J273" s="28" t="s">
        <v>375</v>
      </c>
      <c r="K273" s="28" t="s">
        <v>375</v>
      </c>
      <c r="L273" s="56">
        <f>'Расчет субсидий'!P273-1</f>
        <v>-0.42465753424657537</v>
      </c>
      <c r="M273" s="56">
        <f>L273*'Расчет субсидий'!Q273</f>
        <v>-8.493150684931507</v>
      </c>
      <c r="N273" s="57">
        <f t="shared" si="87"/>
        <v>-23.397698150132801</v>
      </c>
      <c r="O273" s="56">
        <f>'Расчет субсидий'!T273-1</f>
        <v>4.2857142857142927E-2</v>
      </c>
      <c r="P273" s="56">
        <f>O273*'Расчет субсидий'!U273</f>
        <v>0.85714285714285854</v>
      </c>
      <c r="Q273" s="57">
        <f t="shared" si="88"/>
        <v>2.3613345137691661</v>
      </c>
      <c r="R273" s="56">
        <f>'Расчет субсидий'!X273-1</f>
        <v>0</v>
      </c>
      <c r="S273" s="56">
        <f>R273*'Расчет субсидий'!Y273</f>
        <v>0</v>
      </c>
      <c r="T273" s="57">
        <f t="shared" si="89"/>
        <v>0</v>
      </c>
      <c r="U273" s="56">
        <f t="shared" si="77"/>
        <v>-7.6360078277886485</v>
      </c>
    </row>
    <row r="274" spans="1:21" ht="15" customHeight="1">
      <c r="A274" s="34" t="s">
        <v>270</v>
      </c>
      <c r="B274" s="54">
        <f>'Расчет субсидий'!AD274</f>
        <v>-4.0454545454545467</v>
      </c>
      <c r="C274" s="56">
        <f>'Расчет субсидий'!D274-1</f>
        <v>-0.34705882352941175</v>
      </c>
      <c r="D274" s="56">
        <f>C274*'Расчет субсидий'!E274</f>
        <v>-3.4705882352941178</v>
      </c>
      <c r="E274" s="57">
        <f t="shared" si="86"/>
        <v>-1.968981370339133</v>
      </c>
      <c r="F274" s="28" t="s">
        <v>375</v>
      </c>
      <c r="G274" s="28" t="s">
        <v>375</v>
      </c>
      <c r="H274" s="28" t="s">
        <v>375</v>
      </c>
      <c r="I274" s="28" t="s">
        <v>375</v>
      </c>
      <c r="J274" s="28" t="s">
        <v>375</v>
      </c>
      <c r="K274" s="28" t="s">
        <v>375</v>
      </c>
      <c r="L274" s="56">
        <f>'Расчет субсидий'!P274-1</f>
        <v>-0.48300283286118972</v>
      </c>
      <c r="M274" s="56">
        <f>L274*'Расчет субсидий'!Q274</f>
        <v>-9.6600566572237945</v>
      </c>
      <c r="N274" s="57">
        <f t="shared" si="87"/>
        <v>-5.4804748662101845</v>
      </c>
      <c r="O274" s="56">
        <f>'Расчет субсидий'!T274-1</f>
        <v>0</v>
      </c>
      <c r="P274" s="56">
        <f>O274*'Расчет субсидий'!U274</f>
        <v>0</v>
      </c>
      <c r="Q274" s="57">
        <f t="shared" si="88"/>
        <v>0</v>
      </c>
      <c r="R274" s="56">
        <f>'Расчет субсидий'!X274-1</f>
        <v>0.19999999999999996</v>
      </c>
      <c r="S274" s="56">
        <f>R274*'Расчет субсидий'!Y274</f>
        <v>5.9999999999999982</v>
      </c>
      <c r="T274" s="57">
        <f t="shared" si="89"/>
        <v>3.4040016910947712</v>
      </c>
      <c r="U274" s="56">
        <f t="shared" si="77"/>
        <v>-7.130644892517914</v>
      </c>
    </row>
    <row r="275" spans="1:21" ht="15" customHeight="1">
      <c r="A275" s="34" t="s">
        <v>271</v>
      </c>
      <c r="B275" s="54">
        <f>'Расчет субсидий'!AD275</f>
        <v>-30.445454545454538</v>
      </c>
      <c r="C275" s="56">
        <f>'Расчет субсидий'!D275-1</f>
        <v>-1</v>
      </c>
      <c r="D275" s="56">
        <f>C275*'Расчет субсидий'!E275</f>
        <v>0</v>
      </c>
      <c r="E275" s="57">
        <f t="shared" si="86"/>
        <v>0</v>
      </c>
      <c r="F275" s="28" t="s">
        <v>375</v>
      </c>
      <c r="G275" s="28" t="s">
        <v>375</v>
      </c>
      <c r="H275" s="28" t="s">
        <v>375</v>
      </c>
      <c r="I275" s="28" t="s">
        <v>375</v>
      </c>
      <c r="J275" s="28" t="s">
        <v>375</v>
      </c>
      <c r="K275" s="28" t="s">
        <v>375</v>
      </c>
      <c r="L275" s="56">
        <f>'Расчет субсидий'!P275-1</f>
        <v>-0.67254901960784319</v>
      </c>
      <c r="M275" s="56">
        <f>L275*'Расчет субсидий'!Q275</f>
        <v>-13.450980392156865</v>
      </c>
      <c r="N275" s="57">
        <f t="shared" si="87"/>
        <v>-25.27755741988722</v>
      </c>
      <c r="O275" s="56">
        <f>'Расчет субсидий'!T275-1</f>
        <v>1.1111111111111072E-2</v>
      </c>
      <c r="P275" s="56">
        <f>O275*'Расчет субсидий'!U275</f>
        <v>0.16666666666666607</v>
      </c>
      <c r="Q275" s="57">
        <f t="shared" si="88"/>
        <v>0.31320588639801827</v>
      </c>
      <c r="R275" s="56">
        <f>'Расчет субсидий'!X275-1</f>
        <v>-8.3333333333333259E-2</v>
      </c>
      <c r="S275" s="56">
        <f>R275*'Расчет субсидий'!Y275</f>
        <v>-2.9166666666666643</v>
      </c>
      <c r="T275" s="57">
        <f t="shared" si="89"/>
        <v>-5.4811030119653354</v>
      </c>
      <c r="U275" s="56">
        <f t="shared" si="77"/>
        <v>-16.200980392156865</v>
      </c>
    </row>
    <row r="276" spans="1:21" ht="15" customHeight="1">
      <c r="A276" s="34" t="s">
        <v>272</v>
      </c>
      <c r="B276" s="54">
        <f>'Расчет субсидий'!AD276</f>
        <v>-27.654545454545456</v>
      </c>
      <c r="C276" s="56">
        <f>'Расчет субсидий'!D276-1</f>
        <v>-1</v>
      </c>
      <c r="D276" s="56">
        <f>C276*'Расчет субсидий'!E276</f>
        <v>0</v>
      </c>
      <c r="E276" s="57">
        <f t="shared" si="86"/>
        <v>0</v>
      </c>
      <c r="F276" s="28" t="s">
        <v>375</v>
      </c>
      <c r="G276" s="28" t="s">
        <v>375</v>
      </c>
      <c r="H276" s="28" t="s">
        <v>375</v>
      </c>
      <c r="I276" s="28" t="s">
        <v>375</v>
      </c>
      <c r="J276" s="28" t="s">
        <v>375</v>
      </c>
      <c r="K276" s="28" t="s">
        <v>375</v>
      </c>
      <c r="L276" s="56">
        <f>'Расчет субсидий'!P276-1</f>
        <v>-0.87657018022938282</v>
      </c>
      <c r="M276" s="56">
        <f>L276*'Расчет субсидий'!Q276</f>
        <v>-17.531403604587656</v>
      </c>
      <c r="N276" s="57">
        <f t="shared" si="87"/>
        <v>-24.696298218419461</v>
      </c>
      <c r="O276" s="56">
        <f>'Расчет субсидий'!T276-1</f>
        <v>2.0000000000000018E-2</v>
      </c>
      <c r="P276" s="56">
        <f>O276*'Расчет субсидий'!U276</f>
        <v>0.40000000000000036</v>
      </c>
      <c r="Q276" s="57">
        <f t="shared" si="88"/>
        <v>0.56347566402400107</v>
      </c>
      <c r="R276" s="56">
        <f>'Расчет субсидий'!X276-1</f>
        <v>-8.3333333333333259E-2</v>
      </c>
      <c r="S276" s="56">
        <f>R276*'Расчет субсидий'!Y276</f>
        <v>-2.4999999999999978</v>
      </c>
      <c r="T276" s="57">
        <f t="shared" si="89"/>
        <v>-3.5217229001499999</v>
      </c>
      <c r="U276" s="56">
        <f t="shared" si="77"/>
        <v>-19.63140360458765</v>
      </c>
    </row>
    <row r="277" spans="1:21" ht="15" customHeight="1">
      <c r="A277" s="34" t="s">
        <v>273</v>
      </c>
      <c r="B277" s="54">
        <f>'Расчет субсидий'!AD277</f>
        <v>-16.309090909090912</v>
      </c>
      <c r="C277" s="56">
        <f>'Расчет субсидий'!D277-1</f>
        <v>-1</v>
      </c>
      <c r="D277" s="56">
        <f>C277*'Расчет субсидий'!E277</f>
        <v>0</v>
      </c>
      <c r="E277" s="57">
        <f t="shared" si="86"/>
        <v>0</v>
      </c>
      <c r="F277" s="28" t="s">
        <v>375</v>
      </c>
      <c r="G277" s="28" t="s">
        <v>375</v>
      </c>
      <c r="H277" s="28" t="s">
        <v>375</v>
      </c>
      <c r="I277" s="28" t="s">
        <v>375</v>
      </c>
      <c r="J277" s="28" t="s">
        <v>375</v>
      </c>
      <c r="K277" s="28" t="s">
        <v>375</v>
      </c>
      <c r="L277" s="56">
        <f>'Расчет субсидий'!P277-1</f>
        <v>-0.39461883408071752</v>
      </c>
      <c r="M277" s="56">
        <f>L277*'Расчет субсидий'!Q277</f>
        <v>-7.8923766816143504</v>
      </c>
      <c r="N277" s="57">
        <f t="shared" si="87"/>
        <v>-16.309090909090912</v>
      </c>
      <c r="O277" s="56">
        <f>'Расчет субсидий'!T277-1</f>
        <v>0</v>
      </c>
      <c r="P277" s="56">
        <f>O277*'Расчет субсидий'!U277</f>
        <v>0</v>
      </c>
      <c r="Q277" s="57">
        <f t="shared" si="88"/>
        <v>0</v>
      </c>
      <c r="R277" s="56">
        <f>'Расчет субсидий'!X277-1</f>
        <v>0</v>
      </c>
      <c r="S277" s="56">
        <f>R277*'Расчет субсидий'!Y277</f>
        <v>0</v>
      </c>
      <c r="T277" s="57">
        <f t="shared" si="89"/>
        <v>0</v>
      </c>
      <c r="U277" s="56">
        <f t="shared" si="77"/>
        <v>-7.8923766816143504</v>
      </c>
    </row>
    <row r="278" spans="1:21" ht="15" customHeight="1">
      <c r="A278" s="34" t="s">
        <v>274</v>
      </c>
      <c r="B278" s="54">
        <f>'Расчет субсидий'!AD278</f>
        <v>-15.481818181818184</v>
      </c>
      <c r="C278" s="56">
        <f>'Расчет субсидий'!D278-1</f>
        <v>-1</v>
      </c>
      <c r="D278" s="56">
        <f>C278*'Расчет субсидий'!E278</f>
        <v>0</v>
      </c>
      <c r="E278" s="57">
        <f t="shared" si="86"/>
        <v>0</v>
      </c>
      <c r="F278" s="28" t="s">
        <v>375</v>
      </c>
      <c r="G278" s="28" t="s">
        <v>375</v>
      </c>
      <c r="H278" s="28" t="s">
        <v>375</v>
      </c>
      <c r="I278" s="28" t="s">
        <v>375</v>
      </c>
      <c r="J278" s="28" t="s">
        <v>375</v>
      </c>
      <c r="K278" s="28" t="s">
        <v>375</v>
      </c>
      <c r="L278" s="56">
        <f>'Расчет субсидий'!P278-1</f>
        <v>-0.84645211322217917</v>
      </c>
      <c r="M278" s="56">
        <f>L278*'Расчет субсидий'!Q278</f>
        <v>-16.929042264443584</v>
      </c>
      <c r="N278" s="57">
        <f t="shared" si="87"/>
        <v>-15.481818181818186</v>
      </c>
      <c r="O278" s="56">
        <f>'Расчет субсидий'!T278-1</f>
        <v>0</v>
      </c>
      <c r="P278" s="56">
        <f>O278*'Расчет субсидий'!U278</f>
        <v>0</v>
      </c>
      <c r="Q278" s="57">
        <f t="shared" si="88"/>
        <v>0</v>
      </c>
      <c r="R278" s="56">
        <f>'Расчет субсидий'!X278-1</f>
        <v>0</v>
      </c>
      <c r="S278" s="56">
        <f>R278*'Расчет субсидий'!Y278</f>
        <v>0</v>
      </c>
      <c r="T278" s="57">
        <f t="shared" si="89"/>
        <v>0</v>
      </c>
      <c r="U278" s="56">
        <f t="shared" si="77"/>
        <v>-16.929042264443584</v>
      </c>
    </row>
    <row r="279" spans="1:21" ht="15" customHeight="1">
      <c r="A279" s="34" t="s">
        <v>275</v>
      </c>
      <c r="B279" s="54">
        <f>'Расчет субсидий'!AD279</f>
        <v>-17.154545454545456</v>
      </c>
      <c r="C279" s="56">
        <f>'Расчет субсидий'!D279-1</f>
        <v>-1</v>
      </c>
      <c r="D279" s="56">
        <f>C279*'Расчет субсидий'!E279</f>
        <v>0</v>
      </c>
      <c r="E279" s="57">
        <f t="shared" si="86"/>
        <v>0</v>
      </c>
      <c r="F279" s="28" t="s">
        <v>375</v>
      </c>
      <c r="G279" s="28" t="s">
        <v>375</v>
      </c>
      <c r="H279" s="28" t="s">
        <v>375</v>
      </c>
      <c r="I279" s="28" t="s">
        <v>375</v>
      </c>
      <c r="J279" s="28" t="s">
        <v>375</v>
      </c>
      <c r="K279" s="28" t="s">
        <v>375</v>
      </c>
      <c r="L279" s="56">
        <f>'Расчет субсидий'!P279-1</f>
        <v>-0.73883073780954811</v>
      </c>
      <c r="M279" s="56">
        <f>L279*'Расчет субсидий'!Q279</f>
        <v>-14.776614756190963</v>
      </c>
      <c r="N279" s="57">
        <f t="shared" si="87"/>
        <v>-19.937377816725576</v>
      </c>
      <c r="O279" s="56">
        <f>'Расчет субсидий'!T279-1</f>
        <v>0.13749999999999996</v>
      </c>
      <c r="P279" s="56">
        <f>O279*'Расчет субсидий'!U279</f>
        <v>2.0624999999999991</v>
      </c>
      <c r="Q279" s="57">
        <f t="shared" si="88"/>
        <v>2.7828323621801179</v>
      </c>
      <c r="R279" s="56">
        <f>'Расчет субсидий'!X279-1</f>
        <v>0</v>
      </c>
      <c r="S279" s="56">
        <f>R279*'Расчет субсидий'!Y279</f>
        <v>0</v>
      </c>
      <c r="T279" s="57">
        <f t="shared" si="89"/>
        <v>0</v>
      </c>
      <c r="U279" s="56">
        <f t="shared" si="77"/>
        <v>-12.714114756190963</v>
      </c>
    </row>
    <row r="280" spans="1:21" ht="15" customHeight="1">
      <c r="A280" s="34" t="s">
        <v>276</v>
      </c>
      <c r="B280" s="54">
        <f>'Расчет субсидий'!AD280</f>
        <v>-14.25454545454545</v>
      </c>
      <c r="C280" s="56">
        <f>'Расчет субсидий'!D280-1</f>
        <v>-1</v>
      </c>
      <c r="D280" s="56">
        <f>C280*'Расчет субсидий'!E280</f>
        <v>0</v>
      </c>
      <c r="E280" s="57">
        <f t="shared" si="86"/>
        <v>0</v>
      </c>
      <c r="F280" s="28" t="s">
        <v>375</v>
      </c>
      <c r="G280" s="28" t="s">
        <v>375</v>
      </c>
      <c r="H280" s="28" t="s">
        <v>375</v>
      </c>
      <c r="I280" s="28" t="s">
        <v>375</v>
      </c>
      <c r="J280" s="28" t="s">
        <v>375</v>
      </c>
      <c r="K280" s="28" t="s">
        <v>375</v>
      </c>
      <c r="L280" s="56">
        <f>'Расчет субсидий'!P280-1</f>
        <v>-0.82416396979503781</v>
      </c>
      <c r="M280" s="56">
        <f>L280*'Расчет субсидий'!Q280</f>
        <v>-16.483279395900755</v>
      </c>
      <c r="N280" s="57">
        <f t="shared" si="87"/>
        <v>-19.40504077469387</v>
      </c>
      <c r="O280" s="56">
        <f>'Расчет субсидий'!T280-1</f>
        <v>0.17500000000000004</v>
      </c>
      <c r="P280" s="56">
        <f>O280*'Расчет субсидий'!U280</f>
        <v>4.3750000000000009</v>
      </c>
      <c r="Q280" s="57">
        <f t="shared" si="88"/>
        <v>5.1504953201484183</v>
      </c>
      <c r="R280" s="56">
        <f>'Расчет субсидий'!X280-1</f>
        <v>0</v>
      </c>
      <c r="S280" s="56">
        <f>R280*'Расчет субсидий'!Y280</f>
        <v>0</v>
      </c>
      <c r="T280" s="57">
        <f t="shared" si="89"/>
        <v>0</v>
      </c>
      <c r="U280" s="56">
        <f t="shared" si="77"/>
        <v>-12.108279395900755</v>
      </c>
    </row>
    <row r="281" spans="1:21" ht="15" customHeight="1">
      <c r="A281" s="34" t="s">
        <v>277</v>
      </c>
      <c r="B281" s="54">
        <f>'Расчет субсидий'!AD281</f>
        <v>-1.1818181818181817</v>
      </c>
      <c r="C281" s="56">
        <f>'Расчет субсидий'!D281-1</f>
        <v>-1</v>
      </c>
      <c r="D281" s="56">
        <f>C281*'Расчет субсидий'!E281</f>
        <v>0</v>
      </c>
      <c r="E281" s="57">
        <f t="shared" si="86"/>
        <v>0</v>
      </c>
      <c r="F281" s="28" t="s">
        <v>375</v>
      </c>
      <c r="G281" s="28" t="s">
        <v>375</v>
      </c>
      <c r="H281" s="28" t="s">
        <v>375</v>
      </c>
      <c r="I281" s="28" t="s">
        <v>375</v>
      </c>
      <c r="J281" s="28" t="s">
        <v>375</v>
      </c>
      <c r="K281" s="28" t="s">
        <v>375</v>
      </c>
      <c r="L281" s="56">
        <f>'Расчет субсидий'!P281-1</f>
        <v>-0.60416666666666674</v>
      </c>
      <c r="M281" s="56">
        <f>L281*'Расчет субсидий'!Q281</f>
        <v>-12.083333333333336</v>
      </c>
      <c r="N281" s="57">
        <f t="shared" si="87"/>
        <v>-1.2508294625082945</v>
      </c>
      <c r="O281" s="56">
        <f>'Расчет субсидий'!T281-1</f>
        <v>3.3333333333333437E-2</v>
      </c>
      <c r="P281" s="56">
        <f>O281*'Расчет субсидий'!U281</f>
        <v>0.66666666666666874</v>
      </c>
      <c r="Q281" s="57">
        <f t="shared" si="88"/>
        <v>6.9011280690113003E-2</v>
      </c>
      <c r="R281" s="56">
        <f>'Расчет субсидий'!X281-1</f>
        <v>0</v>
      </c>
      <c r="S281" s="56">
        <f>R281*'Расчет субсидий'!Y281</f>
        <v>0</v>
      </c>
      <c r="T281" s="57">
        <f t="shared" si="89"/>
        <v>0</v>
      </c>
      <c r="U281" s="56">
        <f t="shared" si="77"/>
        <v>-11.416666666666668</v>
      </c>
    </row>
    <row r="282" spans="1:21" ht="15" customHeight="1">
      <c r="A282" s="34" t="s">
        <v>278</v>
      </c>
      <c r="B282" s="54">
        <f>'Расчет субсидий'!AD282</f>
        <v>15.27272727272728</v>
      </c>
      <c r="C282" s="56">
        <f>'Расчет субсидий'!D282-1</f>
        <v>0.22888044098080207</v>
      </c>
      <c r="D282" s="56">
        <f>C282*'Расчет субсидий'!E282</f>
        <v>2.2888044098080207</v>
      </c>
      <c r="E282" s="57">
        <f t="shared" si="86"/>
        <v>5.802797961101664</v>
      </c>
      <c r="F282" s="28" t="s">
        <v>375</v>
      </c>
      <c r="G282" s="28" t="s">
        <v>375</v>
      </c>
      <c r="H282" s="28" t="s">
        <v>375</v>
      </c>
      <c r="I282" s="28" t="s">
        <v>375</v>
      </c>
      <c r="J282" s="28" t="s">
        <v>375</v>
      </c>
      <c r="K282" s="28" t="s">
        <v>375</v>
      </c>
      <c r="L282" s="56">
        <f>'Расчет субсидий'!P282-1</f>
        <v>4.0928433268858866E-2</v>
      </c>
      <c r="M282" s="56">
        <f>L282*'Расчет субсидий'!Q282</f>
        <v>0.81856866537717732</v>
      </c>
      <c r="N282" s="57">
        <f t="shared" si="87"/>
        <v>2.0753143266054841</v>
      </c>
      <c r="O282" s="56">
        <f>'Расчет субсидий'!T282-1</f>
        <v>0</v>
      </c>
      <c r="P282" s="56">
        <f>O282*'Расчет субсидий'!U282</f>
        <v>0</v>
      </c>
      <c r="Q282" s="57">
        <f t="shared" si="88"/>
        <v>0</v>
      </c>
      <c r="R282" s="56">
        <f>'Расчет субсидий'!X282-1</f>
        <v>8.3333333333333481E-2</v>
      </c>
      <c r="S282" s="56">
        <f>R282*'Расчет субсидий'!Y282</f>
        <v>2.9166666666666718</v>
      </c>
      <c r="T282" s="57">
        <f t="shared" si="89"/>
        <v>7.3946149850201319</v>
      </c>
      <c r="U282" s="56">
        <f t="shared" si="77"/>
        <v>6.0240397418518699</v>
      </c>
    </row>
    <row r="283" spans="1:21" ht="15" customHeight="1">
      <c r="A283" s="34" t="s">
        <v>279</v>
      </c>
      <c r="B283" s="54">
        <f>'Расчет субсидий'!AD283</f>
        <v>-56.836363636363615</v>
      </c>
      <c r="C283" s="56">
        <f>'Расчет субсидий'!D283-1</f>
        <v>0.23240288346015214</v>
      </c>
      <c r="D283" s="56">
        <f>C283*'Расчет субсидий'!E283</f>
        <v>2.3240288346015214</v>
      </c>
      <c r="E283" s="57">
        <f t="shared" si="86"/>
        <v>7.9209388547566553</v>
      </c>
      <c r="F283" s="28" t="s">
        <v>375</v>
      </c>
      <c r="G283" s="28" t="s">
        <v>375</v>
      </c>
      <c r="H283" s="28" t="s">
        <v>375</v>
      </c>
      <c r="I283" s="28" t="s">
        <v>375</v>
      </c>
      <c r="J283" s="28" t="s">
        <v>375</v>
      </c>
      <c r="K283" s="28" t="s">
        <v>375</v>
      </c>
      <c r="L283" s="56">
        <f>'Расчет субсидий'!P283-1</f>
        <v>0.30000000000000004</v>
      </c>
      <c r="M283" s="56">
        <f>L283*'Расчет субсидий'!Q283</f>
        <v>6.0000000000000009</v>
      </c>
      <c r="N283" s="57">
        <f t="shared" si="87"/>
        <v>20.449674470880087</v>
      </c>
      <c r="O283" s="56">
        <f>'Расчет субсидий'!T283-1</f>
        <v>0</v>
      </c>
      <c r="P283" s="56">
        <f>O283*'Расчет субсидий'!U283</f>
        <v>0</v>
      </c>
      <c r="Q283" s="57">
        <f t="shared" si="88"/>
        <v>0</v>
      </c>
      <c r="R283" s="56">
        <f>'Расчет субсидий'!X283-1</f>
        <v>-1</v>
      </c>
      <c r="S283" s="56">
        <f>R283*'Расчет субсидий'!Y283</f>
        <v>-25</v>
      </c>
      <c r="T283" s="57">
        <f t="shared" si="89"/>
        <v>-85.20697696200034</v>
      </c>
      <c r="U283" s="56">
        <f t="shared" si="77"/>
        <v>-16.675971165398479</v>
      </c>
    </row>
    <row r="284" spans="1:21" ht="15" customHeight="1">
      <c r="A284" s="34" t="s">
        <v>280</v>
      </c>
      <c r="B284" s="54">
        <f>'Расчет субсидий'!AD284</f>
        <v>-11.072727272727263</v>
      </c>
      <c r="C284" s="56">
        <f>'Расчет субсидий'!D284-1</f>
        <v>0.20821154020077781</v>
      </c>
      <c r="D284" s="56">
        <f>C284*'Расчет субсидий'!E284</f>
        <v>2.0821154020077781</v>
      </c>
      <c r="E284" s="57">
        <f t="shared" si="86"/>
        <v>9.0107964502010489</v>
      </c>
      <c r="F284" s="28" t="s">
        <v>375</v>
      </c>
      <c r="G284" s="28" t="s">
        <v>375</v>
      </c>
      <c r="H284" s="28" t="s">
        <v>375</v>
      </c>
      <c r="I284" s="28" t="s">
        <v>375</v>
      </c>
      <c r="J284" s="28" t="s">
        <v>375</v>
      </c>
      <c r="K284" s="28" t="s">
        <v>375</v>
      </c>
      <c r="L284" s="56">
        <f>'Расчет субсидий'!P284-1</f>
        <v>3.5466048832650143E-2</v>
      </c>
      <c r="M284" s="56">
        <f>L284*'Расчет субсидий'!Q284</f>
        <v>0.70932097665300287</v>
      </c>
      <c r="N284" s="57">
        <f t="shared" si="87"/>
        <v>3.0697371203895178</v>
      </c>
      <c r="O284" s="56">
        <f>'Расчет субсидий'!T284-1</f>
        <v>-0.47</v>
      </c>
      <c r="P284" s="56">
        <f>O284*'Расчет субсидий'!U284</f>
        <v>-2.3499999999999996</v>
      </c>
      <c r="Q284" s="57">
        <f t="shared" si="88"/>
        <v>-10.170123921831188</v>
      </c>
      <c r="R284" s="56">
        <f>'Расчет субсидий'!X284-1</f>
        <v>-6.6666666666666763E-2</v>
      </c>
      <c r="S284" s="56">
        <f>R284*'Расчет субсидий'!Y284</f>
        <v>-3.0000000000000044</v>
      </c>
      <c r="T284" s="57">
        <f t="shared" si="89"/>
        <v>-12.983136921486643</v>
      </c>
      <c r="U284" s="56">
        <f t="shared" si="77"/>
        <v>-2.5585636213392231</v>
      </c>
    </row>
    <row r="285" spans="1:21" ht="15" customHeight="1">
      <c r="A285" s="34" t="s">
        <v>281</v>
      </c>
      <c r="B285" s="54">
        <f>'Расчет субсидий'!AD285</f>
        <v>0</v>
      </c>
      <c r="C285" s="56">
        <f>'Расчет субсидий'!D285-1</f>
        <v>-1.5735218947009799E-2</v>
      </c>
      <c r="D285" s="56">
        <f>C285*'Расчет субсидий'!E285</f>
        <v>-0.15735218947009799</v>
      </c>
      <c r="E285" s="57">
        <f t="shared" si="86"/>
        <v>0</v>
      </c>
      <c r="F285" s="28" t="s">
        <v>375</v>
      </c>
      <c r="G285" s="28" t="s">
        <v>375</v>
      </c>
      <c r="H285" s="28" t="s">
        <v>375</v>
      </c>
      <c r="I285" s="28" t="s">
        <v>375</v>
      </c>
      <c r="J285" s="28" t="s">
        <v>375</v>
      </c>
      <c r="K285" s="28" t="s">
        <v>375</v>
      </c>
      <c r="L285" s="56">
        <f>'Расчет субсидий'!P285-1</f>
        <v>-0.10125776150294541</v>
      </c>
      <c r="M285" s="56">
        <f>L285*'Расчет субсидий'!Q285</f>
        <v>-2.0251552300589082</v>
      </c>
      <c r="N285" s="57">
        <f t="shared" si="87"/>
        <v>0</v>
      </c>
      <c r="O285" s="56">
        <f>'Расчет субсидий'!T285-1</f>
        <v>0</v>
      </c>
      <c r="P285" s="56">
        <f>O285*'Расчет субсидий'!U285</f>
        <v>0</v>
      </c>
      <c r="Q285" s="57">
        <f t="shared" si="88"/>
        <v>0</v>
      </c>
      <c r="R285" s="56">
        <f>'Расчет субсидий'!X285-1</f>
        <v>0.30000000000000004</v>
      </c>
      <c r="S285" s="56">
        <f>R285*'Расчет субсидий'!Y285</f>
        <v>12.000000000000002</v>
      </c>
      <c r="T285" s="57">
        <f t="shared" si="89"/>
        <v>0</v>
      </c>
      <c r="U285" s="56">
        <f t="shared" si="77"/>
        <v>9.8174925804709954</v>
      </c>
    </row>
    <row r="286" spans="1:21" ht="15" customHeight="1">
      <c r="A286" s="34" t="s">
        <v>169</v>
      </c>
      <c r="B286" s="54">
        <f>'Расчет субсидий'!AD286</f>
        <v>-16.281818181818181</v>
      </c>
      <c r="C286" s="56">
        <f>'Расчет субсидий'!D286-1</f>
        <v>-1</v>
      </c>
      <c r="D286" s="56">
        <f>C286*'Расчет субсидий'!E286</f>
        <v>0</v>
      </c>
      <c r="E286" s="57">
        <f t="shared" si="86"/>
        <v>0</v>
      </c>
      <c r="F286" s="28" t="s">
        <v>375</v>
      </c>
      <c r="G286" s="28" t="s">
        <v>375</v>
      </c>
      <c r="H286" s="28" t="s">
        <v>375</v>
      </c>
      <c r="I286" s="28" t="s">
        <v>375</v>
      </c>
      <c r="J286" s="28" t="s">
        <v>375</v>
      </c>
      <c r="K286" s="28" t="s">
        <v>375</v>
      </c>
      <c r="L286" s="56">
        <f>'Расчет субсидий'!P286-1</f>
        <v>-0.58610709117221416</v>
      </c>
      <c r="M286" s="56">
        <f>L286*'Расчет субсидий'!Q286</f>
        <v>-11.722141823444282</v>
      </c>
      <c r="N286" s="57">
        <f t="shared" si="87"/>
        <v>-17.913461288012506</v>
      </c>
      <c r="O286" s="56">
        <f>'Расчет субсидий'!T286-1</f>
        <v>4.2708333333333348E-2</v>
      </c>
      <c r="P286" s="56">
        <f>O286*'Расчет субсидий'!U286</f>
        <v>1.0677083333333337</v>
      </c>
      <c r="Q286" s="57">
        <f t="shared" si="88"/>
        <v>1.631643106194324</v>
      </c>
      <c r="R286" s="56">
        <f>'Расчет субсидий'!X286-1</f>
        <v>0</v>
      </c>
      <c r="S286" s="56">
        <f>R286*'Расчет субсидий'!Y286</f>
        <v>0</v>
      </c>
      <c r="T286" s="57">
        <f t="shared" si="89"/>
        <v>0</v>
      </c>
      <c r="U286" s="56">
        <f t="shared" si="77"/>
        <v>-10.654433490110948</v>
      </c>
    </row>
    <row r="287" spans="1:21" ht="15" customHeight="1">
      <c r="A287" s="33" t="s">
        <v>282</v>
      </c>
      <c r="B287" s="58"/>
      <c r="C287" s="59"/>
      <c r="D287" s="59"/>
      <c r="E287" s="60"/>
      <c r="F287" s="59"/>
      <c r="G287" s="59"/>
      <c r="H287" s="60"/>
      <c r="I287" s="60"/>
      <c r="J287" s="60"/>
      <c r="K287" s="60"/>
      <c r="L287" s="59"/>
      <c r="M287" s="59"/>
      <c r="N287" s="60"/>
      <c r="O287" s="59"/>
      <c r="P287" s="59"/>
      <c r="Q287" s="60"/>
      <c r="R287" s="59"/>
      <c r="S287" s="59"/>
      <c r="T287" s="60"/>
      <c r="U287" s="60"/>
    </row>
    <row r="288" spans="1:21" ht="15" customHeight="1">
      <c r="A288" s="34" t="s">
        <v>72</v>
      </c>
      <c r="B288" s="54">
        <f>'Расчет субсидий'!AD288</f>
        <v>-39.218181818181819</v>
      </c>
      <c r="C288" s="56">
        <f>'Расчет субсидий'!D288-1</f>
        <v>5.8232685759082692E-2</v>
      </c>
      <c r="D288" s="56">
        <f>C288*'Расчет субсидий'!E288</f>
        <v>0.58232685759082692</v>
      </c>
      <c r="E288" s="57">
        <f t="shared" ref="E288:E311" si="90">$B288*D288/$U288</f>
        <v>0.97389661788306692</v>
      </c>
      <c r="F288" s="28" t="s">
        <v>375</v>
      </c>
      <c r="G288" s="28" t="s">
        <v>375</v>
      </c>
      <c r="H288" s="28" t="s">
        <v>375</v>
      </c>
      <c r="I288" s="28" t="s">
        <v>375</v>
      </c>
      <c r="J288" s="28" t="s">
        <v>375</v>
      </c>
      <c r="K288" s="28" t="s">
        <v>375</v>
      </c>
      <c r="L288" s="56">
        <f>'Расчет субсидий'!P288-1</f>
        <v>-0.60917154180033961</v>
      </c>
      <c r="M288" s="56">
        <f>L288*'Расчет субсидий'!Q288</f>
        <v>-12.183430836006792</v>
      </c>
      <c r="N288" s="57">
        <f t="shared" ref="N288:N311" si="91">$B288*M288/$U288</f>
        <v>-20.375845507947584</v>
      </c>
      <c r="O288" s="56">
        <f>'Расчет субсидий'!T288-1</f>
        <v>0</v>
      </c>
      <c r="P288" s="56">
        <f>O288*'Расчет субсидий'!U288</f>
        <v>0</v>
      </c>
      <c r="Q288" s="57">
        <f t="shared" ref="Q288:Q311" si="92">$B288*P288/$U288</f>
        <v>0</v>
      </c>
      <c r="R288" s="56">
        <f>'Расчет субсидий'!X288-1</f>
        <v>-0.26330708661417324</v>
      </c>
      <c r="S288" s="56">
        <f>R288*'Расчет субсидий'!Y288</f>
        <v>-11.848818897637795</v>
      </c>
      <c r="T288" s="57">
        <f t="shared" ref="T288:T311" si="93">$B288*S288/$U288</f>
        <v>-19.816232928117302</v>
      </c>
      <c r="U288" s="56">
        <f t="shared" si="77"/>
        <v>-23.449922876053762</v>
      </c>
    </row>
    <row r="289" spans="1:21" ht="15" customHeight="1">
      <c r="A289" s="34" t="s">
        <v>283</v>
      </c>
      <c r="B289" s="54">
        <f>'Расчет субсидий'!AD289</f>
        <v>-25.172727272727272</v>
      </c>
      <c r="C289" s="56">
        <f>'Расчет субсидий'!D289-1</f>
        <v>-1</v>
      </c>
      <c r="D289" s="56">
        <f>C289*'Расчет субсидий'!E289</f>
        <v>-10</v>
      </c>
      <c r="E289" s="57">
        <f t="shared" si="90"/>
        <v>-12.915376729882112</v>
      </c>
      <c r="F289" s="28" t="s">
        <v>375</v>
      </c>
      <c r="G289" s="28" t="s">
        <v>375</v>
      </c>
      <c r="H289" s="28" t="s">
        <v>375</v>
      </c>
      <c r="I289" s="28" t="s">
        <v>375</v>
      </c>
      <c r="J289" s="28" t="s">
        <v>375</v>
      </c>
      <c r="K289" s="28" t="s">
        <v>375</v>
      </c>
      <c r="L289" s="56">
        <f>'Расчет субсидий'!P289-1</f>
        <v>-0.47452547452547444</v>
      </c>
      <c r="M289" s="56">
        <f>L289*'Расчет субсидий'!Q289</f>
        <v>-9.4905094905094884</v>
      </c>
      <c r="N289" s="57">
        <f t="shared" si="91"/>
        <v>-12.257350542845158</v>
      </c>
      <c r="O289" s="56">
        <f>'Расчет субсидий'!T289-1</f>
        <v>0</v>
      </c>
      <c r="P289" s="56">
        <f>O289*'Расчет субсидий'!U289</f>
        <v>0</v>
      </c>
      <c r="Q289" s="57">
        <f t="shared" si="92"/>
        <v>0</v>
      </c>
      <c r="R289" s="56">
        <f>'Расчет субсидий'!X289-1</f>
        <v>0</v>
      </c>
      <c r="S289" s="56">
        <f>R289*'Расчет субсидий'!Y289</f>
        <v>0</v>
      </c>
      <c r="T289" s="57">
        <f t="shared" si="93"/>
        <v>0</v>
      </c>
      <c r="U289" s="56">
        <f t="shared" si="77"/>
        <v>-19.490509490509488</v>
      </c>
    </row>
    <row r="290" spans="1:21" ht="15" customHeight="1">
      <c r="A290" s="34" t="s">
        <v>284</v>
      </c>
      <c r="B290" s="54">
        <f>'Расчет субсидий'!AD290</f>
        <v>-8.1363636363636402</v>
      </c>
      <c r="C290" s="56">
        <f>'Расчет субсидий'!D290-1</f>
        <v>-1</v>
      </c>
      <c r="D290" s="56">
        <f>C290*'Расчет субсидий'!E290</f>
        <v>0</v>
      </c>
      <c r="E290" s="57">
        <f t="shared" si="90"/>
        <v>0</v>
      </c>
      <c r="F290" s="28" t="s">
        <v>375</v>
      </c>
      <c r="G290" s="28" t="s">
        <v>375</v>
      </c>
      <c r="H290" s="28" t="s">
        <v>375</v>
      </c>
      <c r="I290" s="28" t="s">
        <v>375</v>
      </c>
      <c r="J290" s="28" t="s">
        <v>375</v>
      </c>
      <c r="K290" s="28" t="s">
        <v>375</v>
      </c>
      <c r="L290" s="56">
        <f>'Расчет субсидий'!P290-1</f>
        <v>-0.40408163265306118</v>
      </c>
      <c r="M290" s="56">
        <f>L290*'Расчет субсидий'!Q290</f>
        <v>-8.0816326530612237</v>
      </c>
      <c r="N290" s="57">
        <f t="shared" si="91"/>
        <v>-8.1363636363636402</v>
      </c>
      <c r="O290" s="56">
        <f>'Расчет субсидий'!T290-1</f>
        <v>0</v>
      </c>
      <c r="P290" s="56">
        <f>O290*'Расчет субсидий'!U290</f>
        <v>0</v>
      </c>
      <c r="Q290" s="57">
        <f t="shared" si="92"/>
        <v>0</v>
      </c>
      <c r="R290" s="56">
        <f>'Расчет субсидий'!X290-1</f>
        <v>0</v>
      </c>
      <c r="S290" s="56">
        <f>R290*'Расчет субсидий'!Y290</f>
        <v>0</v>
      </c>
      <c r="T290" s="57">
        <f t="shared" si="93"/>
        <v>0</v>
      </c>
      <c r="U290" s="56">
        <f t="shared" si="77"/>
        <v>-8.0816326530612237</v>
      </c>
    </row>
    <row r="291" spans="1:21" ht="15" customHeight="1">
      <c r="A291" s="34" t="s">
        <v>53</v>
      </c>
      <c r="B291" s="54">
        <f>'Расчет субсидий'!AD291</f>
        <v>-1.0090909090909088</v>
      </c>
      <c r="C291" s="56">
        <f>'Расчет субсидий'!D291-1</f>
        <v>-0.51172955816874077</v>
      </c>
      <c r="D291" s="56">
        <f>C291*'Расчет субсидий'!E291</f>
        <v>-5.1172955816874079</v>
      </c>
      <c r="E291" s="57">
        <f t="shared" si="90"/>
        <v>-0.46489614045747168</v>
      </c>
      <c r="F291" s="28" t="s">
        <v>375</v>
      </c>
      <c r="G291" s="28" t="s">
        <v>375</v>
      </c>
      <c r="H291" s="28" t="s">
        <v>375</v>
      </c>
      <c r="I291" s="28" t="s">
        <v>375</v>
      </c>
      <c r="J291" s="28" t="s">
        <v>375</v>
      </c>
      <c r="K291" s="28" t="s">
        <v>375</v>
      </c>
      <c r="L291" s="56">
        <f>'Расчет субсидий'!P291-1</f>
        <v>-0.23458899151634471</v>
      </c>
      <c r="M291" s="56">
        <f>L291*'Расчет субсидий'!Q291</f>
        <v>-4.6917798303268938</v>
      </c>
      <c r="N291" s="57">
        <f t="shared" si="91"/>
        <v>-0.42623887953643391</v>
      </c>
      <c r="O291" s="56">
        <f>'Расчет субсидий'!T291-1</f>
        <v>-3.7096774193548399E-2</v>
      </c>
      <c r="P291" s="56">
        <f>O291*'Расчет субсидий'!U291</f>
        <v>-1.2983870967741939</v>
      </c>
      <c r="Q291" s="57">
        <f t="shared" si="92"/>
        <v>-0.11795588909700325</v>
      </c>
      <c r="R291" s="56">
        <f>'Расчет субсидий'!X291-1</f>
        <v>0</v>
      </c>
      <c r="S291" s="56">
        <f>R291*'Расчет субсидий'!Y291</f>
        <v>0</v>
      </c>
      <c r="T291" s="57">
        <f t="shared" si="93"/>
        <v>0</v>
      </c>
      <c r="U291" s="56">
        <f t="shared" si="77"/>
        <v>-11.107462508788496</v>
      </c>
    </row>
    <row r="292" spans="1:21" ht="15" customHeight="1">
      <c r="A292" s="34" t="s">
        <v>285</v>
      </c>
      <c r="B292" s="54">
        <f>'Расчет субсидий'!AD292</f>
        <v>30.563636363636363</v>
      </c>
      <c r="C292" s="56">
        <f>'Расчет субсидий'!D292-1</f>
        <v>-0.10113207547169811</v>
      </c>
      <c r="D292" s="56">
        <f>C292*'Расчет субсидий'!E292</f>
        <v>-1.0113207547169811</v>
      </c>
      <c r="E292" s="57">
        <f t="shared" si="90"/>
        <v>-2.3495877646281618</v>
      </c>
      <c r="F292" s="28" t="s">
        <v>375</v>
      </c>
      <c r="G292" s="28" t="s">
        <v>375</v>
      </c>
      <c r="H292" s="28" t="s">
        <v>375</v>
      </c>
      <c r="I292" s="28" t="s">
        <v>375</v>
      </c>
      <c r="J292" s="28" t="s">
        <v>375</v>
      </c>
      <c r="K292" s="28" t="s">
        <v>375</v>
      </c>
      <c r="L292" s="56">
        <f>'Расчет субсидий'!P292-1</f>
        <v>0.30000000000000004</v>
      </c>
      <c r="M292" s="56">
        <f>L292*'Расчет субсидий'!Q292</f>
        <v>6.0000000000000009</v>
      </c>
      <c r="N292" s="57">
        <f t="shared" si="91"/>
        <v>13.939718454323799</v>
      </c>
      <c r="O292" s="56">
        <f>'Расчет субсидий'!T292-1</f>
        <v>0.23333333333333339</v>
      </c>
      <c r="P292" s="56">
        <f>O292*'Расчет субсидий'!U292</f>
        <v>8.1666666666666679</v>
      </c>
      <c r="Q292" s="57">
        <f t="shared" si="92"/>
        <v>18.973505673940725</v>
      </c>
      <c r="R292" s="56">
        <f>'Расчет субсидий'!X292-1</f>
        <v>0</v>
      </c>
      <c r="S292" s="56">
        <f>R292*'Расчет субсидий'!Y292</f>
        <v>0</v>
      </c>
      <c r="T292" s="57">
        <f t="shared" si="93"/>
        <v>0</v>
      </c>
      <c r="U292" s="56">
        <f t="shared" si="77"/>
        <v>13.155345911949688</v>
      </c>
    </row>
    <row r="293" spans="1:21" ht="15" customHeight="1">
      <c r="A293" s="34" t="s">
        <v>286</v>
      </c>
      <c r="B293" s="54">
        <f>'Расчет субсидий'!AD293</f>
        <v>41.327272727272742</v>
      </c>
      <c r="C293" s="56">
        <f>'Расчет субсидий'!D293-1</f>
        <v>-1</v>
      </c>
      <c r="D293" s="56">
        <f>C293*'Расчет субсидий'!E293</f>
        <v>0</v>
      </c>
      <c r="E293" s="57">
        <f t="shared" si="90"/>
        <v>0</v>
      </c>
      <c r="F293" s="28" t="s">
        <v>375</v>
      </c>
      <c r="G293" s="28" t="s">
        <v>375</v>
      </c>
      <c r="H293" s="28" t="s">
        <v>375</v>
      </c>
      <c r="I293" s="28" t="s">
        <v>375</v>
      </c>
      <c r="J293" s="28" t="s">
        <v>375</v>
      </c>
      <c r="K293" s="28" t="s">
        <v>375</v>
      </c>
      <c r="L293" s="56">
        <f>'Расчет субсидий'!P293-1</f>
        <v>0.30000000000000004</v>
      </c>
      <c r="M293" s="56">
        <f>L293*'Расчет субсидий'!Q293</f>
        <v>6.0000000000000009</v>
      </c>
      <c r="N293" s="57">
        <f t="shared" si="91"/>
        <v>19.918709033912812</v>
      </c>
      <c r="O293" s="56">
        <f>'Расчет субсидий'!T293-1</f>
        <v>0.21495934959349583</v>
      </c>
      <c r="P293" s="56">
        <f>O293*'Расчет субсидий'!U293</f>
        <v>6.4487804878048749</v>
      </c>
      <c r="Q293" s="57">
        <f t="shared" si="92"/>
        <v>21.408563693359937</v>
      </c>
      <c r="R293" s="56">
        <f>'Расчет субсидий'!X293-1</f>
        <v>0</v>
      </c>
      <c r="S293" s="56">
        <f>R293*'Расчет субсидий'!Y293</f>
        <v>0</v>
      </c>
      <c r="T293" s="57">
        <f t="shared" si="93"/>
        <v>0</v>
      </c>
      <c r="U293" s="56">
        <f t="shared" si="77"/>
        <v>12.448780487804875</v>
      </c>
    </row>
    <row r="294" spans="1:21" ht="15" customHeight="1">
      <c r="A294" s="34" t="s">
        <v>287</v>
      </c>
      <c r="B294" s="54">
        <f>'Расчет субсидий'!AD294</f>
        <v>-3.9909090909090992</v>
      </c>
      <c r="C294" s="56">
        <f>'Расчет субсидий'!D294-1</f>
        <v>-1</v>
      </c>
      <c r="D294" s="56">
        <f>C294*'Расчет субсидий'!E294</f>
        <v>0</v>
      </c>
      <c r="E294" s="57">
        <f t="shared" si="90"/>
        <v>0</v>
      </c>
      <c r="F294" s="28" t="s">
        <v>375</v>
      </c>
      <c r="G294" s="28" t="s">
        <v>375</v>
      </c>
      <c r="H294" s="28" t="s">
        <v>375</v>
      </c>
      <c r="I294" s="28" t="s">
        <v>375</v>
      </c>
      <c r="J294" s="28" t="s">
        <v>375</v>
      </c>
      <c r="K294" s="28" t="s">
        <v>375</v>
      </c>
      <c r="L294" s="56">
        <f>'Расчет субсидий'!P294-1</f>
        <v>-0.20485658409387231</v>
      </c>
      <c r="M294" s="56">
        <f>L294*'Расчет субсидий'!Q294</f>
        <v>-4.0971316818774461</v>
      </c>
      <c r="N294" s="57">
        <f t="shared" si="91"/>
        <v>-3.9909090909090992</v>
      </c>
      <c r="O294" s="56">
        <f>'Расчет субсидий'!T294-1</f>
        <v>0</v>
      </c>
      <c r="P294" s="56">
        <f>O294*'Расчет субсидий'!U294</f>
        <v>0</v>
      </c>
      <c r="Q294" s="57">
        <f t="shared" si="92"/>
        <v>0</v>
      </c>
      <c r="R294" s="56">
        <f>'Расчет субсидий'!X294-1</f>
        <v>0</v>
      </c>
      <c r="S294" s="56">
        <f>R294*'Расчет субсидий'!Y294</f>
        <v>0</v>
      </c>
      <c r="T294" s="57">
        <f t="shared" si="93"/>
        <v>0</v>
      </c>
      <c r="U294" s="56">
        <f t="shared" si="77"/>
        <v>-4.0971316818774461</v>
      </c>
    </row>
    <row r="295" spans="1:21" ht="15" customHeight="1">
      <c r="A295" s="34" t="s">
        <v>288</v>
      </c>
      <c r="B295" s="54">
        <f>'Расчет субсидий'!AD295</f>
        <v>-13.599999999999994</v>
      </c>
      <c r="C295" s="56">
        <f>'Расчет субсидий'!D295-1</f>
        <v>-1</v>
      </c>
      <c r="D295" s="56">
        <f>C295*'Расчет субсидий'!E295</f>
        <v>0</v>
      </c>
      <c r="E295" s="57">
        <f t="shared" si="90"/>
        <v>0</v>
      </c>
      <c r="F295" s="28" t="s">
        <v>375</v>
      </c>
      <c r="G295" s="28" t="s">
        <v>375</v>
      </c>
      <c r="H295" s="28" t="s">
        <v>375</v>
      </c>
      <c r="I295" s="28" t="s">
        <v>375</v>
      </c>
      <c r="J295" s="28" t="s">
        <v>375</v>
      </c>
      <c r="K295" s="28" t="s">
        <v>375</v>
      </c>
      <c r="L295" s="56">
        <f>'Расчет субсидий'!P295-1</f>
        <v>-0.36557262569832405</v>
      </c>
      <c r="M295" s="56">
        <f>L295*'Расчет субсидий'!Q295</f>
        <v>-7.311452513966481</v>
      </c>
      <c r="N295" s="57">
        <f t="shared" si="91"/>
        <v>-22.16442250963879</v>
      </c>
      <c r="O295" s="56">
        <f>'Расчет субсидий'!T295-1</f>
        <v>7.062937062937058E-2</v>
      </c>
      <c r="P295" s="56">
        <f>O295*'Расчет субсидий'!U295</f>
        <v>2.8251748251748232</v>
      </c>
      <c r="Q295" s="57">
        <f t="shared" si="92"/>
        <v>8.5644225096387956</v>
      </c>
      <c r="R295" s="56">
        <f>'Расчет субсидий'!X295-1</f>
        <v>0</v>
      </c>
      <c r="S295" s="56">
        <f>R295*'Расчет субсидий'!Y295</f>
        <v>0</v>
      </c>
      <c r="T295" s="57">
        <f t="shared" si="93"/>
        <v>0</v>
      </c>
      <c r="U295" s="56">
        <f t="shared" si="77"/>
        <v>-4.4862776887916578</v>
      </c>
    </row>
    <row r="296" spans="1:21" ht="15" customHeight="1">
      <c r="A296" s="34" t="s">
        <v>289</v>
      </c>
      <c r="B296" s="54">
        <f>'Расчет субсидий'!AD296</f>
        <v>-14.463636363636368</v>
      </c>
      <c r="C296" s="56">
        <f>'Расчет субсидий'!D296-1</f>
        <v>-1</v>
      </c>
      <c r="D296" s="56">
        <f>C296*'Расчет субсидий'!E296</f>
        <v>0</v>
      </c>
      <c r="E296" s="57">
        <f t="shared" si="90"/>
        <v>0</v>
      </c>
      <c r="F296" s="28" t="s">
        <v>375</v>
      </c>
      <c r="G296" s="28" t="s">
        <v>375</v>
      </c>
      <c r="H296" s="28" t="s">
        <v>375</v>
      </c>
      <c r="I296" s="28" t="s">
        <v>375</v>
      </c>
      <c r="J296" s="28" t="s">
        <v>375</v>
      </c>
      <c r="K296" s="28" t="s">
        <v>375</v>
      </c>
      <c r="L296" s="56">
        <f>'Расчет субсидий'!P296-1</f>
        <v>-0.82374999999999998</v>
      </c>
      <c r="M296" s="56">
        <f>L296*'Расчет субсидий'!Q296</f>
        <v>-16.475000000000001</v>
      </c>
      <c r="N296" s="57">
        <f t="shared" si="91"/>
        <v>-14.463636363636368</v>
      </c>
      <c r="O296" s="56">
        <f>'Расчет субсидий'!T296-1</f>
        <v>0</v>
      </c>
      <c r="P296" s="56">
        <f>O296*'Расчет субсидий'!U296</f>
        <v>0</v>
      </c>
      <c r="Q296" s="57">
        <f t="shared" si="92"/>
        <v>0</v>
      </c>
      <c r="R296" s="56">
        <f>'Расчет субсидий'!X296-1</f>
        <v>0</v>
      </c>
      <c r="S296" s="56">
        <f>R296*'Расчет субсидий'!Y296</f>
        <v>0</v>
      </c>
      <c r="T296" s="57">
        <f t="shared" si="93"/>
        <v>0</v>
      </c>
      <c r="U296" s="56">
        <f t="shared" si="77"/>
        <v>-16.475000000000001</v>
      </c>
    </row>
    <row r="297" spans="1:21" ht="15" customHeight="1">
      <c r="A297" s="34" t="s">
        <v>290</v>
      </c>
      <c r="B297" s="54">
        <f>'Расчет субсидий'!AD297</f>
        <v>-0.7818181818181813</v>
      </c>
      <c r="C297" s="56">
        <f>'Расчет субсидий'!D297-1</f>
        <v>-0.48652118100128372</v>
      </c>
      <c r="D297" s="56">
        <f>C297*'Расчет субсидий'!E297</f>
        <v>-4.8652118100128376</v>
      </c>
      <c r="E297" s="57">
        <f t="shared" si="90"/>
        <v>-5.8512283376558356</v>
      </c>
      <c r="F297" s="28" t="s">
        <v>375</v>
      </c>
      <c r="G297" s="28" t="s">
        <v>375</v>
      </c>
      <c r="H297" s="28" t="s">
        <v>375</v>
      </c>
      <c r="I297" s="28" t="s">
        <v>375</v>
      </c>
      <c r="J297" s="28" t="s">
        <v>375</v>
      </c>
      <c r="K297" s="28" t="s">
        <v>375</v>
      </c>
      <c r="L297" s="56">
        <f>'Расчет субсидий'!P297-1</f>
        <v>0.12465706447187919</v>
      </c>
      <c r="M297" s="56">
        <f>L297*'Расчет субсидий'!Q297</f>
        <v>2.4931412894375837</v>
      </c>
      <c r="N297" s="57">
        <f t="shared" si="91"/>
        <v>2.9984180611652564</v>
      </c>
      <c r="O297" s="56">
        <f>'Расчет субсидий'!T297-1</f>
        <v>4.9200000000000133E-2</v>
      </c>
      <c r="P297" s="56">
        <f>O297*'Расчет субсидий'!U297</f>
        <v>1.7220000000000046</v>
      </c>
      <c r="Q297" s="57">
        <f t="shared" si="92"/>
        <v>2.0709920946723983</v>
      </c>
      <c r="R297" s="56">
        <f>'Расчет субсидий'!X297-1</f>
        <v>0</v>
      </c>
      <c r="S297" s="56">
        <f>R297*'Расчет субсидий'!Y297</f>
        <v>0</v>
      </c>
      <c r="T297" s="57">
        <f t="shared" si="93"/>
        <v>0</v>
      </c>
      <c r="U297" s="56">
        <f t="shared" si="77"/>
        <v>-0.65007052057524928</v>
      </c>
    </row>
    <row r="298" spans="1:21" ht="15" customHeight="1">
      <c r="A298" s="34" t="s">
        <v>291</v>
      </c>
      <c r="B298" s="54">
        <f>'Расчет субсидий'!AD298</f>
        <v>-8.0363636363636317</v>
      </c>
      <c r="C298" s="56">
        <f>'Расчет субсидий'!D298-1</f>
        <v>-1</v>
      </c>
      <c r="D298" s="56">
        <f>C298*'Расчет субсидий'!E298</f>
        <v>0</v>
      </c>
      <c r="E298" s="57">
        <f t="shared" si="90"/>
        <v>0</v>
      </c>
      <c r="F298" s="28" t="s">
        <v>375</v>
      </c>
      <c r="G298" s="28" t="s">
        <v>375</v>
      </c>
      <c r="H298" s="28" t="s">
        <v>375</v>
      </c>
      <c r="I298" s="28" t="s">
        <v>375</v>
      </c>
      <c r="J298" s="28" t="s">
        <v>375</v>
      </c>
      <c r="K298" s="28" t="s">
        <v>375</v>
      </c>
      <c r="L298" s="56">
        <f>'Расчет субсидий'!P298-1</f>
        <v>-0.71170212765957452</v>
      </c>
      <c r="M298" s="56">
        <f>L298*'Расчет субсидий'!Q298</f>
        <v>-14.23404255319149</v>
      </c>
      <c r="N298" s="57">
        <f t="shared" si="91"/>
        <v>-51.203116883116891</v>
      </c>
      <c r="O298" s="56">
        <f>'Расчет субсидий'!T298-1</f>
        <v>0.30000000000000004</v>
      </c>
      <c r="P298" s="56">
        <f>O298*'Расчет субсидий'!U298</f>
        <v>12.000000000000002</v>
      </c>
      <c r="Q298" s="57">
        <f t="shared" si="92"/>
        <v>43.16675324675326</v>
      </c>
      <c r="R298" s="56">
        <f>'Расчет субсидий'!X298-1</f>
        <v>0</v>
      </c>
      <c r="S298" s="56">
        <f>R298*'Расчет субсидий'!Y298</f>
        <v>0</v>
      </c>
      <c r="T298" s="57">
        <f t="shared" si="93"/>
        <v>0</v>
      </c>
      <c r="U298" s="56">
        <f t="shared" si="77"/>
        <v>-2.2340425531914878</v>
      </c>
    </row>
    <row r="299" spans="1:21" ht="15" customHeight="1">
      <c r="A299" s="34" t="s">
        <v>292</v>
      </c>
      <c r="B299" s="54">
        <f>'Расчет субсидий'!AD299</f>
        <v>-3.7545454545454504</v>
      </c>
      <c r="C299" s="56">
        <f>'Расчет субсидий'!D299-1</f>
        <v>-0.87167630057803469</v>
      </c>
      <c r="D299" s="56">
        <f>C299*'Расчет субсидий'!E299</f>
        <v>-8.7167630057803471</v>
      </c>
      <c r="E299" s="57">
        <f t="shared" si="90"/>
        <v>-5.9025360358082413</v>
      </c>
      <c r="F299" s="28" t="s">
        <v>375</v>
      </c>
      <c r="G299" s="28" t="s">
        <v>375</v>
      </c>
      <c r="H299" s="28" t="s">
        <v>375</v>
      </c>
      <c r="I299" s="28" t="s">
        <v>375</v>
      </c>
      <c r="J299" s="28" t="s">
        <v>375</v>
      </c>
      <c r="K299" s="28" t="s">
        <v>375</v>
      </c>
      <c r="L299" s="56">
        <f>'Расчет субсидий'!P299-1</f>
        <v>8.0344895159709884E-2</v>
      </c>
      <c r="M299" s="56">
        <f>L299*'Расчет субсидий'!Q299</f>
        <v>1.6068979031941977</v>
      </c>
      <c r="N299" s="57">
        <f t="shared" si="91"/>
        <v>1.0881072220477737</v>
      </c>
      <c r="O299" s="56">
        <f>'Расчет субсидий'!T299-1</f>
        <v>5.2173913043478182E-2</v>
      </c>
      <c r="P299" s="56">
        <f>O299*'Расчет субсидий'!U299</f>
        <v>1.5652173913043455</v>
      </c>
      <c r="Q299" s="57">
        <f t="shared" si="92"/>
        <v>1.0598833592150176</v>
      </c>
      <c r="R299" s="56">
        <f>'Расчет субсидий'!X299-1</f>
        <v>0</v>
      </c>
      <c r="S299" s="56">
        <f>R299*'Расчет субсидий'!Y299</f>
        <v>0</v>
      </c>
      <c r="T299" s="57">
        <f t="shared" si="93"/>
        <v>0</v>
      </c>
      <c r="U299" s="56">
        <f t="shared" si="77"/>
        <v>-5.5446477112818044</v>
      </c>
    </row>
    <row r="300" spans="1:21" ht="15" customHeight="1">
      <c r="A300" s="34" t="s">
        <v>293</v>
      </c>
      <c r="B300" s="54">
        <f>'Расчет субсидий'!AD300</f>
        <v>-25.845454545454544</v>
      </c>
      <c r="C300" s="56">
        <f>'Расчет субсидий'!D300-1</f>
        <v>-0.59512761020881677</v>
      </c>
      <c r="D300" s="56">
        <f>C300*'Расчет субсидий'!E300</f>
        <v>-5.9512761020881673</v>
      </c>
      <c r="E300" s="57">
        <f t="shared" si="90"/>
        <v>-6.808057789885015</v>
      </c>
      <c r="F300" s="28" t="s">
        <v>375</v>
      </c>
      <c r="G300" s="28" t="s">
        <v>375</v>
      </c>
      <c r="H300" s="28" t="s">
        <v>375</v>
      </c>
      <c r="I300" s="28" t="s">
        <v>375</v>
      </c>
      <c r="J300" s="28" t="s">
        <v>375</v>
      </c>
      <c r="K300" s="28" t="s">
        <v>375</v>
      </c>
      <c r="L300" s="56">
        <f>'Расчет субсидий'!P300-1</f>
        <v>-0.60313138189244386</v>
      </c>
      <c r="M300" s="56">
        <f>L300*'Расчет субсидий'!Q300</f>
        <v>-12.062627637848877</v>
      </c>
      <c r="N300" s="57">
        <f t="shared" si="91"/>
        <v>-13.799236440655848</v>
      </c>
      <c r="O300" s="56">
        <f>'Расчет субсидий'!T300-1</f>
        <v>-0.15263157894736834</v>
      </c>
      <c r="P300" s="56">
        <f>O300*'Расчет субсидий'!U300</f>
        <v>-4.5789473684210504</v>
      </c>
      <c r="Q300" s="57">
        <f t="shared" si="92"/>
        <v>-5.2381603149136815</v>
      </c>
      <c r="R300" s="56">
        <f>'Расчет субсидий'!X300-1</f>
        <v>0</v>
      </c>
      <c r="S300" s="56">
        <f>R300*'Расчет субсидий'!Y300</f>
        <v>0</v>
      </c>
      <c r="T300" s="57">
        <f t="shared" si="93"/>
        <v>0</v>
      </c>
      <c r="U300" s="56">
        <f t="shared" si="77"/>
        <v>-22.592851108358094</v>
      </c>
    </row>
    <row r="301" spans="1:21" ht="15" customHeight="1">
      <c r="A301" s="34" t="s">
        <v>294</v>
      </c>
      <c r="B301" s="54">
        <f>'Расчет субсидий'!AD301</f>
        <v>0.29999999999999982</v>
      </c>
      <c r="C301" s="56">
        <f>'Расчет субсидий'!D301-1</f>
        <v>-1</v>
      </c>
      <c r="D301" s="56">
        <f>C301*'Расчет субсидий'!E301</f>
        <v>0</v>
      </c>
      <c r="E301" s="57">
        <f t="shared" si="90"/>
        <v>0</v>
      </c>
      <c r="F301" s="28" t="s">
        <v>375</v>
      </c>
      <c r="G301" s="28" t="s">
        <v>375</v>
      </c>
      <c r="H301" s="28" t="s">
        <v>375</v>
      </c>
      <c r="I301" s="28" t="s">
        <v>375</v>
      </c>
      <c r="J301" s="28" t="s">
        <v>375</v>
      </c>
      <c r="K301" s="28" t="s">
        <v>375</v>
      </c>
      <c r="L301" s="56">
        <f>'Расчет субсидий'!P301-1</f>
        <v>0.22616297468354429</v>
      </c>
      <c r="M301" s="56">
        <f>L301*'Расчет субсидий'!Q301</f>
        <v>4.5232594936708859</v>
      </c>
      <c r="N301" s="57">
        <f t="shared" si="91"/>
        <v>0.29999999999999982</v>
      </c>
      <c r="O301" s="56">
        <f>'Расчет субсидий'!T301-1</f>
        <v>0</v>
      </c>
      <c r="P301" s="56">
        <f>O301*'Расчет субсидий'!U301</f>
        <v>0</v>
      </c>
      <c r="Q301" s="57">
        <f t="shared" si="92"/>
        <v>0</v>
      </c>
      <c r="R301" s="56">
        <f>'Расчет субсидий'!X301-1</f>
        <v>0</v>
      </c>
      <c r="S301" s="56">
        <f>R301*'Расчет субсидий'!Y301</f>
        <v>0</v>
      </c>
      <c r="T301" s="57">
        <f t="shared" si="93"/>
        <v>0</v>
      </c>
      <c r="U301" s="56">
        <f t="shared" si="77"/>
        <v>4.5232594936708859</v>
      </c>
    </row>
    <row r="302" spans="1:21" ht="15" customHeight="1">
      <c r="A302" s="34" t="s">
        <v>295</v>
      </c>
      <c r="B302" s="54">
        <f>'Расчет субсидий'!AD302</f>
        <v>1.463636363636363</v>
      </c>
      <c r="C302" s="56">
        <f>'Расчет субсидий'!D302-1</f>
        <v>0.30000000000000004</v>
      </c>
      <c r="D302" s="56">
        <f>C302*'Расчет субсидий'!E302</f>
        <v>3.0000000000000004</v>
      </c>
      <c r="E302" s="57">
        <f t="shared" si="90"/>
        <v>0.50363399962746935</v>
      </c>
      <c r="F302" s="28" t="s">
        <v>375</v>
      </c>
      <c r="G302" s="28" t="s">
        <v>375</v>
      </c>
      <c r="H302" s="28" t="s">
        <v>375</v>
      </c>
      <c r="I302" s="28" t="s">
        <v>375</v>
      </c>
      <c r="J302" s="28" t="s">
        <v>375</v>
      </c>
      <c r="K302" s="28" t="s">
        <v>375</v>
      </c>
      <c r="L302" s="56">
        <f>'Расчет субсидий'!P302-1</f>
        <v>0.28592262378602129</v>
      </c>
      <c r="M302" s="56">
        <f>L302*'Расчет субсидий'!Q302</f>
        <v>5.7184524757204258</v>
      </c>
      <c r="N302" s="57">
        <f t="shared" si="91"/>
        <v>0.96000236400889383</v>
      </c>
      <c r="O302" s="56">
        <f>'Расчет субсидий'!T302-1</f>
        <v>0</v>
      </c>
      <c r="P302" s="56">
        <f>O302*'Расчет субсидий'!U302</f>
        <v>0</v>
      </c>
      <c r="Q302" s="57">
        <f t="shared" si="92"/>
        <v>0</v>
      </c>
      <c r="R302" s="56">
        <f>'Расчет субсидий'!X302-1</f>
        <v>0</v>
      </c>
      <c r="S302" s="56">
        <f>R302*'Расчет субсидий'!Y302</f>
        <v>0</v>
      </c>
      <c r="T302" s="57">
        <f t="shared" si="93"/>
        <v>0</v>
      </c>
      <c r="U302" s="56">
        <f t="shared" si="77"/>
        <v>8.7184524757204258</v>
      </c>
    </row>
    <row r="303" spans="1:21" ht="15" customHeight="1">
      <c r="A303" s="34" t="s">
        <v>296</v>
      </c>
      <c r="B303" s="54">
        <f>'Расчет субсидий'!AD303</f>
        <v>-0.27272727272727293</v>
      </c>
      <c r="C303" s="56">
        <f>'Расчет субсидий'!D303-1</f>
        <v>-0.15189521159197772</v>
      </c>
      <c r="D303" s="56">
        <f>C303*'Расчет субсидий'!E303</f>
        <v>-1.5189521159197772</v>
      </c>
      <c r="E303" s="57">
        <f t="shared" si="90"/>
        <v>-4.2299700353738479E-2</v>
      </c>
      <c r="F303" s="28" t="s">
        <v>375</v>
      </c>
      <c r="G303" s="28" t="s">
        <v>375</v>
      </c>
      <c r="H303" s="28" t="s">
        <v>375</v>
      </c>
      <c r="I303" s="28" t="s">
        <v>375</v>
      </c>
      <c r="J303" s="28" t="s">
        <v>375</v>
      </c>
      <c r="K303" s="28" t="s">
        <v>375</v>
      </c>
      <c r="L303" s="56">
        <f>'Расчет субсидий'!P303-1</f>
        <v>-0.41372450123290738</v>
      </c>
      <c r="M303" s="56">
        <f>L303*'Расчет субсидий'!Q303</f>
        <v>-8.2744900246581476</v>
      </c>
      <c r="N303" s="57">
        <f t="shared" si="91"/>
        <v>-0.23042757237353445</v>
      </c>
      <c r="O303" s="56">
        <f>'Расчет субсидий'!T303-1</f>
        <v>0</v>
      </c>
      <c r="P303" s="56">
        <f>O303*'Расчет субсидий'!U303</f>
        <v>0</v>
      </c>
      <c r="Q303" s="57">
        <f t="shared" si="92"/>
        <v>0</v>
      </c>
      <c r="R303" s="56">
        <f>'Расчет субсидий'!X303-1</f>
        <v>0</v>
      </c>
      <c r="S303" s="56">
        <f>R303*'Расчет субсидий'!Y303</f>
        <v>0</v>
      </c>
      <c r="T303" s="57">
        <f t="shared" si="93"/>
        <v>0</v>
      </c>
      <c r="U303" s="56">
        <f t="shared" si="77"/>
        <v>-9.7934421405779251</v>
      </c>
    </row>
    <row r="304" spans="1:21" ht="15" customHeight="1">
      <c r="A304" s="34" t="s">
        <v>297</v>
      </c>
      <c r="B304" s="54">
        <f>'Расчет субсидий'!AD304</f>
        <v>-0.31818181818181812</v>
      </c>
      <c r="C304" s="56">
        <f>'Расчет субсидий'!D304-1</f>
        <v>0.1306841339155751</v>
      </c>
      <c r="D304" s="56">
        <f>C304*'Расчет субсидий'!E304</f>
        <v>1.306841339155751</v>
      </c>
      <c r="E304" s="57">
        <f t="shared" si="90"/>
        <v>3.0052637546910413E-2</v>
      </c>
      <c r="F304" s="28" t="s">
        <v>375</v>
      </c>
      <c r="G304" s="28" t="s">
        <v>375</v>
      </c>
      <c r="H304" s="28" t="s">
        <v>375</v>
      </c>
      <c r="I304" s="28" t="s">
        <v>375</v>
      </c>
      <c r="J304" s="28" t="s">
        <v>375</v>
      </c>
      <c r="K304" s="28" t="s">
        <v>375</v>
      </c>
      <c r="L304" s="56">
        <f>'Расчет субсидий'!P304-1</f>
        <v>-0.75715015321756896</v>
      </c>
      <c r="M304" s="56">
        <f>L304*'Расчет субсидий'!Q304</f>
        <v>-15.14300306435138</v>
      </c>
      <c r="N304" s="57">
        <f t="shared" si="91"/>
        <v>-0.34823445572872852</v>
      </c>
      <c r="O304" s="56">
        <f>'Расчет субсидий'!T304-1</f>
        <v>0</v>
      </c>
      <c r="P304" s="56">
        <f>O304*'Расчет субсидий'!U304</f>
        <v>0</v>
      </c>
      <c r="Q304" s="57">
        <f t="shared" si="92"/>
        <v>0</v>
      </c>
      <c r="R304" s="56">
        <f>'Расчет субсидий'!X304-1</f>
        <v>0</v>
      </c>
      <c r="S304" s="56">
        <f>R304*'Расчет субсидий'!Y304</f>
        <v>0</v>
      </c>
      <c r="T304" s="57">
        <f t="shared" si="93"/>
        <v>0</v>
      </c>
      <c r="U304" s="56">
        <f t="shared" ref="U304:U367" si="94">D304+M304+P304+S304</f>
        <v>-13.836161725195629</v>
      </c>
    </row>
    <row r="305" spans="1:21" ht="15" customHeight="1">
      <c r="A305" s="34" t="s">
        <v>298</v>
      </c>
      <c r="B305" s="54">
        <f>'Расчет субсидий'!AD305</f>
        <v>-0.79090909090909634</v>
      </c>
      <c r="C305" s="56">
        <f>'Расчет субсидий'!D305-1</f>
        <v>-1</v>
      </c>
      <c r="D305" s="56">
        <f>C305*'Расчет субсидий'!E305</f>
        <v>0</v>
      </c>
      <c r="E305" s="57">
        <f t="shared" si="90"/>
        <v>0</v>
      </c>
      <c r="F305" s="28" t="s">
        <v>375</v>
      </c>
      <c r="G305" s="28" t="s">
        <v>375</v>
      </c>
      <c r="H305" s="28" t="s">
        <v>375</v>
      </c>
      <c r="I305" s="28" t="s">
        <v>375</v>
      </c>
      <c r="J305" s="28" t="s">
        <v>375</v>
      </c>
      <c r="K305" s="28" t="s">
        <v>375</v>
      </c>
      <c r="L305" s="56">
        <f>'Расчет субсидий'!P305-1</f>
        <v>-3.9850560398505652E-2</v>
      </c>
      <c r="M305" s="56">
        <f>L305*'Расчет субсидий'!Q305</f>
        <v>-0.79701120797011304</v>
      </c>
      <c r="N305" s="57">
        <f t="shared" si="91"/>
        <v>-0.79090909090909634</v>
      </c>
      <c r="O305" s="56">
        <f>'Расчет субсидий'!T305-1</f>
        <v>0</v>
      </c>
      <c r="P305" s="56">
        <f>O305*'Расчет субсидий'!U305</f>
        <v>0</v>
      </c>
      <c r="Q305" s="57">
        <f t="shared" si="92"/>
        <v>0</v>
      </c>
      <c r="R305" s="56">
        <f>'Расчет субсидий'!X305-1</f>
        <v>0</v>
      </c>
      <c r="S305" s="56">
        <f>R305*'Расчет субсидий'!Y305</f>
        <v>0</v>
      </c>
      <c r="T305" s="57">
        <f t="shared" si="93"/>
        <v>0</v>
      </c>
      <c r="U305" s="56">
        <f t="shared" si="94"/>
        <v>-0.79701120797011304</v>
      </c>
    </row>
    <row r="306" spans="1:21" ht="15" customHeight="1">
      <c r="A306" s="34" t="s">
        <v>299</v>
      </c>
      <c r="B306" s="54">
        <f>'Расчет субсидий'!AD306</f>
        <v>-31.636363636363626</v>
      </c>
      <c r="C306" s="56">
        <f>'Расчет субсидий'!D306-1</f>
        <v>0.25279245283018859</v>
      </c>
      <c r="D306" s="56">
        <f>C306*'Расчет субсидий'!E306</f>
        <v>2.5279245283018859</v>
      </c>
      <c r="E306" s="57">
        <f t="shared" si="90"/>
        <v>7.1269393006578685</v>
      </c>
      <c r="F306" s="28" t="s">
        <v>375</v>
      </c>
      <c r="G306" s="28" t="s">
        <v>375</v>
      </c>
      <c r="H306" s="28" t="s">
        <v>375</v>
      </c>
      <c r="I306" s="28" t="s">
        <v>375</v>
      </c>
      <c r="J306" s="28" t="s">
        <v>375</v>
      </c>
      <c r="K306" s="28" t="s">
        <v>375</v>
      </c>
      <c r="L306" s="56">
        <f>'Расчет субсидий'!P306-1</f>
        <v>-0.68746694870438918</v>
      </c>
      <c r="M306" s="56">
        <f>L306*'Расчет субсидий'!Q306</f>
        <v>-13.749338974087784</v>
      </c>
      <c r="N306" s="57">
        <f t="shared" si="91"/>
        <v>-38.763302937021493</v>
      </c>
      <c r="O306" s="56">
        <f>'Расчет субсидий'!T306-1</f>
        <v>0</v>
      </c>
      <c r="P306" s="56">
        <f>O306*'Расчет субсидий'!U306</f>
        <v>0</v>
      </c>
      <c r="Q306" s="57">
        <f t="shared" si="92"/>
        <v>0</v>
      </c>
      <c r="R306" s="56">
        <f>'Расчет субсидий'!X306-1</f>
        <v>0</v>
      </c>
      <c r="S306" s="56">
        <f>R306*'Расчет субсидий'!Y306</f>
        <v>0</v>
      </c>
      <c r="T306" s="57">
        <f t="shared" si="93"/>
        <v>0</v>
      </c>
      <c r="U306" s="56">
        <f t="shared" si="94"/>
        <v>-11.221414445785898</v>
      </c>
    </row>
    <row r="307" spans="1:21" ht="15" customHeight="1">
      <c r="A307" s="34" t="s">
        <v>300</v>
      </c>
      <c r="B307" s="54">
        <f>'Расчет субсидий'!AD307</f>
        <v>-35.572727272727292</v>
      </c>
      <c r="C307" s="56">
        <f>'Расчет субсидий'!D307-1</f>
        <v>-0.10960536113179453</v>
      </c>
      <c r="D307" s="56">
        <f>C307*'Расчет субсидий'!E307</f>
        <v>-1.0960536113179453</v>
      </c>
      <c r="E307" s="57">
        <f t="shared" si="90"/>
        <v>-3.3168884476559266</v>
      </c>
      <c r="F307" s="28" t="s">
        <v>375</v>
      </c>
      <c r="G307" s="28" t="s">
        <v>375</v>
      </c>
      <c r="H307" s="28" t="s">
        <v>375</v>
      </c>
      <c r="I307" s="28" t="s">
        <v>375</v>
      </c>
      <c r="J307" s="28" t="s">
        <v>375</v>
      </c>
      <c r="K307" s="28" t="s">
        <v>375</v>
      </c>
      <c r="L307" s="56">
        <f>'Расчет субсидий'!P307-1</f>
        <v>-0.53294117647058825</v>
      </c>
      <c r="M307" s="56">
        <f>L307*'Расчет субсидий'!Q307</f>
        <v>-10.658823529411766</v>
      </c>
      <c r="N307" s="57">
        <f t="shared" si="91"/>
        <v>-32.255838825071365</v>
      </c>
      <c r="O307" s="56">
        <f>'Расчет субсидий'!T307-1</f>
        <v>0</v>
      </c>
      <c r="P307" s="56">
        <f>O307*'Расчет субсидий'!U307</f>
        <v>0</v>
      </c>
      <c r="Q307" s="57">
        <f t="shared" si="92"/>
        <v>0</v>
      </c>
      <c r="R307" s="56">
        <f>'Расчет субсидий'!X307-1</f>
        <v>0</v>
      </c>
      <c r="S307" s="56">
        <f>R307*'Расчет субсидий'!Y307</f>
        <v>0</v>
      </c>
      <c r="T307" s="57">
        <f t="shared" si="93"/>
        <v>0</v>
      </c>
      <c r="U307" s="56">
        <f t="shared" si="94"/>
        <v>-11.754877140729711</v>
      </c>
    </row>
    <row r="308" spans="1:21" ht="15" customHeight="1">
      <c r="A308" s="34" t="s">
        <v>301</v>
      </c>
      <c r="B308" s="54">
        <f>'Расчет субсидий'!AD308</f>
        <v>1.8181818181818521E-2</v>
      </c>
      <c r="C308" s="56">
        <f>'Расчет субсидий'!D308-1</f>
        <v>0.13446015682595003</v>
      </c>
      <c r="D308" s="56">
        <f>C308*'Расчет субсидий'!E308</f>
        <v>1.3446015682595003</v>
      </c>
      <c r="E308" s="57">
        <f t="shared" si="90"/>
        <v>3.3791538371896288E-2</v>
      </c>
      <c r="F308" s="28" t="s">
        <v>375</v>
      </c>
      <c r="G308" s="28" t="s">
        <v>375</v>
      </c>
      <c r="H308" s="28" t="s">
        <v>375</v>
      </c>
      <c r="I308" s="28" t="s">
        <v>375</v>
      </c>
      <c r="J308" s="28" t="s">
        <v>375</v>
      </c>
      <c r="K308" s="28" t="s">
        <v>375</v>
      </c>
      <c r="L308" s="56">
        <f>'Расчет субсидий'!P308-1</f>
        <v>-3.1056375736250197E-2</v>
      </c>
      <c r="M308" s="56">
        <f>L308*'Расчет субсидий'!Q308</f>
        <v>-0.62112751472500394</v>
      </c>
      <c r="N308" s="57">
        <f t="shared" si="91"/>
        <v>-1.5609720190077763E-2</v>
      </c>
      <c r="O308" s="56">
        <f>'Расчет субсидий'!T308-1</f>
        <v>0</v>
      </c>
      <c r="P308" s="56">
        <f>O308*'Расчет субсидий'!U308</f>
        <v>0</v>
      </c>
      <c r="Q308" s="57">
        <f t="shared" si="92"/>
        <v>0</v>
      </c>
      <c r="R308" s="56">
        <f>'Расчет субсидий'!X308-1</f>
        <v>0</v>
      </c>
      <c r="S308" s="56">
        <f>R308*'Расчет субсидий'!Y308</f>
        <v>0</v>
      </c>
      <c r="T308" s="57">
        <f t="shared" si="93"/>
        <v>0</v>
      </c>
      <c r="U308" s="56">
        <f t="shared" si="94"/>
        <v>0.72347405353449634</v>
      </c>
    </row>
    <row r="309" spans="1:21" ht="15" customHeight="1">
      <c r="A309" s="34" t="s">
        <v>302</v>
      </c>
      <c r="B309" s="54">
        <f>'Расчет субсидий'!AD309</f>
        <v>19.454545454545467</v>
      </c>
      <c r="C309" s="56">
        <f>'Расчет субсидий'!D309-1</f>
        <v>0.23141935483870957</v>
      </c>
      <c r="D309" s="56">
        <f>C309*'Расчет субсидий'!E309</f>
        <v>2.3141935483870957</v>
      </c>
      <c r="E309" s="57">
        <f t="shared" si="90"/>
        <v>4.365529031082124</v>
      </c>
      <c r="F309" s="28" t="s">
        <v>375</v>
      </c>
      <c r="G309" s="28" t="s">
        <v>375</v>
      </c>
      <c r="H309" s="28" t="s">
        <v>375</v>
      </c>
      <c r="I309" s="28" t="s">
        <v>375</v>
      </c>
      <c r="J309" s="28" t="s">
        <v>375</v>
      </c>
      <c r="K309" s="28" t="s">
        <v>375</v>
      </c>
      <c r="L309" s="56">
        <f>'Расчет субсидий'!P309-1</f>
        <v>0.16615519508987298</v>
      </c>
      <c r="M309" s="56">
        <f>L309*'Расчет субсидий'!Q309</f>
        <v>3.3231039017974595</v>
      </c>
      <c r="N309" s="57">
        <f t="shared" si="91"/>
        <v>6.268752484730582</v>
      </c>
      <c r="O309" s="56">
        <f>'Расчет субсидий'!T309-1</f>
        <v>0.15585585585585604</v>
      </c>
      <c r="P309" s="56">
        <f>O309*'Расчет субсидий'!U309</f>
        <v>4.6756756756756808</v>
      </c>
      <c r="Q309" s="57">
        <f t="shared" si="92"/>
        <v>8.8202639387327615</v>
      </c>
      <c r="R309" s="56">
        <f>'Расчет субсидий'!X309-1</f>
        <v>0</v>
      </c>
      <c r="S309" s="56">
        <f>R309*'Расчет субсидий'!Y309</f>
        <v>0</v>
      </c>
      <c r="T309" s="57">
        <f t="shared" si="93"/>
        <v>0</v>
      </c>
      <c r="U309" s="56">
        <f t="shared" si="94"/>
        <v>10.312973125860236</v>
      </c>
    </row>
    <row r="310" spans="1:21" ht="15" customHeight="1">
      <c r="A310" s="34" t="s">
        <v>303</v>
      </c>
      <c r="B310" s="54">
        <f>'Расчет субсидий'!AD310</f>
        <v>18.672727272727286</v>
      </c>
      <c r="C310" s="56">
        <f>'Расчет субсидий'!D310-1</f>
        <v>5.588428665352918E-4</v>
      </c>
      <c r="D310" s="56">
        <f>C310*'Расчет субсидий'!E310</f>
        <v>5.588428665352918E-3</v>
      </c>
      <c r="E310" s="57">
        <f t="shared" si="90"/>
        <v>1.3542023822702264E-2</v>
      </c>
      <c r="F310" s="28" t="s">
        <v>375</v>
      </c>
      <c r="G310" s="28" t="s">
        <v>375</v>
      </c>
      <c r="H310" s="28" t="s">
        <v>375</v>
      </c>
      <c r="I310" s="28" t="s">
        <v>375</v>
      </c>
      <c r="J310" s="28" t="s">
        <v>375</v>
      </c>
      <c r="K310" s="28" t="s">
        <v>375</v>
      </c>
      <c r="L310" s="56">
        <f>'Расчет субсидий'!P310-1</f>
        <v>7.3207171314741082E-2</v>
      </c>
      <c r="M310" s="56">
        <f>L310*'Расчет субсидий'!Q310</f>
        <v>1.4641434262948216</v>
      </c>
      <c r="N310" s="57">
        <f t="shared" si="91"/>
        <v>3.5479499419333207</v>
      </c>
      <c r="O310" s="56">
        <f>'Расчет субсидий'!T310-1</f>
        <v>0.20786666666666664</v>
      </c>
      <c r="P310" s="56">
        <f>O310*'Расчет субсидий'!U310</f>
        <v>6.2359999999999989</v>
      </c>
      <c r="Q310" s="57">
        <f t="shared" si="92"/>
        <v>15.111235306971261</v>
      </c>
      <c r="R310" s="56">
        <f>'Расчет субсидий'!X310-1</f>
        <v>0</v>
      </c>
      <c r="S310" s="56">
        <f>R310*'Расчет субсидий'!Y310</f>
        <v>0</v>
      </c>
      <c r="T310" s="57">
        <f t="shared" si="93"/>
        <v>0</v>
      </c>
      <c r="U310" s="56">
        <f t="shared" si="94"/>
        <v>7.7057318549601739</v>
      </c>
    </row>
    <row r="311" spans="1:21" ht="15" customHeight="1">
      <c r="A311" s="34" t="s">
        <v>304</v>
      </c>
      <c r="B311" s="54">
        <f>'Расчет субсидий'!AD311</f>
        <v>-14.381818181818179</v>
      </c>
      <c r="C311" s="56">
        <f>'Расчет субсидий'!D311-1</f>
        <v>-0.15837232760794651</v>
      </c>
      <c r="D311" s="56">
        <f>C311*'Расчет субсидий'!E311</f>
        <v>-1.5837232760794651</v>
      </c>
      <c r="E311" s="57">
        <f t="shared" si="90"/>
        <v>-0.73476641875705107</v>
      </c>
      <c r="F311" s="28" t="s">
        <v>375</v>
      </c>
      <c r="G311" s="28" t="s">
        <v>375</v>
      </c>
      <c r="H311" s="28" t="s">
        <v>375</v>
      </c>
      <c r="I311" s="28" t="s">
        <v>375</v>
      </c>
      <c r="J311" s="28" t="s">
        <v>375</v>
      </c>
      <c r="K311" s="28" t="s">
        <v>375</v>
      </c>
      <c r="L311" s="56">
        <f>'Расчет субсидий'!P311-1</f>
        <v>-0.537416620344636</v>
      </c>
      <c r="M311" s="56">
        <f>L311*'Расчет субсидий'!Q311</f>
        <v>-10.74833240689272</v>
      </c>
      <c r="N311" s="57">
        <f t="shared" si="91"/>
        <v>-4.9866752793918359</v>
      </c>
      <c r="O311" s="56">
        <f>'Расчет субсидий'!T311-1</f>
        <v>-0.53333333333333344</v>
      </c>
      <c r="P311" s="56">
        <f>O311*'Расчет субсидий'!U311</f>
        <v>-18.666666666666671</v>
      </c>
      <c r="Q311" s="57">
        <f t="shared" si="92"/>
        <v>-8.6603764836692925</v>
      </c>
      <c r="R311" s="56">
        <f>'Расчет субсидий'!X311-1</f>
        <v>0</v>
      </c>
      <c r="S311" s="56">
        <f>R311*'Расчет субсидий'!Y311</f>
        <v>0</v>
      </c>
      <c r="T311" s="57">
        <f t="shared" si="93"/>
        <v>0</v>
      </c>
      <c r="U311" s="56">
        <f t="shared" si="94"/>
        <v>-30.998722349638857</v>
      </c>
    </row>
    <row r="312" spans="1:21" ht="15" customHeight="1">
      <c r="A312" s="33" t="s">
        <v>305</v>
      </c>
      <c r="B312" s="58"/>
      <c r="C312" s="59"/>
      <c r="D312" s="59"/>
      <c r="E312" s="60"/>
      <c r="F312" s="59"/>
      <c r="G312" s="59"/>
      <c r="H312" s="60"/>
      <c r="I312" s="60"/>
      <c r="J312" s="60"/>
      <c r="K312" s="60"/>
      <c r="L312" s="59"/>
      <c r="M312" s="59"/>
      <c r="N312" s="60"/>
      <c r="O312" s="59"/>
      <c r="P312" s="59"/>
      <c r="Q312" s="60"/>
      <c r="R312" s="59"/>
      <c r="S312" s="59"/>
      <c r="T312" s="60"/>
      <c r="U312" s="60"/>
    </row>
    <row r="313" spans="1:21" ht="15" customHeight="1">
      <c r="A313" s="34" t="s">
        <v>306</v>
      </c>
      <c r="B313" s="54">
        <f>'Расчет субсидий'!AD313</f>
        <v>8.5818181818181927</v>
      </c>
      <c r="C313" s="56">
        <f>'Расчет субсидий'!D313-1</f>
        <v>6.07661822985468E-2</v>
      </c>
      <c r="D313" s="56">
        <f>C313*'Расчет субсидий'!E313</f>
        <v>0.607661822985468</v>
      </c>
      <c r="E313" s="57">
        <f t="shared" ref="E313:E327" si="95">$B313*D313/$U313</f>
        <v>0.78921158809203573</v>
      </c>
      <c r="F313" s="28" t="s">
        <v>375</v>
      </c>
      <c r="G313" s="28" t="s">
        <v>375</v>
      </c>
      <c r="H313" s="28" t="s">
        <v>375</v>
      </c>
      <c r="I313" s="28" t="s">
        <v>375</v>
      </c>
      <c r="J313" s="28" t="s">
        <v>375</v>
      </c>
      <c r="K313" s="28" t="s">
        <v>375</v>
      </c>
      <c r="L313" s="56">
        <f>'Расчет субсидий'!P313-1</f>
        <v>0.30000000000000004</v>
      </c>
      <c r="M313" s="56">
        <f>L313*'Расчет субсидий'!Q313</f>
        <v>6.0000000000000009</v>
      </c>
      <c r="N313" s="57">
        <f t="shared" ref="N313:N327" si="96">$B313*M313/$U313</f>
        <v>7.7926065937261573</v>
      </c>
      <c r="O313" s="56">
        <f>'Расчет субсидий'!T313-1</f>
        <v>0</v>
      </c>
      <c r="P313" s="56">
        <f>O313*'Расчет субсидий'!U313</f>
        <v>0</v>
      </c>
      <c r="Q313" s="57">
        <f t="shared" ref="Q313:Q327" si="97">$B313*P313/$U313</f>
        <v>0</v>
      </c>
      <c r="R313" s="56">
        <f>'Расчет субсидий'!X313-1</f>
        <v>0</v>
      </c>
      <c r="S313" s="56">
        <f>R313*'Расчет субсидий'!Y313</f>
        <v>0</v>
      </c>
      <c r="T313" s="57">
        <f t="shared" ref="T313:T327" si="98">$B313*S313/$U313</f>
        <v>0</v>
      </c>
      <c r="U313" s="56">
        <f t="shared" si="94"/>
        <v>6.6076618229854684</v>
      </c>
    </row>
    <row r="314" spans="1:21" ht="15" customHeight="1">
      <c r="A314" s="34" t="s">
        <v>307</v>
      </c>
      <c r="B314" s="54">
        <f>'Расчет субсидий'!AD314</f>
        <v>-1.1090909090909093</v>
      </c>
      <c r="C314" s="56">
        <f>'Расчет субсидий'!D314-1</f>
        <v>-0.53183864167283912</v>
      </c>
      <c r="D314" s="56">
        <f>C314*'Расчет субсидий'!E314</f>
        <v>-5.3183864167283907</v>
      </c>
      <c r="E314" s="57">
        <f t="shared" si="95"/>
        <v>-0.50790303939774029</v>
      </c>
      <c r="F314" s="28" t="s">
        <v>375</v>
      </c>
      <c r="G314" s="28" t="s">
        <v>375</v>
      </c>
      <c r="H314" s="28" t="s">
        <v>375</v>
      </c>
      <c r="I314" s="28" t="s">
        <v>375</v>
      </c>
      <c r="J314" s="28" t="s">
        <v>375</v>
      </c>
      <c r="K314" s="28" t="s">
        <v>375</v>
      </c>
      <c r="L314" s="56">
        <f>'Расчет субсидий'!P314-1</f>
        <v>-0.27791771620486982</v>
      </c>
      <c r="M314" s="56">
        <f>L314*'Расчет субсидий'!Q314</f>
        <v>-5.5583543240973965</v>
      </c>
      <c r="N314" s="57">
        <f t="shared" si="96"/>
        <v>-0.53081984535363558</v>
      </c>
      <c r="O314" s="56">
        <f>'Расчет субсидий'!T314-1</f>
        <v>0.18421052631578938</v>
      </c>
      <c r="P314" s="56">
        <f>O314*'Расчет субсидий'!U314</f>
        <v>2.7631578947368407</v>
      </c>
      <c r="Q314" s="57">
        <f t="shared" si="97"/>
        <v>0.26388009127325035</v>
      </c>
      <c r="R314" s="56">
        <f>'Расчет субсидий'!X314-1</f>
        <v>-9.9999999999999978E-2</v>
      </c>
      <c r="S314" s="56">
        <f>R314*'Расчет субсидий'!Y314</f>
        <v>-3.4999999999999991</v>
      </c>
      <c r="T314" s="57">
        <f t="shared" si="98"/>
        <v>-0.33424811561278389</v>
      </c>
      <c r="U314" s="56">
        <f t="shared" si="94"/>
        <v>-11.613582846088946</v>
      </c>
    </row>
    <row r="315" spans="1:21" ht="15" customHeight="1">
      <c r="A315" s="34" t="s">
        <v>308</v>
      </c>
      <c r="B315" s="54">
        <f>'Расчет субсидий'!AD315</f>
        <v>-0.3545454545454545</v>
      </c>
      <c r="C315" s="56">
        <f>'Расчет субсидий'!D315-1</f>
        <v>-0.17343173431734316</v>
      </c>
      <c r="D315" s="56">
        <f>C315*'Расчет субсидий'!E315</f>
        <v>-1.7343173431734316</v>
      </c>
      <c r="E315" s="57">
        <f t="shared" si="95"/>
        <v>-0.12360747562140745</v>
      </c>
      <c r="F315" s="28" t="s">
        <v>375</v>
      </c>
      <c r="G315" s="28" t="s">
        <v>375</v>
      </c>
      <c r="H315" s="28" t="s">
        <v>375</v>
      </c>
      <c r="I315" s="28" t="s">
        <v>375</v>
      </c>
      <c r="J315" s="28" t="s">
        <v>375</v>
      </c>
      <c r="K315" s="28" t="s">
        <v>375</v>
      </c>
      <c r="L315" s="56">
        <f>'Расчет субсидий'!P315-1</f>
        <v>-0.4820127504553734</v>
      </c>
      <c r="M315" s="56">
        <f>L315*'Расчет субсидий'!Q315</f>
        <v>-9.6402550091074684</v>
      </c>
      <c r="N315" s="57">
        <f t="shared" si="96"/>
        <v>-0.68707586342993854</v>
      </c>
      <c r="O315" s="56">
        <f>'Расчет субсидий'!T315-1</f>
        <v>0</v>
      </c>
      <c r="P315" s="56">
        <f>O315*'Расчет субсидий'!U315</f>
        <v>0</v>
      </c>
      <c r="Q315" s="57">
        <f t="shared" si="97"/>
        <v>0</v>
      </c>
      <c r="R315" s="56">
        <f>'Расчет субсидий'!X315-1</f>
        <v>0.15999999999999992</v>
      </c>
      <c r="S315" s="56">
        <f>R315*'Расчет субсидий'!Y315</f>
        <v>6.3999999999999968</v>
      </c>
      <c r="T315" s="57">
        <f t="shared" si="98"/>
        <v>0.45613788450589149</v>
      </c>
      <c r="U315" s="56">
        <f t="shared" si="94"/>
        <v>-4.9745723522809033</v>
      </c>
    </row>
    <row r="316" spans="1:21" ht="15" customHeight="1">
      <c r="A316" s="34" t="s">
        <v>309</v>
      </c>
      <c r="B316" s="54">
        <f>'Расчет субсидий'!AD316</f>
        <v>18.645454545454541</v>
      </c>
      <c r="C316" s="56">
        <f>'Расчет субсидий'!D316-1</f>
        <v>0.20923076923076911</v>
      </c>
      <c r="D316" s="56">
        <f>C316*'Расчет субсидий'!E316</f>
        <v>2.0923076923076911</v>
      </c>
      <c r="E316" s="57">
        <f t="shared" si="95"/>
        <v>3.3023992422865729</v>
      </c>
      <c r="F316" s="28" t="s">
        <v>375</v>
      </c>
      <c r="G316" s="28" t="s">
        <v>375</v>
      </c>
      <c r="H316" s="28" t="s">
        <v>375</v>
      </c>
      <c r="I316" s="28" t="s">
        <v>375</v>
      </c>
      <c r="J316" s="28" t="s">
        <v>375</v>
      </c>
      <c r="K316" s="28" t="s">
        <v>375</v>
      </c>
      <c r="L316" s="56">
        <f>'Расчет субсидий'!P316-1</f>
        <v>0.30000000000000004</v>
      </c>
      <c r="M316" s="56">
        <f>L316*'Расчет субсидий'!Q316</f>
        <v>6.0000000000000009</v>
      </c>
      <c r="N316" s="57">
        <f t="shared" si="96"/>
        <v>9.4701154742041496</v>
      </c>
      <c r="O316" s="56">
        <f>'Расчет субсидий'!T316-1</f>
        <v>0.18604651162790709</v>
      </c>
      <c r="P316" s="56">
        <f>O316*'Расчет субсидий'!U316</f>
        <v>3.7209302325581417</v>
      </c>
      <c r="Q316" s="57">
        <f t="shared" si="97"/>
        <v>5.8729398289638173</v>
      </c>
      <c r="R316" s="56">
        <f>'Расчет субсидий'!X316-1</f>
        <v>0</v>
      </c>
      <c r="S316" s="56">
        <f>R316*'Расчет субсидий'!Y316</f>
        <v>0</v>
      </c>
      <c r="T316" s="57">
        <f t="shared" si="98"/>
        <v>0</v>
      </c>
      <c r="U316" s="56">
        <f t="shared" si="94"/>
        <v>11.813237924865835</v>
      </c>
    </row>
    <row r="317" spans="1:21" ht="15" customHeight="1">
      <c r="A317" s="34" t="s">
        <v>310</v>
      </c>
      <c r="B317" s="54">
        <f>'Расчет субсидий'!AD317</f>
        <v>1.1909090909090878</v>
      </c>
      <c r="C317" s="56">
        <f>'Расчет субсидий'!D317-1</f>
        <v>-1</v>
      </c>
      <c r="D317" s="56">
        <f>C317*'Расчет субсидий'!E317</f>
        <v>0</v>
      </c>
      <c r="E317" s="57">
        <f t="shared" si="95"/>
        <v>0</v>
      </c>
      <c r="F317" s="28" t="s">
        <v>375</v>
      </c>
      <c r="G317" s="28" t="s">
        <v>375</v>
      </c>
      <c r="H317" s="28" t="s">
        <v>375</v>
      </c>
      <c r="I317" s="28" t="s">
        <v>375</v>
      </c>
      <c r="J317" s="28" t="s">
        <v>375</v>
      </c>
      <c r="K317" s="28" t="s">
        <v>375</v>
      </c>
      <c r="L317" s="56">
        <f>'Расчет субсидий'!P317-1</f>
        <v>-0.1875</v>
      </c>
      <c r="M317" s="56">
        <f>L317*'Расчет субсидий'!Q317</f>
        <v>-3.75</v>
      </c>
      <c r="N317" s="57">
        <f t="shared" si="96"/>
        <v>-6.4958677685950157</v>
      </c>
      <c r="O317" s="56">
        <f>'Расчет субсидий'!T317-1</f>
        <v>0.22187500000000004</v>
      </c>
      <c r="P317" s="56">
        <f>O317*'Расчет субсидий'!U317</f>
        <v>4.4375000000000009</v>
      </c>
      <c r="Q317" s="57">
        <f t="shared" si="97"/>
        <v>7.6867768595041035</v>
      </c>
      <c r="R317" s="56">
        <f>'Расчет субсидий'!X317-1</f>
        <v>0</v>
      </c>
      <c r="S317" s="56">
        <f>R317*'Расчет субсидий'!Y317</f>
        <v>0</v>
      </c>
      <c r="T317" s="57">
        <f t="shared" si="98"/>
        <v>0</v>
      </c>
      <c r="U317" s="56">
        <f t="shared" si="94"/>
        <v>0.68750000000000089</v>
      </c>
    </row>
    <row r="318" spans="1:21" ht="15" customHeight="1">
      <c r="A318" s="34" t="s">
        <v>311</v>
      </c>
      <c r="B318" s="54">
        <f>'Расчет субсидий'!AD318</f>
        <v>19.509090909090901</v>
      </c>
      <c r="C318" s="56">
        <f>'Расчет субсидий'!D318-1</f>
        <v>0.26300515463917518</v>
      </c>
      <c r="D318" s="56">
        <f>C318*'Расчет субсидий'!E318</f>
        <v>2.6300515463917518</v>
      </c>
      <c r="E318" s="57">
        <f t="shared" si="95"/>
        <v>3.0350117830166257</v>
      </c>
      <c r="F318" s="28" t="s">
        <v>375</v>
      </c>
      <c r="G318" s="28" t="s">
        <v>375</v>
      </c>
      <c r="H318" s="28" t="s">
        <v>375</v>
      </c>
      <c r="I318" s="28" t="s">
        <v>375</v>
      </c>
      <c r="J318" s="28" t="s">
        <v>375</v>
      </c>
      <c r="K318" s="28" t="s">
        <v>375</v>
      </c>
      <c r="L318" s="56">
        <f>'Расчет субсидий'!P318-1</f>
        <v>0.19290465631929044</v>
      </c>
      <c r="M318" s="56">
        <f>L318*'Расчет субсидий'!Q318</f>
        <v>3.8580931263858087</v>
      </c>
      <c r="N318" s="57">
        <f t="shared" si="96"/>
        <v>4.452140154675222</v>
      </c>
      <c r="O318" s="56">
        <f>'Расчет субсидий'!T318-1</f>
        <v>0.15714285714285725</v>
      </c>
      <c r="P318" s="56">
        <f>O318*'Расчет субсидий'!U318</f>
        <v>3.142857142857145</v>
      </c>
      <c r="Q318" s="57">
        <f t="shared" si="97"/>
        <v>3.6267762409431521</v>
      </c>
      <c r="R318" s="56">
        <f>'Расчет субсидий'!X318-1</f>
        <v>0.24249999999999994</v>
      </c>
      <c r="S318" s="56">
        <f>R318*'Расчет субсидий'!Y318</f>
        <v>7.2749999999999986</v>
      </c>
      <c r="T318" s="57">
        <f t="shared" si="98"/>
        <v>8.3951627304559029</v>
      </c>
      <c r="U318" s="56">
        <f t="shared" si="94"/>
        <v>16.906001815634703</v>
      </c>
    </row>
    <row r="319" spans="1:21" ht="15" customHeight="1">
      <c r="A319" s="34" t="s">
        <v>312</v>
      </c>
      <c r="B319" s="54">
        <f>'Расчет субсидий'!AD319</f>
        <v>10.454545454545467</v>
      </c>
      <c r="C319" s="56">
        <f>'Расчет субсидий'!D319-1</f>
        <v>-0.11888745148771018</v>
      </c>
      <c r="D319" s="56">
        <f>C319*'Расчет субсидий'!E319</f>
        <v>-1.1888745148771018</v>
      </c>
      <c r="E319" s="57">
        <f t="shared" si="95"/>
        <v>-2.583416852037451</v>
      </c>
      <c r="F319" s="28" t="s">
        <v>375</v>
      </c>
      <c r="G319" s="28" t="s">
        <v>375</v>
      </c>
      <c r="H319" s="28" t="s">
        <v>375</v>
      </c>
      <c r="I319" s="28" t="s">
        <v>375</v>
      </c>
      <c r="J319" s="28" t="s">
        <v>375</v>
      </c>
      <c r="K319" s="28" t="s">
        <v>375</v>
      </c>
      <c r="L319" s="56">
        <f>'Расчет субсидий'!P319-1</f>
        <v>0.30000000000000004</v>
      </c>
      <c r="M319" s="56">
        <f>L319*'Расчет субсидий'!Q319</f>
        <v>6.0000000000000009</v>
      </c>
      <c r="N319" s="57">
        <f t="shared" si="96"/>
        <v>13.037962306582918</v>
      </c>
      <c r="O319" s="56">
        <f>'Расчет субсидий'!T319-1</f>
        <v>0</v>
      </c>
      <c r="P319" s="56">
        <f>O319*'Расчет субсидий'!U319</f>
        <v>0</v>
      </c>
      <c r="Q319" s="57">
        <f t="shared" si="97"/>
        <v>0</v>
      </c>
      <c r="R319" s="56">
        <f>'Расчет субсидий'!X319-1</f>
        <v>0</v>
      </c>
      <c r="S319" s="56">
        <f>R319*'Расчет субсидий'!Y319</f>
        <v>0</v>
      </c>
      <c r="T319" s="57">
        <f t="shared" si="98"/>
        <v>0</v>
      </c>
      <c r="U319" s="56">
        <f t="shared" si="94"/>
        <v>4.8111254851228988</v>
      </c>
    </row>
    <row r="320" spans="1:21" ht="15" customHeight="1">
      <c r="A320" s="34" t="s">
        <v>313</v>
      </c>
      <c r="B320" s="54">
        <f>'Расчет субсидий'!AD320</f>
        <v>-10.727272727272727</v>
      </c>
      <c r="C320" s="56">
        <f>'Расчет субсидий'!D320-1</f>
        <v>7.277777777777783E-2</v>
      </c>
      <c r="D320" s="56">
        <f>C320*'Расчет субсидий'!E320</f>
        <v>0.7277777777777783</v>
      </c>
      <c r="E320" s="57">
        <f t="shared" si="95"/>
        <v>0.26114902093854964</v>
      </c>
      <c r="F320" s="28" t="s">
        <v>375</v>
      </c>
      <c r="G320" s="28" t="s">
        <v>375</v>
      </c>
      <c r="H320" s="28" t="s">
        <v>375</v>
      </c>
      <c r="I320" s="28" t="s">
        <v>375</v>
      </c>
      <c r="J320" s="28" t="s">
        <v>375</v>
      </c>
      <c r="K320" s="28" t="s">
        <v>375</v>
      </c>
      <c r="L320" s="56">
        <f>'Расчет субсидий'!P320-1</f>
        <v>-0.50714285714285712</v>
      </c>
      <c r="M320" s="56">
        <f>L320*'Расчет субсидий'!Q320</f>
        <v>-10.142857142857142</v>
      </c>
      <c r="N320" s="57">
        <f t="shared" si="96"/>
        <v>-3.6395686887618988</v>
      </c>
      <c r="O320" s="56">
        <f>'Расчет субсидий'!T320-1</f>
        <v>-1.5999999999999903E-2</v>
      </c>
      <c r="P320" s="56">
        <f>O320*'Расчет субсидий'!U320</f>
        <v>-0.4799999999999971</v>
      </c>
      <c r="Q320" s="57">
        <f t="shared" si="97"/>
        <v>-0.17223874358084376</v>
      </c>
      <c r="R320" s="56">
        <f>'Расчет субсидий'!X320-1</f>
        <v>-1</v>
      </c>
      <c r="S320" s="56">
        <f>R320*'Расчет субсидий'!Y320</f>
        <v>-20</v>
      </c>
      <c r="T320" s="57">
        <f t="shared" si="98"/>
        <v>-7.1766143158685338</v>
      </c>
      <c r="U320" s="56">
        <f t="shared" si="94"/>
        <v>-29.895079365079361</v>
      </c>
    </row>
    <row r="321" spans="1:21" ht="15" customHeight="1">
      <c r="A321" s="34" t="s">
        <v>314</v>
      </c>
      <c r="B321" s="54">
        <f>'Расчет субсидий'!AD321</f>
        <v>-4.081818181818182</v>
      </c>
      <c r="C321" s="56">
        <f>'Расчет субсидий'!D321-1</f>
        <v>-1</v>
      </c>
      <c r="D321" s="56">
        <f>C321*'Расчет субсидий'!E321</f>
        <v>0</v>
      </c>
      <c r="E321" s="57">
        <f t="shared" si="95"/>
        <v>0</v>
      </c>
      <c r="F321" s="28" t="s">
        <v>375</v>
      </c>
      <c r="G321" s="28" t="s">
        <v>375</v>
      </c>
      <c r="H321" s="28" t="s">
        <v>375</v>
      </c>
      <c r="I321" s="28" t="s">
        <v>375</v>
      </c>
      <c r="J321" s="28" t="s">
        <v>375</v>
      </c>
      <c r="K321" s="28" t="s">
        <v>375</v>
      </c>
      <c r="L321" s="56">
        <f>'Расчет субсидий'!P321-1</f>
        <v>-0.44731774415405778</v>
      </c>
      <c r="M321" s="56">
        <f>L321*'Расчет субсидий'!Q321</f>
        <v>-8.9463548830811561</v>
      </c>
      <c r="N321" s="57">
        <f t="shared" si="96"/>
        <v>-4.0101000336155144</v>
      </c>
      <c r="O321" s="56">
        <f>'Расчет субсидий'!T321-1</f>
        <v>-1.5999999999999903E-2</v>
      </c>
      <c r="P321" s="56">
        <f>O321*'Расчет субсидий'!U321</f>
        <v>-0.15999999999999903</v>
      </c>
      <c r="Q321" s="57">
        <f t="shared" si="97"/>
        <v>-7.1718148202668169E-2</v>
      </c>
      <c r="R321" s="56">
        <f>'Расчет субсидий'!X321-1</f>
        <v>0</v>
      </c>
      <c r="S321" s="56">
        <f>R321*'Расчет субсидий'!Y321</f>
        <v>0</v>
      </c>
      <c r="T321" s="57">
        <f t="shared" si="98"/>
        <v>0</v>
      </c>
      <c r="U321" s="56">
        <f t="shared" si="94"/>
        <v>-9.1063548830811545</v>
      </c>
    </row>
    <row r="322" spans="1:21" ht="15" customHeight="1">
      <c r="A322" s="34" t="s">
        <v>315</v>
      </c>
      <c r="B322" s="54">
        <f>'Расчет субсидий'!AD322</f>
        <v>1.872727272727273</v>
      </c>
      <c r="C322" s="56">
        <f>'Расчет субсидий'!D322-1</f>
        <v>-1</v>
      </c>
      <c r="D322" s="56">
        <f>C322*'Расчет субсидий'!E322</f>
        <v>0</v>
      </c>
      <c r="E322" s="57">
        <f t="shared" si="95"/>
        <v>0</v>
      </c>
      <c r="F322" s="28" t="s">
        <v>375</v>
      </c>
      <c r="G322" s="28" t="s">
        <v>375</v>
      </c>
      <c r="H322" s="28" t="s">
        <v>375</v>
      </c>
      <c r="I322" s="28" t="s">
        <v>375</v>
      </c>
      <c r="J322" s="28" t="s">
        <v>375</v>
      </c>
      <c r="K322" s="28" t="s">
        <v>375</v>
      </c>
      <c r="L322" s="56">
        <f>'Расчет субсидий'!P322-1</f>
        <v>0.26342303552206658</v>
      </c>
      <c r="M322" s="56">
        <f>L322*'Расчет субсидий'!Q322</f>
        <v>5.2684607104413317</v>
      </c>
      <c r="N322" s="57">
        <f t="shared" si="96"/>
        <v>0.94852772668004193</v>
      </c>
      <c r="O322" s="56">
        <f>'Расчет субсидий'!T322-1</f>
        <v>0.12833333333333341</v>
      </c>
      <c r="P322" s="56">
        <f>O322*'Расчет субсидий'!U322</f>
        <v>5.1333333333333364</v>
      </c>
      <c r="Q322" s="57">
        <f t="shared" si="97"/>
        <v>0.92419954604723109</v>
      </c>
      <c r="R322" s="56">
        <f>'Расчет субсидий'!X322-1</f>
        <v>0</v>
      </c>
      <c r="S322" s="56">
        <f>R322*'Расчет субсидий'!Y322</f>
        <v>0</v>
      </c>
      <c r="T322" s="57">
        <f t="shared" si="98"/>
        <v>0</v>
      </c>
      <c r="U322" s="56">
        <f t="shared" si="94"/>
        <v>10.401794043774668</v>
      </c>
    </row>
    <row r="323" spans="1:21" ht="15" customHeight="1">
      <c r="A323" s="34" t="s">
        <v>316</v>
      </c>
      <c r="B323" s="54">
        <f>'Расчет субсидий'!AD323</f>
        <v>19.927272727272708</v>
      </c>
      <c r="C323" s="56">
        <f>'Расчет субсидий'!D323-1</f>
        <v>4.2857142857142927E-2</v>
      </c>
      <c r="D323" s="56">
        <f>C323*'Расчет субсидий'!E323</f>
        <v>0.42857142857142927</v>
      </c>
      <c r="E323" s="57">
        <f t="shared" si="95"/>
        <v>0.70254064701365493</v>
      </c>
      <c r="F323" s="28" t="s">
        <v>375</v>
      </c>
      <c r="G323" s="28" t="s">
        <v>375</v>
      </c>
      <c r="H323" s="28" t="s">
        <v>375</v>
      </c>
      <c r="I323" s="28" t="s">
        <v>375</v>
      </c>
      <c r="J323" s="28" t="s">
        <v>375</v>
      </c>
      <c r="K323" s="28" t="s">
        <v>375</v>
      </c>
      <c r="L323" s="56">
        <f>'Расчет субсидий'!P323-1</f>
        <v>6.1383928571428603E-2</v>
      </c>
      <c r="M323" s="56">
        <f>L323*'Расчет субсидий'!Q323</f>
        <v>1.2276785714285721</v>
      </c>
      <c r="N323" s="57">
        <f t="shared" si="96"/>
        <v>2.0124862284245304</v>
      </c>
      <c r="O323" s="56">
        <f>'Расчет субсидий'!T323-1</f>
        <v>0</v>
      </c>
      <c r="P323" s="56">
        <f>O323*'Расчет субсидий'!U323</f>
        <v>0</v>
      </c>
      <c r="Q323" s="57">
        <f t="shared" si="97"/>
        <v>0</v>
      </c>
      <c r="R323" s="56">
        <f>'Расчет субсидий'!X323-1</f>
        <v>0.30000000000000004</v>
      </c>
      <c r="S323" s="56">
        <f>R323*'Расчет субсидий'!Y323</f>
        <v>10.500000000000002</v>
      </c>
      <c r="T323" s="57">
        <f t="shared" si="98"/>
        <v>17.212245851834524</v>
      </c>
      <c r="U323" s="56">
        <f t="shared" si="94"/>
        <v>12.156250000000004</v>
      </c>
    </row>
    <row r="324" spans="1:21" ht="15" customHeight="1">
      <c r="A324" s="34" t="s">
        <v>317</v>
      </c>
      <c r="B324" s="54">
        <f>'Расчет субсидий'!AD324</f>
        <v>-1.4636363636363683</v>
      </c>
      <c r="C324" s="56">
        <f>'Расчет субсидий'!D324-1</f>
        <v>8.5499999999999909E-2</v>
      </c>
      <c r="D324" s="56">
        <f>C324*'Расчет субсидий'!E324</f>
        <v>0.85499999999999909</v>
      </c>
      <c r="E324" s="57">
        <f t="shared" si="95"/>
        <v>1.7855924165478858</v>
      </c>
      <c r="F324" s="28" t="s">
        <v>375</v>
      </c>
      <c r="G324" s="28" t="s">
        <v>375</v>
      </c>
      <c r="H324" s="28" t="s">
        <v>375</v>
      </c>
      <c r="I324" s="28" t="s">
        <v>375</v>
      </c>
      <c r="J324" s="28" t="s">
        <v>375</v>
      </c>
      <c r="K324" s="28" t="s">
        <v>375</v>
      </c>
      <c r="L324" s="56">
        <f>'Расчет субсидий'!P324-1</f>
        <v>-0.25961002785515319</v>
      </c>
      <c r="M324" s="56">
        <f>L324*'Расчет субсидий'!Q324</f>
        <v>-5.1922005571030638</v>
      </c>
      <c r="N324" s="57">
        <f t="shared" si="96"/>
        <v>-10.843454900536781</v>
      </c>
      <c r="O324" s="56">
        <f>'Расчет субсидий'!T324-1</f>
        <v>0.18181818181818188</v>
      </c>
      <c r="P324" s="56">
        <f>O324*'Расчет субсидий'!U324</f>
        <v>3.6363636363636376</v>
      </c>
      <c r="Q324" s="57">
        <f t="shared" si="97"/>
        <v>7.5942261203525279</v>
      </c>
      <c r="R324" s="56">
        <f>'Расчет субсидий'!X324-1</f>
        <v>0</v>
      </c>
      <c r="S324" s="56">
        <f>R324*'Расчет субсидий'!Y324</f>
        <v>0</v>
      </c>
      <c r="T324" s="57">
        <f t="shared" si="98"/>
        <v>0</v>
      </c>
      <c r="U324" s="56">
        <f t="shared" si="94"/>
        <v>-0.7008369207394276</v>
      </c>
    </row>
    <row r="325" spans="1:21" ht="15" customHeight="1">
      <c r="A325" s="34" t="s">
        <v>318</v>
      </c>
      <c r="B325" s="54">
        <f>'Расчет субсидий'!AD325</f>
        <v>-32.25454545454545</v>
      </c>
      <c r="C325" s="56">
        <f>'Расчет субсидий'!D325-1</f>
        <v>-1</v>
      </c>
      <c r="D325" s="56">
        <f>C325*'Расчет субсидий'!E325</f>
        <v>0</v>
      </c>
      <c r="E325" s="57">
        <f t="shared" si="95"/>
        <v>0</v>
      </c>
      <c r="F325" s="28" t="s">
        <v>375</v>
      </c>
      <c r="G325" s="28" t="s">
        <v>375</v>
      </c>
      <c r="H325" s="28" t="s">
        <v>375</v>
      </c>
      <c r="I325" s="28" t="s">
        <v>375</v>
      </c>
      <c r="J325" s="28" t="s">
        <v>375</v>
      </c>
      <c r="K325" s="28" t="s">
        <v>375</v>
      </c>
      <c r="L325" s="56">
        <f>'Расчет субсидий'!P325-1</f>
        <v>-0.9140387191038597</v>
      </c>
      <c r="M325" s="56">
        <f>L325*'Расчет субсидий'!Q325</f>
        <v>-18.280774382077194</v>
      </c>
      <c r="N325" s="57">
        <f t="shared" si="96"/>
        <v>-32.25454545454545</v>
      </c>
      <c r="O325" s="56">
        <f>'Расчет субсидий'!T325-1</f>
        <v>0</v>
      </c>
      <c r="P325" s="56">
        <f>O325*'Расчет субсидий'!U325</f>
        <v>0</v>
      </c>
      <c r="Q325" s="57">
        <f t="shared" si="97"/>
        <v>0</v>
      </c>
      <c r="R325" s="56">
        <f>'Расчет субсидий'!X325-1</f>
        <v>0</v>
      </c>
      <c r="S325" s="56">
        <f>R325*'Расчет субсидий'!Y325</f>
        <v>0</v>
      </c>
      <c r="T325" s="57">
        <f t="shared" si="98"/>
        <v>0</v>
      </c>
      <c r="U325" s="56">
        <f t="shared" si="94"/>
        <v>-18.280774382077194</v>
      </c>
    </row>
    <row r="326" spans="1:21" ht="15" customHeight="1">
      <c r="A326" s="34" t="s">
        <v>319</v>
      </c>
      <c r="B326" s="54">
        <f>'Расчет субсидий'!AD326</f>
        <v>-2.8545454545454731</v>
      </c>
      <c r="C326" s="56">
        <f>'Расчет субсидий'!D326-1</f>
        <v>-0.37426229508196718</v>
      </c>
      <c r="D326" s="56">
        <f>C326*'Расчет субсидий'!E326</f>
        <v>-3.7426229508196718</v>
      </c>
      <c r="E326" s="57">
        <f t="shared" si="95"/>
        <v>-10.795721760746577</v>
      </c>
      <c r="F326" s="28" t="s">
        <v>375</v>
      </c>
      <c r="G326" s="28" t="s">
        <v>375</v>
      </c>
      <c r="H326" s="28" t="s">
        <v>375</v>
      </c>
      <c r="I326" s="28" t="s">
        <v>375</v>
      </c>
      <c r="J326" s="28" t="s">
        <v>375</v>
      </c>
      <c r="K326" s="28" t="s">
        <v>375</v>
      </c>
      <c r="L326" s="56">
        <f>'Расчет субсидий'!P326-1</f>
        <v>-9.0206185567010322E-2</v>
      </c>
      <c r="M326" s="56">
        <f>L326*'Расчет субсидий'!Q326</f>
        <v>-1.8041237113402064</v>
      </c>
      <c r="N326" s="57">
        <f t="shared" si="96"/>
        <v>-5.2040555154851296</v>
      </c>
      <c r="O326" s="56">
        <f>'Расчет субсидий'!T326-1</f>
        <v>3.8928571428571423E-2</v>
      </c>
      <c r="P326" s="56">
        <f>O326*'Расчет субсидий'!U326</f>
        <v>1.5571428571428569</v>
      </c>
      <c r="Q326" s="57">
        <f t="shared" si="97"/>
        <v>4.4916309359366737</v>
      </c>
      <c r="R326" s="56">
        <f>'Расчет субсидий'!X326-1</f>
        <v>0.30000000000000004</v>
      </c>
      <c r="S326" s="56">
        <f>R326*'Расчет субсидий'!Y326</f>
        <v>3.0000000000000004</v>
      </c>
      <c r="T326" s="57">
        <f t="shared" si="98"/>
        <v>8.6536008857495581</v>
      </c>
      <c r="U326" s="56">
        <f t="shared" si="94"/>
        <v>-0.98960380501702039</v>
      </c>
    </row>
    <row r="327" spans="1:21" ht="15" customHeight="1">
      <c r="A327" s="34" t="s">
        <v>320</v>
      </c>
      <c r="B327" s="54">
        <f>'Расчет субсидий'!AD327</f>
        <v>-1.3727272727272748</v>
      </c>
      <c r="C327" s="56">
        <f>'Расчет субсидий'!D327-1</f>
        <v>-1</v>
      </c>
      <c r="D327" s="56">
        <f>C327*'Расчет субсидий'!E327</f>
        <v>0</v>
      </c>
      <c r="E327" s="57">
        <f t="shared" si="95"/>
        <v>0</v>
      </c>
      <c r="F327" s="28" t="s">
        <v>375</v>
      </c>
      <c r="G327" s="28" t="s">
        <v>375</v>
      </c>
      <c r="H327" s="28" t="s">
        <v>375</v>
      </c>
      <c r="I327" s="28" t="s">
        <v>375</v>
      </c>
      <c r="J327" s="28" t="s">
        <v>375</v>
      </c>
      <c r="K327" s="28" t="s">
        <v>375</v>
      </c>
      <c r="L327" s="56">
        <f>'Расчет субсидий'!P327-1</f>
        <v>-0.14144411473788321</v>
      </c>
      <c r="M327" s="56">
        <f>L327*'Расчет субсидий'!Q327</f>
        <v>-2.8288822947576642</v>
      </c>
      <c r="N327" s="57">
        <f t="shared" si="96"/>
        <v>-1.3727272727272748</v>
      </c>
      <c r="O327" s="56">
        <f>'Расчет субсидий'!T327-1</f>
        <v>0</v>
      </c>
      <c r="P327" s="56">
        <f>O327*'Расчет субсидий'!U327</f>
        <v>0</v>
      </c>
      <c r="Q327" s="57">
        <f t="shared" si="97"/>
        <v>0</v>
      </c>
      <c r="R327" s="56">
        <f>'Расчет субсидий'!X327-1</f>
        <v>0</v>
      </c>
      <c r="S327" s="56">
        <f>R327*'Расчет субсидий'!Y327</f>
        <v>0</v>
      </c>
      <c r="T327" s="57">
        <f t="shared" si="98"/>
        <v>0</v>
      </c>
      <c r="U327" s="56">
        <f t="shared" si="94"/>
        <v>-2.8288822947576642</v>
      </c>
    </row>
    <row r="328" spans="1:21" ht="15" customHeight="1">
      <c r="A328" s="33" t="s">
        <v>321</v>
      </c>
      <c r="B328" s="58"/>
      <c r="C328" s="59"/>
      <c r="D328" s="59"/>
      <c r="E328" s="60"/>
      <c r="F328" s="59"/>
      <c r="G328" s="59"/>
      <c r="H328" s="60"/>
      <c r="I328" s="60"/>
      <c r="J328" s="60"/>
      <c r="K328" s="60"/>
      <c r="L328" s="59"/>
      <c r="M328" s="59"/>
      <c r="N328" s="60"/>
      <c r="O328" s="59"/>
      <c r="P328" s="59"/>
      <c r="Q328" s="60"/>
      <c r="R328" s="59"/>
      <c r="S328" s="59"/>
      <c r="T328" s="60"/>
      <c r="U328" s="60"/>
    </row>
    <row r="329" spans="1:21" ht="15" customHeight="1">
      <c r="A329" s="34" t="s">
        <v>322</v>
      </c>
      <c r="B329" s="54">
        <f>'Расчет субсидий'!AD329</f>
        <v>-20.072727272727292</v>
      </c>
      <c r="C329" s="56">
        <f>'Расчет субсидий'!D329-1</f>
        <v>0.14736842105263159</v>
      </c>
      <c r="D329" s="56">
        <f>C329*'Расчет субсидий'!E329</f>
        <v>1.4736842105263159</v>
      </c>
      <c r="E329" s="57">
        <f t="shared" ref="E329:E339" si="99">$B329*D329/$U329</f>
        <v>3.630654791034555</v>
      </c>
      <c r="F329" s="28" t="s">
        <v>375</v>
      </c>
      <c r="G329" s="28" t="s">
        <v>375</v>
      </c>
      <c r="H329" s="28" t="s">
        <v>375</v>
      </c>
      <c r="I329" s="28" t="s">
        <v>375</v>
      </c>
      <c r="J329" s="28" t="s">
        <v>375</v>
      </c>
      <c r="K329" s="28" t="s">
        <v>375</v>
      </c>
      <c r="L329" s="56">
        <f>'Расчет субсидий'!P329-1</f>
        <v>-0.60606060606060608</v>
      </c>
      <c r="M329" s="56">
        <f>L329*'Расчет субсидий'!Q329</f>
        <v>-12.121212121212121</v>
      </c>
      <c r="N329" s="57">
        <f t="shared" ref="N329:N339" si="100">$B329*M329/$U329</f>
        <v>-29.862528584266904</v>
      </c>
      <c r="O329" s="56">
        <f>'Расчет субсидий'!T329-1</f>
        <v>5.0000000000000044E-2</v>
      </c>
      <c r="P329" s="56">
        <f>O329*'Расчет субсидий'!U329</f>
        <v>1.5000000000000013</v>
      </c>
      <c r="Q329" s="57">
        <f t="shared" ref="Q329:Q339" si="101">$B329*P329/$U329</f>
        <v>3.6954879123030326</v>
      </c>
      <c r="R329" s="56">
        <f>'Расчет субсидий'!X329-1</f>
        <v>5.0000000000000044E-2</v>
      </c>
      <c r="S329" s="56">
        <f>R329*'Расчет субсидий'!Y329</f>
        <v>1.0000000000000009</v>
      </c>
      <c r="T329" s="57">
        <f t="shared" ref="T329:T339" si="102">$B329*S329/$U329</f>
        <v>2.4636586082020218</v>
      </c>
      <c r="U329" s="56">
        <f t="shared" si="94"/>
        <v>-8.1475279106858025</v>
      </c>
    </row>
    <row r="330" spans="1:21" ht="15" customHeight="1">
      <c r="A330" s="34" t="s">
        <v>323</v>
      </c>
      <c r="B330" s="54">
        <f>'Расчет субсидий'!AD330</f>
        <v>28.690909090909088</v>
      </c>
      <c r="C330" s="56">
        <f>'Расчет субсидий'!D330-1</f>
        <v>1.6923076923076819E-2</v>
      </c>
      <c r="D330" s="56">
        <f>C330*'Расчет субсидий'!E330</f>
        <v>0.16923076923076819</v>
      </c>
      <c r="E330" s="57">
        <f t="shared" si="99"/>
        <v>0.3746889672760183</v>
      </c>
      <c r="F330" s="28" t="s">
        <v>375</v>
      </c>
      <c r="G330" s="28" t="s">
        <v>375</v>
      </c>
      <c r="H330" s="28" t="s">
        <v>375</v>
      </c>
      <c r="I330" s="28" t="s">
        <v>375</v>
      </c>
      <c r="J330" s="28" t="s">
        <v>375</v>
      </c>
      <c r="K330" s="28" t="s">
        <v>375</v>
      </c>
      <c r="L330" s="56">
        <f>'Расчет субсидий'!P330-1</f>
        <v>0.18946047678795486</v>
      </c>
      <c r="M330" s="56">
        <f>L330*'Расчет субсидий'!Q330</f>
        <v>3.7892095357590971</v>
      </c>
      <c r="N330" s="57">
        <f t="shared" si="100"/>
        <v>8.3895795912265143</v>
      </c>
      <c r="O330" s="56">
        <f>'Расчет субсидий'!T330-1</f>
        <v>0.30000000000000004</v>
      </c>
      <c r="P330" s="56">
        <f>O330*'Расчет субсидий'!U330</f>
        <v>6.0000000000000009</v>
      </c>
      <c r="Q330" s="57">
        <f t="shared" si="101"/>
        <v>13.284427021604369</v>
      </c>
      <c r="R330" s="56">
        <f>'Расчет субсидий'!X330-1</f>
        <v>0.10000000000000009</v>
      </c>
      <c r="S330" s="56">
        <f>R330*'Расчет субсидий'!Y330</f>
        <v>3.0000000000000027</v>
      </c>
      <c r="T330" s="57">
        <f t="shared" si="102"/>
        <v>6.6422135108021889</v>
      </c>
      <c r="U330" s="56">
        <f t="shared" si="94"/>
        <v>12.958440304989868</v>
      </c>
    </row>
    <row r="331" spans="1:21" ht="15" customHeight="1">
      <c r="A331" s="34" t="s">
        <v>276</v>
      </c>
      <c r="B331" s="54">
        <f>'Расчет субсидий'!AD331</f>
        <v>-14.26363636363638</v>
      </c>
      <c r="C331" s="56">
        <f>'Расчет субсидий'!D331-1</f>
        <v>0.17777777777777781</v>
      </c>
      <c r="D331" s="56">
        <f>C331*'Расчет субсидий'!E331</f>
        <v>1.7777777777777781</v>
      </c>
      <c r="E331" s="57">
        <f t="shared" si="99"/>
        <v>3.0313187544948526</v>
      </c>
      <c r="F331" s="28" t="s">
        <v>375</v>
      </c>
      <c r="G331" s="28" t="s">
        <v>375</v>
      </c>
      <c r="H331" s="28" t="s">
        <v>375</v>
      </c>
      <c r="I331" s="28" t="s">
        <v>375</v>
      </c>
      <c r="J331" s="28" t="s">
        <v>375</v>
      </c>
      <c r="K331" s="28" t="s">
        <v>375</v>
      </c>
      <c r="L331" s="56">
        <f>'Расчет субсидий'!P331-1</f>
        <v>-0.66339869281045749</v>
      </c>
      <c r="M331" s="56">
        <f>L331*'Расчет субсидий'!Q331</f>
        <v>-13.267973856209149</v>
      </c>
      <c r="N331" s="57">
        <f t="shared" si="100"/>
        <v>-22.623445116266723</v>
      </c>
      <c r="O331" s="56">
        <f>'Расчет субсидий'!T331-1</f>
        <v>3.7500000000000089E-2</v>
      </c>
      <c r="P331" s="56">
        <f>O331*'Расчет субсидий'!U331</f>
        <v>1.1250000000000027</v>
      </c>
      <c r="Q331" s="57">
        <f t="shared" si="101"/>
        <v>1.9182563993287782</v>
      </c>
      <c r="R331" s="56">
        <f>'Расчет субсидий'!X331-1</f>
        <v>0.10000000000000009</v>
      </c>
      <c r="S331" s="56">
        <f>R331*'Расчет субсидий'!Y331</f>
        <v>2.0000000000000018</v>
      </c>
      <c r="T331" s="57">
        <f t="shared" si="102"/>
        <v>3.4102335988067112</v>
      </c>
      <c r="U331" s="56">
        <f t="shared" si="94"/>
        <v>-8.3651960784313655</v>
      </c>
    </row>
    <row r="332" spans="1:21" ht="15" customHeight="1">
      <c r="A332" s="34" t="s">
        <v>324</v>
      </c>
      <c r="B332" s="54">
        <f>'Расчет субсидий'!AD332</f>
        <v>-3.0363636363636033</v>
      </c>
      <c r="C332" s="56">
        <f>'Расчет субсидий'!D332-1</f>
        <v>0.18392857142857144</v>
      </c>
      <c r="D332" s="56">
        <f>C332*'Расчет субсидий'!E332</f>
        <v>1.8392857142857144</v>
      </c>
      <c r="E332" s="57">
        <f t="shared" si="99"/>
        <v>6.5435294117646583</v>
      </c>
      <c r="F332" s="28" t="s">
        <v>375</v>
      </c>
      <c r="G332" s="28" t="s">
        <v>375</v>
      </c>
      <c r="H332" s="28" t="s">
        <v>375</v>
      </c>
      <c r="I332" s="28" t="s">
        <v>375</v>
      </c>
      <c r="J332" s="28" t="s">
        <v>375</v>
      </c>
      <c r="K332" s="28" t="s">
        <v>375</v>
      </c>
      <c r="L332" s="56">
        <f>'Расчет субсидий'!P332-1</f>
        <v>-0.29713804713804715</v>
      </c>
      <c r="M332" s="56">
        <f>L332*'Расчет субсидий'!Q332</f>
        <v>-5.9427609427609429</v>
      </c>
      <c r="N332" s="57">
        <f t="shared" si="100"/>
        <v>-21.142245989304659</v>
      </c>
      <c r="O332" s="56">
        <f>'Расчет субсидий'!T332-1</f>
        <v>5.0000000000000044E-2</v>
      </c>
      <c r="P332" s="56">
        <f>O332*'Расчет субсидий'!U332</f>
        <v>1.7500000000000016</v>
      </c>
      <c r="Q332" s="57">
        <f t="shared" si="101"/>
        <v>6.2258823529411362</v>
      </c>
      <c r="R332" s="56">
        <f>'Расчет субсидий'!X332-1</f>
        <v>0.10000000000000009</v>
      </c>
      <c r="S332" s="56">
        <f>R332*'Расчет субсидий'!Y332</f>
        <v>1.5000000000000013</v>
      </c>
      <c r="T332" s="57">
        <f t="shared" si="102"/>
        <v>5.3364705882352608</v>
      </c>
      <c r="U332" s="56">
        <f t="shared" si="94"/>
        <v>-0.85347522847522539</v>
      </c>
    </row>
    <row r="333" spans="1:21" ht="15" customHeight="1">
      <c r="A333" s="34" t="s">
        <v>325</v>
      </c>
      <c r="B333" s="54">
        <f>'Расчет субсидий'!AD333</f>
        <v>57.25454545454545</v>
      </c>
      <c r="C333" s="56">
        <f>'Расчет субсидий'!D333-1</f>
        <v>-1</v>
      </c>
      <c r="D333" s="56">
        <f>C333*'Расчет субсидий'!E333</f>
        <v>0</v>
      </c>
      <c r="E333" s="57">
        <f t="shared" si="99"/>
        <v>0</v>
      </c>
      <c r="F333" s="28" t="s">
        <v>375</v>
      </c>
      <c r="G333" s="28" t="s">
        <v>375</v>
      </c>
      <c r="H333" s="28" t="s">
        <v>375</v>
      </c>
      <c r="I333" s="28" t="s">
        <v>375</v>
      </c>
      <c r="J333" s="28" t="s">
        <v>375</v>
      </c>
      <c r="K333" s="28" t="s">
        <v>375</v>
      </c>
      <c r="L333" s="56">
        <f>'Расчет субсидий'!P333-1</f>
        <v>0.30000000000000004</v>
      </c>
      <c r="M333" s="56">
        <f>L333*'Расчет субсидий'!Q333</f>
        <v>6.0000000000000009</v>
      </c>
      <c r="N333" s="57">
        <f t="shared" si="100"/>
        <v>33.064935064935071</v>
      </c>
      <c r="O333" s="56">
        <f>'Расчет субсидий'!T333-1</f>
        <v>0.11298245614035074</v>
      </c>
      <c r="P333" s="56">
        <f>O333*'Расчет субсидий'!U333</f>
        <v>3.3894736842105222</v>
      </c>
      <c r="Q333" s="57">
        <f t="shared" si="101"/>
        <v>18.678787878787858</v>
      </c>
      <c r="R333" s="56">
        <f>'Расчет субсидий'!X333-1</f>
        <v>5.0000000000000044E-2</v>
      </c>
      <c r="S333" s="56">
        <f>R333*'Расчет субсидий'!Y333</f>
        <v>1.0000000000000009</v>
      </c>
      <c r="T333" s="57">
        <f t="shared" si="102"/>
        <v>5.510822510822516</v>
      </c>
      <c r="U333" s="56">
        <f t="shared" si="94"/>
        <v>10.389473684210525</v>
      </c>
    </row>
    <row r="334" spans="1:21" ht="15" customHeight="1">
      <c r="A334" s="34" t="s">
        <v>326</v>
      </c>
      <c r="B334" s="54">
        <f>'Расчет субсидий'!AD334</f>
        <v>-4.8818181818181898</v>
      </c>
      <c r="C334" s="56">
        <f>'Расчет субсидий'!D334-1</f>
        <v>0</v>
      </c>
      <c r="D334" s="56">
        <f>C334*'Расчет субсидий'!E334</f>
        <v>0</v>
      </c>
      <c r="E334" s="57">
        <f t="shared" si="99"/>
        <v>0</v>
      </c>
      <c r="F334" s="28" t="s">
        <v>375</v>
      </c>
      <c r="G334" s="28" t="s">
        <v>375</v>
      </c>
      <c r="H334" s="28" t="s">
        <v>375</v>
      </c>
      <c r="I334" s="28" t="s">
        <v>375</v>
      </c>
      <c r="J334" s="28" t="s">
        <v>375</v>
      </c>
      <c r="K334" s="28" t="s">
        <v>375</v>
      </c>
      <c r="L334" s="56">
        <f>'Расчет субсидий'!P334-1</f>
        <v>-0.6589861751152073</v>
      </c>
      <c r="M334" s="56">
        <f>L334*'Расчет субсидий'!Q334</f>
        <v>-13.179723502304146</v>
      </c>
      <c r="N334" s="57">
        <f t="shared" si="100"/>
        <v>-16.583917329849172</v>
      </c>
      <c r="O334" s="56">
        <f>'Расчет субсидий'!T334-1</f>
        <v>0.20999999999999996</v>
      </c>
      <c r="P334" s="56">
        <f>O334*'Расчет субсидий'!U334</f>
        <v>6.2999999999999989</v>
      </c>
      <c r="Q334" s="57">
        <f t="shared" si="101"/>
        <v>7.9272284551177616</v>
      </c>
      <c r="R334" s="56">
        <f>'Расчет субсидий'!X334-1</f>
        <v>0.14999999999999991</v>
      </c>
      <c r="S334" s="56">
        <f>R334*'Расчет субсидий'!Y334</f>
        <v>2.9999999999999982</v>
      </c>
      <c r="T334" s="57">
        <f t="shared" si="102"/>
        <v>3.7748706929132183</v>
      </c>
      <c r="U334" s="56">
        <f t="shared" si="94"/>
        <v>-3.8797235023041488</v>
      </c>
    </row>
    <row r="335" spans="1:21" ht="15" customHeight="1">
      <c r="A335" s="34" t="s">
        <v>327</v>
      </c>
      <c r="B335" s="54">
        <f>'Расчет субсидий'!AD335</f>
        <v>-9.0363636363636317</v>
      </c>
      <c r="C335" s="56">
        <f>'Расчет субсидий'!D335-1</f>
        <v>0</v>
      </c>
      <c r="D335" s="56">
        <f>C335*'Расчет субсидий'!E335</f>
        <v>0</v>
      </c>
      <c r="E335" s="57">
        <f t="shared" si="99"/>
        <v>0</v>
      </c>
      <c r="F335" s="28" t="s">
        <v>375</v>
      </c>
      <c r="G335" s="28" t="s">
        <v>375</v>
      </c>
      <c r="H335" s="28" t="s">
        <v>375</v>
      </c>
      <c r="I335" s="28" t="s">
        <v>375</v>
      </c>
      <c r="J335" s="28" t="s">
        <v>375</v>
      </c>
      <c r="K335" s="28" t="s">
        <v>375</v>
      </c>
      <c r="L335" s="56">
        <f>'Расчет субсидий'!P335-1</f>
        <v>-0.39349180706208164</v>
      </c>
      <c r="M335" s="56">
        <f>L335*'Расчет субсидий'!Q335</f>
        <v>-7.8698361412416329</v>
      </c>
      <c r="N335" s="57">
        <f t="shared" si="100"/>
        <v>-20.643855967333199</v>
      </c>
      <c r="O335" s="56">
        <f>'Расчет субсидий'!T335-1</f>
        <v>0.22124999999999995</v>
      </c>
      <c r="P335" s="56">
        <f>O335*'Расчет субсидий'!U335</f>
        <v>4.4249999999999989</v>
      </c>
      <c r="Q335" s="57">
        <f t="shared" si="101"/>
        <v>11.607492330969567</v>
      </c>
      <c r="R335" s="56">
        <f>'Расчет субсидий'!X335-1</f>
        <v>0</v>
      </c>
      <c r="S335" s="56">
        <f>R335*'Расчет субсидий'!Y335</f>
        <v>0</v>
      </c>
      <c r="T335" s="57">
        <f t="shared" si="102"/>
        <v>0</v>
      </c>
      <c r="U335" s="56">
        <f t="shared" si="94"/>
        <v>-3.444836141241634</v>
      </c>
    </row>
    <row r="336" spans="1:21" ht="15" customHeight="1">
      <c r="A336" s="34" t="s">
        <v>328</v>
      </c>
      <c r="B336" s="54">
        <f>'Расчет субсидий'!AD336</f>
        <v>-19.127272727272739</v>
      </c>
      <c r="C336" s="56">
        <f>'Расчет субсидий'!D336-1</f>
        <v>0.13866666666666672</v>
      </c>
      <c r="D336" s="56">
        <f>C336*'Расчет субсидий'!E336</f>
        <v>1.3866666666666672</v>
      </c>
      <c r="E336" s="57">
        <f t="shared" si="99"/>
        <v>1.8536451194677959</v>
      </c>
      <c r="F336" s="28" t="s">
        <v>375</v>
      </c>
      <c r="G336" s="28" t="s">
        <v>375</v>
      </c>
      <c r="H336" s="28" t="s">
        <v>375</v>
      </c>
      <c r="I336" s="28" t="s">
        <v>375</v>
      </c>
      <c r="J336" s="28" t="s">
        <v>375</v>
      </c>
      <c r="K336" s="28" t="s">
        <v>375</v>
      </c>
      <c r="L336" s="56">
        <f>'Расчет субсидий'!P336-1</f>
        <v>-0.884765625</v>
      </c>
      <c r="M336" s="56">
        <f>L336*'Расчет субсидий'!Q336</f>
        <v>-17.6953125</v>
      </c>
      <c r="N336" s="57">
        <f t="shared" si="100"/>
        <v>-23.654444461357549</v>
      </c>
      <c r="O336" s="56">
        <f>'Расчет субсидий'!T336-1</f>
        <v>0</v>
      </c>
      <c r="P336" s="56">
        <f>O336*'Расчет субсидий'!U336</f>
        <v>0</v>
      </c>
      <c r="Q336" s="57">
        <f t="shared" si="101"/>
        <v>0</v>
      </c>
      <c r="R336" s="56">
        <f>'Расчет субсидий'!X336-1</f>
        <v>0.10000000000000009</v>
      </c>
      <c r="S336" s="56">
        <f>R336*'Расчет субсидий'!Y336</f>
        <v>2.0000000000000018</v>
      </c>
      <c r="T336" s="57">
        <f t="shared" si="102"/>
        <v>2.6735266146170145</v>
      </c>
      <c r="U336" s="56">
        <f t="shared" si="94"/>
        <v>-14.308645833333332</v>
      </c>
    </row>
    <row r="337" spans="1:21" ht="15" customHeight="1">
      <c r="A337" s="34" t="s">
        <v>329</v>
      </c>
      <c r="B337" s="54">
        <f>'Расчет субсидий'!AD337</f>
        <v>23.427272727272722</v>
      </c>
      <c r="C337" s="56">
        <f>'Расчет субсидий'!D337-1</f>
        <v>8.8571428571428523E-2</v>
      </c>
      <c r="D337" s="56">
        <f>C337*'Расчет субсидий'!E337</f>
        <v>0.88571428571428523</v>
      </c>
      <c r="E337" s="57">
        <f t="shared" si="99"/>
        <v>1.2870468825519563</v>
      </c>
      <c r="F337" s="28" t="s">
        <v>375</v>
      </c>
      <c r="G337" s="28" t="s">
        <v>375</v>
      </c>
      <c r="H337" s="28" t="s">
        <v>375</v>
      </c>
      <c r="I337" s="28" t="s">
        <v>375</v>
      </c>
      <c r="J337" s="28" t="s">
        <v>375</v>
      </c>
      <c r="K337" s="28" t="s">
        <v>375</v>
      </c>
      <c r="L337" s="56">
        <f>'Расчет субсидий'!P337-1</f>
        <v>0.26181818181818173</v>
      </c>
      <c r="M337" s="56">
        <f>L337*'Расчет субсидий'!Q337</f>
        <v>5.2363636363636346</v>
      </c>
      <c r="N337" s="57">
        <f t="shared" si="100"/>
        <v>7.6090513642954383</v>
      </c>
      <c r="O337" s="56">
        <f>'Расчет субсидий'!T337-1</f>
        <v>0.30000000000000004</v>
      </c>
      <c r="P337" s="56">
        <f>O337*'Расчет субсидий'!U337</f>
        <v>7.5000000000000009</v>
      </c>
      <c r="Q337" s="57">
        <f t="shared" si="101"/>
        <v>10.898380860318992</v>
      </c>
      <c r="R337" s="56">
        <f>'Расчет субсидий'!X337-1</f>
        <v>0.10000000000000009</v>
      </c>
      <c r="S337" s="56">
        <f>R337*'Расчет субсидий'!Y337</f>
        <v>2.5000000000000022</v>
      </c>
      <c r="T337" s="57">
        <f t="shared" si="102"/>
        <v>3.6327936201063333</v>
      </c>
      <c r="U337" s="56">
        <f t="shared" si="94"/>
        <v>16.122077922077924</v>
      </c>
    </row>
    <row r="338" spans="1:21" ht="15" customHeight="1">
      <c r="A338" s="34" t="s">
        <v>330</v>
      </c>
      <c r="B338" s="54">
        <f>'Расчет субсидий'!AD338</f>
        <v>40.73636363636362</v>
      </c>
      <c r="C338" s="56">
        <f>'Расчет субсидий'!D338-1</f>
        <v>9.8611111111110983E-2</v>
      </c>
      <c r="D338" s="56">
        <f>C338*'Расчет субсидий'!E338</f>
        <v>0.98611111111110983</v>
      </c>
      <c r="E338" s="57">
        <f t="shared" si="99"/>
        <v>2.4838392859931075</v>
      </c>
      <c r="F338" s="28" t="s">
        <v>375</v>
      </c>
      <c r="G338" s="28" t="s">
        <v>375</v>
      </c>
      <c r="H338" s="28" t="s">
        <v>375</v>
      </c>
      <c r="I338" s="28" t="s">
        <v>375</v>
      </c>
      <c r="J338" s="28" t="s">
        <v>375</v>
      </c>
      <c r="K338" s="28" t="s">
        <v>375</v>
      </c>
      <c r="L338" s="56">
        <f>'Расчет субсидий'!P338-1</f>
        <v>0.30000000000000004</v>
      </c>
      <c r="M338" s="56">
        <f>L338*'Расчет субсидий'!Q338</f>
        <v>6.0000000000000009</v>
      </c>
      <c r="N338" s="57">
        <f t="shared" si="100"/>
        <v>15.112937627451041</v>
      </c>
      <c r="O338" s="56">
        <f>'Расчет субсидий'!T338-1</f>
        <v>0.21933333333333338</v>
      </c>
      <c r="P338" s="56">
        <f>O338*'Расчет субсидий'!U338</f>
        <v>4.3866666666666676</v>
      </c>
      <c r="Q338" s="57">
        <f t="shared" si="101"/>
        <v>11.04923662095865</v>
      </c>
      <c r="R338" s="56">
        <f>'Расчет субсидий'!X338-1</f>
        <v>0.15999999999999992</v>
      </c>
      <c r="S338" s="56">
        <f>R338*'Расчет субсидий'!Y338</f>
        <v>4.7999999999999972</v>
      </c>
      <c r="T338" s="57">
        <f t="shared" si="102"/>
        <v>12.090350101960823</v>
      </c>
      <c r="U338" s="56">
        <f t="shared" si="94"/>
        <v>16.172777777777775</v>
      </c>
    </row>
    <row r="339" spans="1:21" ht="15" customHeight="1">
      <c r="A339" s="34" t="s">
        <v>331</v>
      </c>
      <c r="B339" s="54">
        <f>'Расчет субсидий'!AD339</f>
        <v>30.109090909090924</v>
      </c>
      <c r="C339" s="56">
        <f>'Расчет субсидий'!D339-1</f>
        <v>0.13096876654314449</v>
      </c>
      <c r="D339" s="56">
        <f>C339*'Расчет субсидий'!E339</f>
        <v>1.3096876654314449</v>
      </c>
      <c r="E339" s="57">
        <f t="shared" si="99"/>
        <v>9.4000946193774286</v>
      </c>
      <c r="F339" s="28" t="s">
        <v>375</v>
      </c>
      <c r="G339" s="28" t="s">
        <v>375</v>
      </c>
      <c r="H339" s="28" t="s">
        <v>375</v>
      </c>
      <c r="I339" s="28" t="s">
        <v>375</v>
      </c>
      <c r="J339" s="28" t="s">
        <v>375</v>
      </c>
      <c r="K339" s="28" t="s">
        <v>375</v>
      </c>
      <c r="L339" s="56">
        <f>'Расчет субсидий'!P339-1</f>
        <v>-0.117733808528942</v>
      </c>
      <c r="M339" s="56">
        <f>L339*'Расчет субсидий'!Q339</f>
        <v>-2.3546761705788399</v>
      </c>
      <c r="N339" s="57">
        <f t="shared" si="100"/>
        <v>-16.900349133350684</v>
      </c>
      <c r="O339" s="56">
        <f>'Расчет субсидий'!T339-1</f>
        <v>0.23199999999999998</v>
      </c>
      <c r="P339" s="56">
        <f>O339*'Расчет субсидий'!U339</f>
        <v>4.6399999999999997</v>
      </c>
      <c r="Q339" s="57">
        <f t="shared" si="101"/>
        <v>33.302931825003391</v>
      </c>
      <c r="R339" s="56">
        <f>'Расчет субсидий'!X339-1</f>
        <v>2.0000000000000018E-2</v>
      </c>
      <c r="S339" s="56">
        <f>R339*'Расчет субсидий'!Y339</f>
        <v>0.60000000000000053</v>
      </c>
      <c r="T339" s="57">
        <f t="shared" si="102"/>
        <v>4.3064135980607876</v>
      </c>
      <c r="U339" s="56">
        <f t="shared" si="94"/>
        <v>4.1950114948526052</v>
      </c>
    </row>
    <row r="340" spans="1:21" ht="15" customHeight="1">
      <c r="A340" s="33" t="s">
        <v>332</v>
      </c>
      <c r="B340" s="58"/>
      <c r="C340" s="59"/>
      <c r="D340" s="59"/>
      <c r="E340" s="60"/>
      <c r="F340" s="59"/>
      <c r="G340" s="59"/>
      <c r="H340" s="60"/>
      <c r="I340" s="60"/>
      <c r="J340" s="60"/>
      <c r="K340" s="60"/>
      <c r="L340" s="59"/>
      <c r="M340" s="59"/>
      <c r="N340" s="60"/>
      <c r="O340" s="59"/>
      <c r="P340" s="59"/>
      <c r="Q340" s="60"/>
      <c r="R340" s="59"/>
      <c r="S340" s="59"/>
      <c r="T340" s="60"/>
      <c r="U340" s="60"/>
    </row>
    <row r="341" spans="1:21" ht="15" customHeight="1">
      <c r="A341" s="34" t="s">
        <v>333</v>
      </c>
      <c r="B341" s="54">
        <f>'Расчет субсидий'!AD341</f>
        <v>-30.854545454545473</v>
      </c>
      <c r="C341" s="56">
        <f>'Расчет субсидий'!D341-1</f>
        <v>7.6923076923076872E-2</v>
      </c>
      <c r="D341" s="56">
        <f>C341*'Расчет субсидий'!E341</f>
        <v>0.76923076923076872</v>
      </c>
      <c r="E341" s="57">
        <f t="shared" ref="E341:E351" si="103">$B341*D341/$U341</f>
        <v>1.3681699275145185</v>
      </c>
      <c r="F341" s="28" t="s">
        <v>375</v>
      </c>
      <c r="G341" s="28" t="s">
        <v>375</v>
      </c>
      <c r="H341" s="28" t="s">
        <v>375</v>
      </c>
      <c r="I341" s="28" t="s">
        <v>375</v>
      </c>
      <c r="J341" s="28" t="s">
        <v>375</v>
      </c>
      <c r="K341" s="28" t="s">
        <v>375</v>
      </c>
      <c r="L341" s="56">
        <f>'Расчет субсидий'!P341-1</f>
        <v>-0.6937130574959699</v>
      </c>
      <c r="M341" s="56">
        <f>L341*'Расчет субсидий'!Q341</f>
        <v>-13.874261149919398</v>
      </c>
      <c r="N341" s="57">
        <f t="shared" ref="N341:N351" si="104">$B341*M341/$U341</f>
        <v>-24.677050933343555</v>
      </c>
      <c r="O341" s="56">
        <f>'Расчет субсидий'!T341-1</f>
        <v>-0.19999999999999996</v>
      </c>
      <c r="P341" s="56">
        <f>O341*'Расчет субсидий'!U341</f>
        <v>-4.9999999999999991</v>
      </c>
      <c r="Q341" s="57">
        <f t="shared" ref="Q341:Q351" si="105">$B341*P341/$U341</f>
        <v>-8.8931045288443737</v>
      </c>
      <c r="R341" s="56">
        <f>'Расчет субсидий'!X341-1</f>
        <v>3.0303030303030276E-2</v>
      </c>
      <c r="S341" s="56">
        <f>R341*'Расчет субсидий'!Y341</f>
        <v>0.7575757575757569</v>
      </c>
      <c r="T341" s="57">
        <f t="shared" ref="T341:T351" si="106">$B341*S341/$U341</f>
        <v>1.3474400801279345</v>
      </c>
      <c r="U341" s="56">
        <f t="shared" si="94"/>
        <v>-17.347454623112871</v>
      </c>
    </row>
    <row r="342" spans="1:21" ht="15" customHeight="1">
      <c r="A342" s="34" t="s">
        <v>334</v>
      </c>
      <c r="B342" s="54">
        <f>'Расчет субсидий'!AD342</f>
        <v>2.3090909090909122</v>
      </c>
      <c r="C342" s="56">
        <f>'Расчет субсидий'!D342-1</f>
        <v>6.6666666666665986E-3</v>
      </c>
      <c r="D342" s="56">
        <f>C342*'Расчет субсидий'!E342</f>
        <v>6.6666666666665986E-2</v>
      </c>
      <c r="E342" s="57">
        <f t="shared" si="103"/>
        <v>0.12264600327081331</v>
      </c>
      <c r="F342" s="28" t="s">
        <v>375</v>
      </c>
      <c r="G342" s="28" t="s">
        <v>375</v>
      </c>
      <c r="H342" s="28" t="s">
        <v>375</v>
      </c>
      <c r="I342" s="28" t="s">
        <v>375</v>
      </c>
      <c r="J342" s="28" t="s">
        <v>375</v>
      </c>
      <c r="K342" s="28" t="s">
        <v>375</v>
      </c>
      <c r="L342" s="56">
        <f>'Расчет субсидий'!P342-1</f>
        <v>0.21817427385892119</v>
      </c>
      <c r="M342" s="56">
        <f>L342*'Расчет субсидий'!Q342</f>
        <v>4.3634854771784237</v>
      </c>
      <c r="N342" s="57">
        <f t="shared" si="104"/>
        <v>8.0274608115926522</v>
      </c>
      <c r="O342" s="56">
        <f>'Расчет субсидий'!T342-1</f>
        <v>-0.12666666666666671</v>
      </c>
      <c r="P342" s="56">
        <f>O342*'Расчет субсидий'!U342</f>
        <v>-3.8000000000000012</v>
      </c>
      <c r="Q342" s="57">
        <f t="shared" si="105"/>
        <v>-6.9908221864364322</v>
      </c>
      <c r="R342" s="56">
        <f>'Расчет субсидий'!X342-1</f>
        <v>3.1249999999999778E-2</v>
      </c>
      <c r="S342" s="56">
        <f>R342*'Расчет субсидий'!Y342</f>
        <v>0.62499999999999556</v>
      </c>
      <c r="T342" s="57">
        <f t="shared" si="106"/>
        <v>1.1498062806638782</v>
      </c>
      <c r="U342" s="56">
        <f t="shared" si="94"/>
        <v>1.2551521438450846</v>
      </c>
    </row>
    <row r="343" spans="1:21" ht="15" customHeight="1">
      <c r="A343" s="34" t="s">
        <v>335</v>
      </c>
      <c r="B343" s="54">
        <f>'Расчет субсидий'!AD343</f>
        <v>-17.38181818181819</v>
      </c>
      <c r="C343" s="56">
        <f>'Расчет субсидий'!D343-1</f>
        <v>0.19999999999999996</v>
      </c>
      <c r="D343" s="56">
        <f>C343*'Расчет субсидий'!E343</f>
        <v>1.9999999999999996</v>
      </c>
      <c r="E343" s="57">
        <f t="shared" si="103"/>
        <v>2.6588897885857969</v>
      </c>
      <c r="F343" s="28" t="s">
        <v>375</v>
      </c>
      <c r="G343" s="28" t="s">
        <v>375</v>
      </c>
      <c r="H343" s="28" t="s">
        <v>375</v>
      </c>
      <c r="I343" s="28" t="s">
        <v>375</v>
      </c>
      <c r="J343" s="28" t="s">
        <v>375</v>
      </c>
      <c r="K343" s="28" t="s">
        <v>375</v>
      </c>
      <c r="L343" s="56">
        <f>'Расчет субсидий'!P343-1</f>
        <v>-0.77039132484677042</v>
      </c>
      <c r="M343" s="56">
        <f>L343*'Расчет субсидий'!Q343</f>
        <v>-15.407826496935408</v>
      </c>
      <c r="N343" s="57">
        <f t="shared" si="104"/>
        <v>-20.483856268501622</v>
      </c>
      <c r="O343" s="56">
        <f>'Расчет субсидий'!T343-1</f>
        <v>0</v>
      </c>
      <c r="P343" s="56">
        <f>O343*'Расчет субсидий'!U343</f>
        <v>0</v>
      </c>
      <c r="Q343" s="57">
        <f t="shared" si="105"/>
        <v>0</v>
      </c>
      <c r="R343" s="56">
        <f>'Расчет субсидий'!X343-1</f>
        <v>1.6666666666666607E-2</v>
      </c>
      <c r="S343" s="56">
        <f>R343*'Расчет субсидий'!Y343</f>
        <v>0.33333333333333215</v>
      </c>
      <c r="T343" s="57">
        <f t="shared" si="106"/>
        <v>0.44314829809763134</v>
      </c>
      <c r="U343" s="56">
        <f t="shared" si="94"/>
        <v>-13.074493163602076</v>
      </c>
    </row>
    <row r="344" spans="1:21" ht="15" customHeight="1">
      <c r="A344" s="34" t="s">
        <v>336</v>
      </c>
      <c r="B344" s="54">
        <f>'Расчет субсидий'!AD344</f>
        <v>2.2272727272727195</v>
      </c>
      <c r="C344" s="56">
        <f>'Расчет субсидий'!D344-1</f>
        <v>-7.1428571428566734E-4</v>
      </c>
      <c r="D344" s="56">
        <f>C344*'Расчет субсидий'!E344</f>
        <v>-7.1428571428566734E-3</v>
      </c>
      <c r="E344" s="57">
        <f t="shared" si="103"/>
        <v>-1.82008886257598E-2</v>
      </c>
      <c r="F344" s="28" t="s">
        <v>375</v>
      </c>
      <c r="G344" s="28" t="s">
        <v>375</v>
      </c>
      <c r="H344" s="28" t="s">
        <v>375</v>
      </c>
      <c r="I344" s="28" t="s">
        <v>375</v>
      </c>
      <c r="J344" s="28" t="s">
        <v>375</v>
      </c>
      <c r="K344" s="28" t="s">
        <v>375</v>
      </c>
      <c r="L344" s="56">
        <f>'Расчет субсидий'!P344-1</f>
        <v>4.4061302681992265E-2</v>
      </c>
      <c r="M344" s="56">
        <f>L344*'Расчет субсидий'!Q344</f>
        <v>0.8812260536398453</v>
      </c>
      <c r="N344" s="57">
        <f t="shared" si="104"/>
        <v>2.2454736158984794</v>
      </c>
      <c r="O344" s="56">
        <f>'Расчет субсидий'!T344-1</f>
        <v>0</v>
      </c>
      <c r="P344" s="56">
        <f>O344*'Расчет субсидий'!U344</f>
        <v>0</v>
      </c>
      <c r="Q344" s="57">
        <f t="shared" si="105"/>
        <v>0</v>
      </c>
      <c r="R344" s="56">
        <f>'Расчет субсидий'!X344-1</f>
        <v>0</v>
      </c>
      <c r="S344" s="56">
        <f>R344*'Расчет субсидий'!Y344</f>
        <v>0</v>
      </c>
      <c r="T344" s="57">
        <f t="shared" si="106"/>
        <v>0</v>
      </c>
      <c r="U344" s="56">
        <f t="shared" si="94"/>
        <v>0.87408319649698862</v>
      </c>
    </row>
    <row r="345" spans="1:21" ht="15" customHeight="1">
      <c r="A345" s="34" t="s">
        <v>337</v>
      </c>
      <c r="B345" s="54">
        <f>'Расчет субсидий'!AD345</f>
        <v>-9.0090909090909008</v>
      </c>
      <c r="C345" s="56">
        <f>'Расчет субсидий'!D345-1</f>
        <v>0</v>
      </c>
      <c r="D345" s="56">
        <f>C345*'Расчет субсидий'!E345</f>
        <v>0</v>
      </c>
      <c r="E345" s="57">
        <f t="shared" si="103"/>
        <v>0</v>
      </c>
      <c r="F345" s="28" t="s">
        <v>375</v>
      </c>
      <c r="G345" s="28" t="s">
        <v>375</v>
      </c>
      <c r="H345" s="28" t="s">
        <v>375</v>
      </c>
      <c r="I345" s="28" t="s">
        <v>375</v>
      </c>
      <c r="J345" s="28" t="s">
        <v>375</v>
      </c>
      <c r="K345" s="28" t="s">
        <v>375</v>
      </c>
      <c r="L345" s="56">
        <f>'Расчет субсидий'!P345-1</f>
        <v>-0.45561594202898548</v>
      </c>
      <c r="M345" s="56">
        <f>L345*'Расчет субсидий'!Q345</f>
        <v>-9.1123188405797091</v>
      </c>
      <c r="N345" s="57">
        <f t="shared" si="104"/>
        <v>-9.0090909090909008</v>
      </c>
      <c r="O345" s="56">
        <f>'Расчет субсидий'!T345-1</f>
        <v>0</v>
      </c>
      <c r="P345" s="56">
        <f>O345*'Расчет субсидий'!U345</f>
        <v>0</v>
      </c>
      <c r="Q345" s="57">
        <f t="shared" si="105"/>
        <v>0</v>
      </c>
      <c r="R345" s="56">
        <f>'Расчет субсидий'!X345-1</f>
        <v>0</v>
      </c>
      <c r="S345" s="56">
        <f>R345*'Расчет субсидий'!Y345</f>
        <v>0</v>
      </c>
      <c r="T345" s="57">
        <f t="shared" si="106"/>
        <v>0</v>
      </c>
      <c r="U345" s="56">
        <f t="shared" si="94"/>
        <v>-9.1123188405797091</v>
      </c>
    </row>
    <row r="346" spans="1:21" ht="15" customHeight="1">
      <c r="A346" s="34" t="s">
        <v>338</v>
      </c>
      <c r="B346" s="54">
        <f>'Расчет субсидий'!AD346</f>
        <v>-4.0454545454545467</v>
      </c>
      <c r="C346" s="56">
        <f>'Расчет субсидий'!D346-1</f>
        <v>4.9999999999998934E-3</v>
      </c>
      <c r="D346" s="56">
        <f>C346*'Расчет субсидий'!E346</f>
        <v>4.9999999999998934E-2</v>
      </c>
      <c r="E346" s="57">
        <f t="shared" si="103"/>
        <v>1.2360518978421886E-2</v>
      </c>
      <c r="F346" s="28" t="s">
        <v>375</v>
      </c>
      <c r="G346" s="28" t="s">
        <v>375</v>
      </c>
      <c r="H346" s="28" t="s">
        <v>375</v>
      </c>
      <c r="I346" s="28" t="s">
        <v>375</v>
      </c>
      <c r="J346" s="28" t="s">
        <v>375</v>
      </c>
      <c r="K346" s="28" t="s">
        <v>375</v>
      </c>
      <c r="L346" s="56">
        <f>'Расчет субсидий'!P346-1</f>
        <v>-0.82072101331601166</v>
      </c>
      <c r="M346" s="56">
        <f>L346*'Расчет субсидий'!Q346</f>
        <v>-16.414420266320235</v>
      </c>
      <c r="N346" s="57">
        <f t="shared" si="104"/>
        <v>-4.057815064432968</v>
      </c>
      <c r="O346" s="56">
        <f>'Расчет субсидий'!T346-1</f>
        <v>0</v>
      </c>
      <c r="P346" s="56">
        <f>O346*'Расчет субсидий'!U346</f>
        <v>0</v>
      </c>
      <c r="Q346" s="57">
        <f t="shared" si="105"/>
        <v>0</v>
      </c>
      <c r="R346" s="56">
        <f>'Расчет субсидий'!X346-1</f>
        <v>0</v>
      </c>
      <c r="S346" s="56">
        <f>R346*'Расчет субсидий'!Y346</f>
        <v>0</v>
      </c>
      <c r="T346" s="57">
        <f t="shared" si="106"/>
        <v>0</v>
      </c>
      <c r="U346" s="56">
        <f t="shared" si="94"/>
        <v>-16.364420266320238</v>
      </c>
    </row>
    <row r="347" spans="1:21" ht="15" customHeight="1">
      <c r="A347" s="34" t="s">
        <v>339</v>
      </c>
      <c r="B347" s="54">
        <f>'Расчет субсидий'!AD347</f>
        <v>-9.0454545454545325</v>
      </c>
      <c r="C347" s="56">
        <f>'Расчет субсидий'!D347-1</f>
        <v>-1</v>
      </c>
      <c r="D347" s="56">
        <f>C347*'Расчет субсидий'!E347</f>
        <v>0</v>
      </c>
      <c r="E347" s="57">
        <f t="shared" si="103"/>
        <v>0</v>
      </c>
      <c r="F347" s="28" t="s">
        <v>375</v>
      </c>
      <c r="G347" s="28" t="s">
        <v>375</v>
      </c>
      <c r="H347" s="28" t="s">
        <v>375</v>
      </c>
      <c r="I347" s="28" t="s">
        <v>375</v>
      </c>
      <c r="J347" s="28" t="s">
        <v>375</v>
      </c>
      <c r="K347" s="28" t="s">
        <v>375</v>
      </c>
      <c r="L347" s="56">
        <f>'Расчет субсидий'!P347-1</f>
        <v>-0.70964912280701753</v>
      </c>
      <c r="M347" s="56">
        <f>L347*'Расчет субсидий'!Q347</f>
        <v>-14.192982456140351</v>
      </c>
      <c r="N347" s="57">
        <f t="shared" si="104"/>
        <v>-28.36346018322757</v>
      </c>
      <c r="O347" s="56">
        <f>'Расчет субсидий'!T347-1</f>
        <v>0.18333333333333335</v>
      </c>
      <c r="P347" s="56">
        <f>O347*'Расчет субсидий'!U347</f>
        <v>3.666666666666667</v>
      </c>
      <c r="Q347" s="57">
        <f t="shared" si="105"/>
        <v>7.3275193798449472</v>
      </c>
      <c r="R347" s="56">
        <f>'Расчет субсидий'!X347-1</f>
        <v>0.19999999999999996</v>
      </c>
      <c r="S347" s="56">
        <f>R347*'Расчет субсидий'!Y347</f>
        <v>5.9999999999999982</v>
      </c>
      <c r="T347" s="57">
        <f t="shared" si="106"/>
        <v>11.990486257928092</v>
      </c>
      <c r="U347" s="56">
        <f t="shared" si="94"/>
        <v>-4.5263157894736867</v>
      </c>
    </row>
    <row r="348" spans="1:21" ht="15" customHeight="1">
      <c r="A348" s="34" t="s">
        <v>340</v>
      </c>
      <c r="B348" s="54">
        <f>'Расчет субсидий'!AD348</f>
        <v>14.599999999999994</v>
      </c>
      <c r="C348" s="56">
        <f>'Расчет субсидий'!D348-1</f>
        <v>-2.4324324324324298E-2</v>
      </c>
      <c r="D348" s="56">
        <f>C348*'Расчет субсидий'!E348</f>
        <v>-0.24324324324324298</v>
      </c>
      <c r="E348" s="57">
        <f t="shared" si="103"/>
        <v>-0.26232257291729011</v>
      </c>
      <c r="F348" s="28" t="s">
        <v>375</v>
      </c>
      <c r="G348" s="28" t="s">
        <v>375</v>
      </c>
      <c r="H348" s="28" t="s">
        <v>375</v>
      </c>
      <c r="I348" s="28" t="s">
        <v>375</v>
      </c>
      <c r="J348" s="28" t="s">
        <v>375</v>
      </c>
      <c r="K348" s="28" t="s">
        <v>375</v>
      </c>
      <c r="L348" s="56">
        <f>'Расчет субсидий'!P348-1</f>
        <v>0.28756756756756752</v>
      </c>
      <c r="M348" s="56">
        <f>L348*'Расчет субсидий'!Q348</f>
        <v>5.7513513513513503</v>
      </c>
      <c r="N348" s="57">
        <f t="shared" si="104"/>
        <v>6.2024715018665981</v>
      </c>
      <c r="O348" s="56">
        <f>'Расчет субсидий'!T348-1</f>
        <v>0.20100000000000007</v>
      </c>
      <c r="P348" s="56">
        <f>O348*'Расчет субсидий'!U348</f>
        <v>6.030000000000002</v>
      </c>
      <c r="Q348" s="57">
        <f t="shared" si="105"/>
        <v>6.5029765826196311</v>
      </c>
      <c r="R348" s="56">
        <f>'Расчет субсидий'!X348-1</f>
        <v>0.10000000000000009</v>
      </c>
      <c r="S348" s="56">
        <f>R348*'Расчет субсидий'!Y348</f>
        <v>2.0000000000000018</v>
      </c>
      <c r="T348" s="57">
        <f t="shared" si="106"/>
        <v>2.1568744884310562</v>
      </c>
      <c r="U348" s="56">
        <f t="shared" si="94"/>
        <v>13.53810810810811</v>
      </c>
    </row>
    <row r="349" spans="1:21" ht="15" customHeight="1">
      <c r="A349" s="34" t="s">
        <v>341</v>
      </c>
      <c r="B349" s="54">
        <f>'Расчет субсидий'!AD349</f>
        <v>42.399999999999977</v>
      </c>
      <c r="C349" s="56">
        <f>'Расчет субсидий'!D349-1</f>
        <v>0.16627617513545179</v>
      </c>
      <c r="D349" s="56">
        <f>C349*'Расчет субсидий'!E349</f>
        <v>1.6627617513545179</v>
      </c>
      <c r="E349" s="57">
        <f t="shared" si="103"/>
        <v>9.5754567416345271</v>
      </c>
      <c r="F349" s="28" t="s">
        <v>375</v>
      </c>
      <c r="G349" s="28" t="s">
        <v>375</v>
      </c>
      <c r="H349" s="28" t="s">
        <v>375</v>
      </c>
      <c r="I349" s="28" t="s">
        <v>375</v>
      </c>
      <c r="J349" s="28" t="s">
        <v>375</v>
      </c>
      <c r="K349" s="28" t="s">
        <v>375</v>
      </c>
      <c r="L349" s="56">
        <f>'Расчет субсидий'!P349-1</f>
        <v>0.19213915814632831</v>
      </c>
      <c r="M349" s="56">
        <f>L349*'Расчет субсидий'!Q349</f>
        <v>3.8427831629265663</v>
      </c>
      <c r="N349" s="57">
        <f t="shared" si="104"/>
        <v>22.129691108247936</v>
      </c>
      <c r="O349" s="56">
        <f>'Расчет субсидий'!T349-1</f>
        <v>5.0000000000000044E-2</v>
      </c>
      <c r="P349" s="56">
        <f>O349*'Расчет субсидий'!U349</f>
        <v>1.0000000000000009</v>
      </c>
      <c r="Q349" s="57">
        <f t="shared" si="105"/>
        <v>5.7587665423709575</v>
      </c>
      <c r="R349" s="56">
        <f>'Расчет субсидий'!X349-1</f>
        <v>2.8571428571428692E-2</v>
      </c>
      <c r="S349" s="56">
        <f>R349*'Расчет субсидий'!Y349</f>
        <v>0.85714285714286076</v>
      </c>
      <c r="T349" s="57">
        <f t="shared" si="106"/>
        <v>4.936085607746552</v>
      </c>
      <c r="U349" s="56">
        <f t="shared" si="94"/>
        <v>7.3626877714239463</v>
      </c>
    </row>
    <row r="350" spans="1:21" ht="15" customHeight="1">
      <c r="A350" s="34" t="s">
        <v>342</v>
      </c>
      <c r="B350" s="54">
        <f>'Расчет субсидий'!AD350</f>
        <v>-15.627272727272732</v>
      </c>
      <c r="C350" s="56">
        <f>'Расчет субсидий'!D350-1</f>
        <v>-0.21153846153846156</v>
      </c>
      <c r="D350" s="56">
        <f>C350*'Расчет субсидий'!E350</f>
        <v>-2.1153846153846159</v>
      </c>
      <c r="E350" s="57">
        <f t="shared" si="103"/>
        <v>-1.9763242195567496</v>
      </c>
      <c r="F350" s="28" t="s">
        <v>375</v>
      </c>
      <c r="G350" s="28" t="s">
        <v>375</v>
      </c>
      <c r="H350" s="28" t="s">
        <v>375</v>
      </c>
      <c r="I350" s="28" t="s">
        <v>375</v>
      </c>
      <c r="J350" s="28" t="s">
        <v>375</v>
      </c>
      <c r="K350" s="28" t="s">
        <v>375</v>
      </c>
      <c r="L350" s="56">
        <f>'Расчет субсидий'!P350-1</f>
        <v>-0.79124027834629551</v>
      </c>
      <c r="M350" s="56">
        <f>L350*'Расчет субсидий'!Q350</f>
        <v>-15.82480556692591</v>
      </c>
      <c r="N350" s="57">
        <f t="shared" si="104"/>
        <v>-14.78452016916356</v>
      </c>
      <c r="O350" s="56">
        <f>'Расчет субсидий'!T350-1</f>
        <v>-4.0000000000000036E-3</v>
      </c>
      <c r="P350" s="56">
        <f>O350*'Расчет субсидий'!U350</f>
        <v>-0.12000000000000011</v>
      </c>
      <c r="Q350" s="57">
        <f t="shared" si="105"/>
        <v>-0.11211148300031024</v>
      </c>
      <c r="R350" s="56">
        <f>'Расчет субсидий'!X350-1</f>
        <v>6.6666666666666652E-2</v>
      </c>
      <c r="S350" s="56">
        <f>R350*'Расчет субсидий'!Y350</f>
        <v>1.333333333333333</v>
      </c>
      <c r="T350" s="57">
        <f t="shared" si="106"/>
        <v>1.24568314444789</v>
      </c>
      <c r="U350" s="56">
        <f t="shared" si="94"/>
        <v>-16.726856848977196</v>
      </c>
    </row>
    <row r="351" spans="1:21" ht="15" customHeight="1">
      <c r="A351" s="34" t="s">
        <v>343</v>
      </c>
      <c r="B351" s="54">
        <f>'Расчет субсидий'!AD351</f>
        <v>-46.73636363636362</v>
      </c>
      <c r="C351" s="56">
        <f>'Расчет субсидий'!D351-1</f>
        <v>-9.5652173913043481E-2</v>
      </c>
      <c r="D351" s="56">
        <f>C351*'Расчет субсидий'!E351</f>
        <v>-0.95652173913043481</v>
      </c>
      <c r="E351" s="57">
        <f t="shared" si="103"/>
        <v>-2.4482718810881012</v>
      </c>
      <c r="F351" s="28" t="s">
        <v>375</v>
      </c>
      <c r="G351" s="28" t="s">
        <v>375</v>
      </c>
      <c r="H351" s="28" t="s">
        <v>375</v>
      </c>
      <c r="I351" s="28" t="s">
        <v>375</v>
      </c>
      <c r="J351" s="28" t="s">
        <v>375</v>
      </c>
      <c r="K351" s="28" t="s">
        <v>375</v>
      </c>
      <c r="L351" s="56">
        <f>'Расчет субсидий'!P351-1</f>
        <v>-0.90681818181818186</v>
      </c>
      <c r="M351" s="56">
        <f>L351*'Расчет субсидий'!Q351</f>
        <v>-18.136363636363637</v>
      </c>
      <c r="N351" s="57">
        <f t="shared" si="104"/>
        <v>-46.421055894102281</v>
      </c>
      <c r="O351" s="56">
        <f>'Расчет субсидий'!T351-1</f>
        <v>0</v>
      </c>
      <c r="P351" s="56">
        <f>O351*'Расчет субсидий'!U351</f>
        <v>0</v>
      </c>
      <c r="Q351" s="57">
        <f t="shared" si="105"/>
        <v>0</v>
      </c>
      <c r="R351" s="56">
        <f>'Расчет субсидий'!X351-1</f>
        <v>3.3333333333333437E-2</v>
      </c>
      <c r="S351" s="56">
        <f>R351*'Расчет субсидий'!Y351</f>
        <v>0.83333333333333592</v>
      </c>
      <c r="T351" s="57">
        <f t="shared" si="106"/>
        <v>2.1329641388267615</v>
      </c>
      <c r="U351" s="56">
        <f t="shared" si="94"/>
        <v>-18.259552042160735</v>
      </c>
    </row>
    <row r="352" spans="1:21" ht="15" customHeight="1">
      <c r="A352" s="33" t="s">
        <v>344</v>
      </c>
      <c r="B352" s="58"/>
      <c r="C352" s="59"/>
      <c r="D352" s="59"/>
      <c r="E352" s="60"/>
      <c r="F352" s="59"/>
      <c r="G352" s="59"/>
      <c r="H352" s="60"/>
      <c r="I352" s="60"/>
      <c r="J352" s="60"/>
      <c r="K352" s="60"/>
      <c r="L352" s="59"/>
      <c r="M352" s="59"/>
      <c r="N352" s="60"/>
      <c r="O352" s="59"/>
      <c r="P352" s="59"/>
      <c r="Q352" s="60"/>
      <c r="R352" s="59"/>
      <c r="S352" s="59"/>
      <c r="T352" s="60"/>
      <c r="U352" s="60"/>
    </row>
    <row r="353" spans="1:21" ht="15" customHeight="1">
      <c r="A353" s="34" t="s">
        <v>345</v>
      </c>
      <c r="B353" s="54">
        <f>'Расчет субсидий'!AD353</f>
        <v>-21.045454545454547</v>
      </c>
      <c r="C353" s="56">
        <f>'Расчет субсидий'!D353-1</f>
        <v>-5.3846153846153877E-2</v>
      </c>
      <c r="D353" s="56">
        <f>C353*'Расчет субсидий'!E353</f>
        <v>-0.53846153846153877</v>
      </c>
      <c r="E353" s="57">
        <f t="shared" ref="E353:E363" si="107">$B353*D353/$U353</f>
        <v>-0.68221224685604664</v>
      </c>
      <c r="F353" s="28" t="s">
        <v>375</v>
      </c>
      <c r="G353" s="28" t="s">
        <v>375</v>
      </c>
      <c r="H353" s="28" t="s">
        <v>375</v>
      </c>
      <c r="I353" s="28" t="s">
        <v>375</v>
      </c>
      <c r="J353" s="28" t="s">
        <v>375</v>
      </c>
      <c r="K353" s="28" t="s">
        <v>375</v>
      </c>
      <c r="L353" s="56">
        <f>'Расчет субсидий'!P353-1</f>
        <v>-0.82093023255813957</v>
      </c>
      <c r="M353" s="56">
        <f>L353*'Расчет субсидий'!Q353</f>
        <v>-16.418604651162791</v>
      </c>
      <c r="N353" s="57">
        <f t="shared" ref="N353:N363" si="108">$B353*M353/$U353</f>
        <v>-20.80180731443453</v>
      </c>
      <c r="O353" s="56">
        <f>'Расчет субсидий'!T353-1</f>
        <v>2.3076923076923217E-2</v>
      </c>
      <c r="P353" s="56">
        <f>O353*'Расчет субсидий'!U353</f>
        <v>0.34615384615384825</v>
      </c>
      <c r="Q353" s="57">
        <f t="shared" ref="Q353:Q363" si="109">$B353*P353/$U353</f>
        <v>0.43856501583603241</v>
      </c>
      <c r="R353" s="56">
        <f>'Расчет субсидий'!X353-1</f>
        <v>0</v>
      </c>
      <c r="S353" s="56">
        <f>R353*'Расчет субсидий'!Y353</f>
        <v>0</v>
      </c>
      <c r="T353" s="57">
        <f t="shared" ref="T353:T363" si="110">$B353*S353/$U353</f>
        <v>0</v>
      </c>
      <c r="U353" s="56">
        <f t="shared" si="94"/>
        <v>-16.610912343470485</v>
      </c>
    </row>
    <row r="354" spans="1:21" ht="15" customHeight="1">
      <c r="A354" s="34" t="s">
        <v>53</v>
      </c>
      <c r="B354" s="54">
        <f>'Расчет субсидий'!AD354</f>
        <v>11.436363636363637</v>
      </c>
      <c r="C354" s="56">
        <f>'Расчет субсидий'!D354-1</f>
        <v>2.7272727272727337E-2</v>
      </c>
      <c r="D354" s="56">
        <f>C354*'Расчет субсидий'!E354</f>
        <v>0.27272727272727337</v>
      </c>
      <c r="E354" s="57">
        <f t="shared" si="107"/>
        <v>0.34434989020166212</v>
      </c>
      <c r="F354" s="28" t="s">
        <v>375</v>
      </c>
      <c r="G354" s="28" t="s">
        <v>375</v>
      </c>
      <c r="H354" s="28" t="s">
        <v>375</v>
      </c>
      <c r="I354" s="28" t="s">
        <v>375</v>
      </c>
      <c r="J354" s="28" t="s">
        <v>375</v>
      </c>
      <c r="K354" s="28" t="s">
        <v>375</v>
      </c>
      <c r="L354" s="56">
        <f>'Расчет субсидий'!P354-1</f>
        <v>0.25276073619631889</v>
      </c>
      <c r="M354" s="56">
        <f>L354*'Расчет субсидий'!Q354</f>
        <v>5.0552147239263778</v>
      </c>
      <c r="N354" s="57">
        <f t="shared" si="108"/>
        <v>6.3827963288095235</v>
      </c>
      <c r="O354" s="56">
        <f>'Расчет субсидий'!T354-1</f>
        <v>0.12432432432432439</v>
      </c>
      <c r="P354" s="56">
        <f>O354*'Расчет субсидий'!U354</f>
        <v>3.7297297297297316</v>
      </c>
      <c r="Q354" s="57">
        <f t="shared" si="109"/>
        <v>4.7092174173524519</v>
      </c>
      <c r="R354" s="56">
        <f>'Расчет субсидий'!X354-1</f>
        <v>0</v>
      </c>
      <c r="S354" s="56">
        <f>R354*'Расчет субсидий'!Y354</f>
        <v>0</v>
      </c>
      <c r="T354" s="57">
        <f t="shared" si="110"/>
        <v>0</v>
      </c>
      <c r="U354" s="56">
        <f t="shared" si="94"/>
        <v>9.0576717263833828</v>
      </c>
    </row>
    <row r="355" spans="1:21" ht="15" customHeight="1">
      <c r="A355" s="34" t="s">
        <v>346</v>
      </c>
      <c r="B355" s="54">
        <f>'Расчет субсидий'!AD355</f>
        <v>8.7545454545454788</v>
      </c>
      <c r="C355" s="56">
        <f>'Расчет субсидий'!D355-1</f>
        <v>0</v>
      </c>
      <c r="D355" s="56">
        <f>C355*'Расчет субсидий'!E355</f>
        <v>0</v>
      </c>
      <c r="E355" s="57">
        <f t="shared" si="107"/>
        <v>0</v>
      </c>
      <c r="F355" s="28" t="s">
        <v>375</v>
      </c>
      <c r="G355" s="28" t="s">
        <v>375</v>
      </c>
      <c r="H355" s="28" t="s">
        <v>375</v>
      </c>
      <c r="I355" s="28" t="s">
        <v>375</v>
      </c>
      <c r="J355" s="28" t="s">
        <v>375</v>
      </c>
      <c r="K355" s="28" t="s">
        <v>375</v>
      </c>
      <c r="L355" s="56">
        <f>'Расчет субсидий'!P355-1</f>
        <v>0.22827586206896555</v>
      </c>
      <c r="M355" s="56">
        <f>L355*'Расчет субсидий'!Q355</f>
        <v>4.565517241379311</v>
      </c>
      <c r="N355" s="57">
        <f t="shared" si="108"/>
        <v>8.7545454545454788</v>
      </c>
      <c r="O355" s="56">
        <f>'Расчет субсидий'!T355-1</f>
        <v>0</v>
      </c>
      <c r="P355" s="56">
        <f>O355*'Расчет субсидий'!U355</f>
        <v>0</v>
      </c>
      <c r="Q355" s="57">
        <f t="shared" si="109"/>
        <v>0</v>
      </c>
      <c r="R355" s="56">
        <f>'Расчет субсидий'!X355-1</f>
        <v>0</v>
      </c>
      <c r="S355" s="56">
        <f>R355*'Расчет субсидий'!Y355</f>
        <v>0</v>
      </c>
      <c r="T355" s="57">
        <f t="shared" si="110"/>
        <v>0</v>
      </c>
      <c r="U355" s="56">
        <f t="shared" si="94"/>
        <v>4.565517241379311</v>
      </c>
    </row>
    <row r="356" spans="1:21" ht="15" customHeight="1">
      <c r="A356" s="34" t="s">
        <v>347</v>
      </c>
      <c r="B356" s="54">
        <f>'Расчет субсидий'!AD356</f>
        <v>3.7727272727272805</v>
      </c>
      <c r="C356" s="56">
        <f>'Расчет субсидий'!D356-1</f>
        <v>-0.5310810810810811</v>
      </c>
      <c r="D356" s="56">
        <f>C356*'Расчет субсидий'!E356</f>
        <v>-5.3108108108108105</v>
      </c>
      <c r="E356" s="57">
        <f t="shared" si="107"/>
        <v>-9.3206457424323546</v>
      </c>
      <c r="F356" s="28" t="s">
        <v>375</v>
      </c>
      <c r="G356" s="28" t="s">
        <v>375</v>
      </c>
      <c r="H356" s="28" t="s">
        <v>375</v>
      </c>
      <c r="I356" s="28" t="s">
        <v>375</v>
      </c>
      <c r="J356" s="28" t="s">
        <v>375</v>
      </c>
      <c r="K356" s="28" t="s">
        <v>375</v>
      </c>
      <c r="L356" s="56">
        <f>'Расчет субсидий'!P356-1</f>
        <v>0.25128712871287129</v>
      </c>
      <c r="M356" s="56">
        <f>L356*'Расчет субсидий'!Q356</f>
        <v>5.0257425742574258</v>
      </c>
      <c r="N356" s="57">
        <f t="shared" si="108"/>
        <v>8.820341713539948</v>
      </c>
      <c r="O356" s="56">
        <f>'Расчет субсидий'!T356-1</f>
        <v>5.4491017964071853E-2</v>
      </c>
      <c r="P356" s="56">
        <f>O356*'Расчет субсидий'!U356</f>
        <v>1.6347305389221556</v>
      </c>
      <c r="Q356" s="57">
        <f t="shared" si="109"/>
        <v>2.8690052762965439</v>
      </c>
      <c r="R356" s="56">
        <f>'Расчет субсидий'!X356-1</f>
        <v>4.0000000000000036E-2</v>
      </c>
      <c r="S356" s="56">
        <f>R356*'Расчет субсидий'!Y356</f>
        <v>0.80000000000000071</v>
      </c>
      <c r="T356" s="57">
        <f t="shared" si="110"/>
        <v>1.4040260253231449</v>
      </c>
      <c r="U356" s="56">
        <f t="shared" si="94"/>
        <v>2.1496623023687715</v>
      </c>
    </row>
    <row r="357" spans="1:21" ht="15" customHeight="1">
      <c r="A357" s="34" t="s">
        <v>348</v>
      </c>
      <c r="B357" s="54">
        <f>'Расчет субсидий'!AD357</f>
        <v>-45.072727272727263</v>
      </c>
      <c r="C357" s="56">
        <f>'Расчет субсидий'!D357-1</f>
        <v>-0.18657657657657656</v>
      </c>
      <c r="D357" s="56">
        <f>C357*'Расчет субсидий'!E357</f>
        <v>-1.8657657657657656</v>
      </c>
      <c r="E357" s="57">
        <f t="shared" si="107"/>
        <v>-2.5020409376412864</v>
      </c>
      <c r="F357" s="28" t="s">
        <v>375</v>
      </c>
      <c r="G357" s="28" t="s">
        <v>375</v>
      </c>
      <c r="H357" s="28" t="s">
        <v>375</v>
      </c>
      <c r="I357" s="28" t="s">
        <v>375</v>
      </c>
      <c r="J357" s="28" t="s">
        <v>375</v>
      </c>
      <c r="K357" s="28" t="s">
        <v>375</v>
      </c>
      <c r="L357" s="56">
        <f>'Расчет субсидий'!P357-1</f>
        <v>-0.19835390946502052</v>
      </c>
      <c r="M357" s="56">
        <f>L357*'Расчет субсидий'!Q357</f>
        <v>-3.9670781893004103</v>
      </c>
      <c r="N357" s="57">
        <f t="shared" si="108"/>
        <v>-5.319956135211676</v>
      </c>
      <c r="O357" s="56">
        <f>'Расчет субсидий'!T357-1</f>
        <v>-1</v>
      </c>
      <c r="P357" s="56">
        <f>O357*'Расчет субсидий'!U357</f>
        <v>-25</v>
      </c>
      <c r="Q357" s="57">
        <f t="shared" si="109"/>
        <v>-33.525657179886871</v>
      </c>
      <c r="R357" s="56">
        <f>'Расчет субсидий'!X357-1</f>
        <v>-0.11111111111111105</v>
      </c>
      <c r="S357" s="56">
        <f>R357*'Расчет субсидий'!Y357</f>
        <v>-2.7777777777777763</v>
      </c>
      <c r="T357" s="57">
        <f t="shared" si="110"/>
        <v>-3.7250730199874282</v>
      </c>
      <c r="U357" s="56">
        <f t="shared" si="94"/>
        <v>-33.610621732843953</v>
      </c>
    </row>
    <row r="358" spans="1:21" ht="15" customHeight="1">
      <c r="A358" s="34" t="s">
        <v>349</v>
      </c>
      <c r="B358" s="54">
        <f>'Расчет субсидий'!AD358</f>
        <v>-6.254545454545454</v>
      </c>
      <c r="C358" s="56">
        <f>'Расчет субсидий'!D358-1</f>
        <v>-1</v>
      </c>
      <c r="D358" s="56">
        <f>C358*'Расчет субсидий'!E358</f>
        <v>0</v>
      </c>
      <c r="E358" s="57">
        <f t="shared" si="107"/>
        <v>0</v>
      </c>
      <c r="F358" s="28" t="s">
        <v>375</v>
      </c>
      <c r="G358" s="28" t="s">
        <v>375</v>
      </c>
      <c r="H358" s="28" t="s">
        <v>375</v>
      </c>
      <c r="I358" s="28" t="s">
        <v>375</v>
      </c>
      <c r="J358" s="28" t="s">
        <v>375</v>
      </c>
      <c r="K358" s="28" t="s">
        <v>375</v>
      </c>
      <c r="L358" s="56">
        <f>'Расчет субсидий'!P358-1</f>
        <v>-0.91756272401433692</v>
      </c>
      <c r="M358" s="56">
        <f>L358*'Расчет субсидий'!Q358</f>
        <v>-18.351254480286737</v>
      </c>
      <c r="N358" s="57">
        <f t="shared" si="108"/>
        <v>-7.6640494755192456</v>
      </c>
      <c r="O358" s="56">
        <f>'Расчет субсидий'!T358-1</f>
        <v>0.11250000000000004</v>
      </c>
      <c r="P358" s="56">
        <f>O358*'Расчет субсидий'!U358</f>
        <v>3.3750000000000013</v>
      </c>
      <c r="Q358" s="57">
        <f t="shared" si="109"/>
        <v>1.4095040209737917</v>
      </c>
      <c r="R358" s="56">
        <f>'Расчет субсидий'!X358-1</f>
        <v>0</v>
      </c>
      <c r="S358" s="56">
        <f>R358*'Расчет субсидий'!Y358</f>
        <v>0</v>
      </c>
      <c r="T358" s="57">
        <f t="shared" si="110"/>
        <v>0</v>
      </c>
      <c r="U358" s="56">
        <f t="shared" si="94"/>
        <v>-14.976254480286736</v>
      </c>
    </row>
    <row r="359" spans="1:21" ht="15" customHeight="1">
      <c r="A359" s="34" t="s">
        <v>350</v>
      </c>
      <c r="B359" s="54">
        <f>'Расчет субсидий'!AD359</f>
        <v>1.0999999999999996</v>
      </c>
      <c r="C359" s="56">
        <f>'Расчет субсидий'!D359-1</f>
        <v>-0.16363636363636358</v>
      </c>
      <c r="D359" s="56">
        <f>C359*'Расчет субсидий'!E359</f>
        <v>-1.6363636363636358</v>
      </c>
      <c r="E359" s="57">
        <f t="shared" si="107"/>
        <v>-0.20100881113523156</v>
      </c>
      <c r="F359" s="28" t="s">
        <v>375</v>
      </c>
      <c r="G359" s="28" t="s">
        <v>375</v>
      </c>
      <c r="H359" s="28" t="s">
        <v>375</v>
      </c>
      <c r="I359" s="28" t="s">
        <v>375</v>
      </c>
      <c r="J359" s="28" t="s">
        <v>375</v>
      </c>
      <c r="K359" s="28" t="s">
        <v>375</v>
      </c>
      <c r="L359" s="56">
        <f>'Расчет субсидий'!P359-1</f>
        <v>0.30000000000000004</v>
      </c>
      <c r="M359" s="56">
        <f>L359*'Расчет субсидий'!Q359</f>
        <v>6.0000000000000009</v>
      </c>
      <c r="N359" s="57">
        <f t="shared" si="108"/>
        <v>0.73703230749584936</v>
      </c>
      <c r="O359" s="56">
        <f>'Расчет субсидий'!T359-1</f>
        <v>-2.515723270440251E-3</v>
      </c>
      <c r="P359" s="56">
        <f>O359*'Расчет субсидий'!U359</f>
        <v>-7.547169811320753E-2</v>
      </c>
      <c r="Q359" s="57">
        <f t="shared" si="109"/>
        <v>-9.270846635167914E-3</v>
      </c>
      <c r="R359" s="56">
        <f>'Расчет субсидий'!X359-1</f>
        <v>0.23333333333333339</v>
      </c>
      <c r="S359" s="56">
        <f>R359*'Расчет субсидий'!Y359</f>
        <v>4.6666666666666679</v>
      </c>
      <c r="T359" s="57">
        <f t="shared" si="110"/>
        <v>0.57324735027454954</v>
      </c>
      <c r="U359" s="56">
        <f t="shared" si="94"/>
        <v>8.9548313321898263</v>
      </c>
    </row>
    <row r="360" spans="1:21" ht="15" customHeight="1">
      <c r="A360" s="34" t="s">
        <v>351</v>
      </c>
      <c r="B360" s="54">
        <f>'Расчет субсидий'!AD360</f>
        <v>-22.109090909090909</v>
      </c>
      <c r="C360" s="56">
        <f>'Расчет субсидий'!D360-1</f>
        <v>7.2727272727272751E-2</v>
      </c>
      <c r="D360" s="56">
        <f>C360*'Расчет субсидий'!E360</f>
        <v>0.72727272727272751</v>
      </c>
      <c r="E360" s="57">
        <f t="shared" si="107"/>
        <v>1.0973099015658501</v>
      </c>
      <c r="F360" s="28" t="s">
        <v>375</v>
      </c>
      <c r="G360" s="28" t="s">
        <v>375</v>
      </c>
      <c r="H360" s="28" t="s">
        <v>375</v>
      </c>
      <c r="I360" s="28" t="s">
        <v>375</v>
      </c>
      <c r="J360" s="28" t="s">
        <v>375</v>
      </c>
      <c r="K360" s="28" t="s">
        <v>375</v>
      </c>
      <c r="L360" s="56">
        <f>'Расчет субсидий'!P360-1</f>
        <v>-0.76903445342407484</v>
      </c>
      <c r="M360" s="56">
        <f>L360*'Расчет субсидий'!Q360</f>
        <v>-15.380689068481496</v>
      </c>
      <c r="N360" s="57">
        <f t="shared" si="108"/>
        <v>-23.20640081065676</v>
      </c>
      <c r="O360" s="56">
        <f>'Расчет субсидий'!T360-1</f>
        <v>0</v>
      </c>
      <c r="P360" s="56">
        <f>O360*'Расчет субсидий'!U360</f>
        <v>0</v>
      </c>
      <c r="Q360" s="57">
        <f t="shared" si="109"/>
        <v>0</v>
      </c>
      <c r="R360" s="56">
        <f>'Расчет субсидий'!X360-1</f>
        <v>0</v>
      </c>
      <c r="S360" s="56">
        <f>R360*'Расчет субсидий'!Y360</f>
        <v>0</v>
      </c>
      <c r="T360" s="57">
        <f t="shared" si="110"/>
        <v>0</v>
      </c>
      <c r="U360" s="56">
        <f t="shared" si="94"/>
        <v>-14.653416341208768</v>
      </c>
    </row>
    <row r="361" spans="1:21" ht="15" customHeight="1">
      <c r="A361" s="34" t="s">
        <v>352</v>
      </c>
      <c r="B361" s="54">
        <f>'Расчет субсидий'!AD361</f>
        <v>-5.5272727272727309</v>
      </c>
      <c r="C361" s="56">
        <f>'Расчет субсидий'!D361-1</f>
        <v>5.6410256410256432E-2</v>
      </c>
      <c r="D361" s="56">
        <f>C361*'Расчет субсидий'!E361</f>
        <v>0.56410256410256432</v>
      </c>
      <c r="E361" s="57">
        <f t="shared" si="107"/>
        <v>0.83069557051595833</v>
      </c>
      <c r="F361" s="28" t="s">
        <v>375</v>
      </c>
      <c r="G361" s="28" t="s">
        <v>375</v>
      </c>
      <c r="H361" s="28" t="s">
        <v>375</v>
      </c>
      <c r="I361" s="28" t="s">
        <v>375</v>
      </c>
      <c r="J361" s="28" t="s">
        <v>375</v>
      </c>
      <c r="K361" s="28" t="s">
        <v>375</v>
      </c>
      <c r="L361" s="56">
        <f>'Расчет субсидий'!P361-1</f>
        <v>-0.21587608906098743</v>
      </c>
      <c r="M361" s="56">
        <f>L361*'Расчет субсидий'!Q361</f>
        <v>-4.3175217812197486</v>
      </c>
      <c r="N361" s="57">
        <f t="shared" si="108"/>
        <v>-6.3579682977886893</v>
      </c>
      <c r="O361" s="56">
        <f>'Расчет субсидий'!T361-1</f>
        <v>0</v>
      </c>
      <c r="P361" s="56">
        <f>O361*'Расчет субсидий'!U361</f>
        <v>0</v>
      </c>
      <c r="Q361" s="57">
        <f t="shared" si="109"/>
        <v>0</v>
      </c>
      <c r="R361" s="56">
        <f>'Расчет субсидий'!X361-1</f>
        <v>0</v>
      </c>
      <c r="S361" s="56">
        <f>R361*'Расчет субсидий'!Y361</f>
        <v>0</v>
      </c>
      <c r="T361" s="57">
        <f t="shared" si="110"/>
        <v>0</v>
      </c>
      <c r="U361" s="56">
        <f t="shared" si="94"/>
        <v>-3.7534192171171843</v>
      </c>
    </row>
    <row r="362" spans="1:21" ht="15" customHeight="1">
      <c r="A362" s="34" t="s">
        <v>353</v>
      </c>
      <c r="B362" s="54">
        <f>'Расчет субсидий'!AD362</f>
        <v>-20.045454545454547</v>
      </c>
      <c r="C362" s="56">
        <f>'Расчет субсидий'!D362-1</f>
        <v>0.17142857142857126</v>
      </c>
      <c r="D362" s="56">
        <f>C362*'Расчет субсидий'!E362</f>
        <v>1.7142857142857126</v>
      </c>
      <c r="E362" s="57">
        <f>$B362*D362/$U362</f>
        <v>2.539636893182458</v>
      </c>
      <c r="F362" s="28" t="s">
        <v>375</v>
      </c>
      <c r="G362" s="28" t="s">
        <v>375</v>
      </c>
      <c r="H362" s="28" t="s">
        <v>375</v>
      </c>
      <c r="I362" s="28" t="s">
        <v>375</v>
      </c>
      <c r="J362" s="28" t="s">
        <v>375</v>
      </c>
      <c r="K362" s="28" t="s">
        <v>375</v>
      </c>
      <c r="L362" s="56">
        <f>'Расчет субсидий'!P362-1</f>
        <v>-0.53448275862068972</v>
      </c>
      <c r="M362" s="56">
        <f>L362*'Расчет субсидий'!Q362</f>
        <v>-10.689655172413794</v>
      </c>
      <c r="N362" s="57">
        <f>$B362*M362/$U362</f>
        <v>-15.836241546568791</v>
      </c>
      <c r="O362" s="56">
        <f>'Расчет субсидий'!T362-1</f>
        <v>-0.18888888888888888</v>
      </c>
      <c r="P362" s="56">
        <f>O362*'Расчет субсидий'!U362</f>
        <v>-1.8888888888888888</v>
      </c>
      <c r="Q362" s="57">
        <f>$B362*P362/$U362</f>
        <v>-2.7983036137843778</v>
      </c>
      <c r="R362" s="56">
        <f>'Расчет субсидий'!X362-1</f>
        <v>-6.6666666666666763E-2</v>
      </c>
      <c r="S362" s="56">
        <f>R362*'Расчет субсидий'!Y362</f>
        <v>-2.6666666666666705</v>
      </c>
      <c r="T362" s="57">
        <f>$B362*S362/$U362</f>
        <v>-3.950546278283833</v>
      </c>
      <c r="U362" s="56">
        <f>D362+M362+P362+S362</f>
        <v>-13.530925013683643</v>
      </c>
    </row>
    <row r="363" spans="1:21" ht="15" customHeight="1">
      <c r="A363" s="34" t="s">
        <v>354</v>
      </c>
      <c r="B363" s="54">
        <f>'Расчет субсидий'!AD363</f>
        <v>11</v>
      </c>
      <c r="C363" s="56">
        <f>'Расчет субсидий'!D363-1</f>
        <v>-7.5745146294777133E-2</v>
      </c>
      <c r="D363" s="56">
        <f>C363*'Расчет субсидий'!E363</f>
        <v>-0.75745146294777133</v>
      </c>
      <c r="E363" s="57">
        <f t="shared" si="107"/>
        <v>-3.8782538990693114</v>
      </c>
      <c r="F363" s="28" t="s">
        <v>375</v>
      </c>
      <c r="G363" s="28" t="s">
        <v>375</v>
      </c>
      <c r="H363" s="28" t="s">
        <v>375</v>
      </c>
      <c r="I363" s="28" t="s">
        <v>375</v>
      </c>
      <c r="J363" s="28" t="s">
        <v>375</v>
      </c>
      <c r="K363" s="28" t="s">
        <v>375</v>
      </c>
      <c r="L363" s="56">
        <f>'Расчет субсидий'!P363-1</f>
        <v>0.14529161157631854</v>
      </c>
      <c r="M363" s="56">
        <f>L363*'Расчет субсидий'!Q363</f>
        <v>2.9058322315263707</v>
      </c>
      <c r="N363" s="57">
        <f t="shared" si="108"/>
        <v>14.8782538990693</v>
      </c>
      <c r="O363" s="56">
        <f>'Расчет субсидий'!T363-1</f>
        <v>0.10000000000000009</v>
      </c>
      <c r="P363" s="56">
        <f>O363*'Расчет субсидий'!U363</f>
        <v>2.5000000000000022</v>
      </c>
      <c r="Q363" s="57">
        <f t="shared" si="109"/>
        <v>12.80033800441921</v>
      </c>
      <c r="R363" s="56">
        <f>'Расчет субсидий'!X363-1</f>
        <v>-9.9999999999999978E-2</v>
      </c>
      <c r="S363" s="56">
        <f>R363*'Расчет субсидий'!Y363</f>
        <v>-2.4999999999999996</v>
      </c>
      <c r="T363" s="57">
        <f t="shared" si="110"/>
        <v>-12.800338004419196</v>
      </c>
      <c r="U363" s="56">
        <f t="shared" si="94"/>
        <v>2.1483807685786016</v>
      </c>
    </row>
    <row r="364" spans="1:21" ht="15" customHeight="1">
      <c r="A364" s="33" t="s">
        <v>355</v>
      </c>
      <c r="B364" s="58"/>
      <c r="C364" s="59"/>
      <c r="D364" s="59"/>
      <c r="E364" s="60"/>
      <c r="F364" s="59"/>
      <c r="G364" s="59"/>
      <c r="H364" s="60"/>
      <c r="I364" s="60"/>
      <c r="J364" s="60"/>
      <c r="K364" s="60"/>
      <c r="L364" s="59"/>
      <c r="M364" s="59"/>
      <c r="N364" s="60"/>
      <c r="O364" s="59"/>
      <c r="P364" s="59"/>
      <c r="Q364" s="60"/>
      <c r="R364" s="59"/>
      <c r="S364" s="59"/>
      <c r="T364" s="60"/>
      <c r="U364" s="60"/>
    </row>
    <row r="365" spans="1:21" ht="15" customHeight="1">
      <c r="A365" s="34" t="s">
        <v>356</v>
      </c>
      <c r="B365" s="54">
        <f>'Расчет субсидий'!AD365</f>
        <v>-21.581818181818193</v>
      </c>
      <c r="C365" s="56">
        <f>'Расчет субсидий'!D365-1</f>
        <v>-4.842105263157892E-2</v>
      </c>
      <c r="D365" s="56">
        <f>C365*'Расчет субсидий'!E365</f>
        <v>-0.4842105263157892</v>
      </c>
      <c r="E365" s="57">
        <f t="shared" ref="E365:E376" si="111">$B365*D365/$U365</f>
        <v>-1.5672291495474204</v>
      </c>
      <c r="F365" s="28" t="s">
        <v>375</v>
      </c>
      <c r="G365" s="28" t="s">
        <v>375</v>
      </c>
      <c r="H365" s="28" t="s">
        <v>375</v>
      </c>
      <c r="I365" s="28" t="s">
        <v>375</v>
      </c>
      <c r="J365" s="28" t="s">
        <v>375</v>
      </c>
      <c r="K365" s="28" t="s">
        <v>375</v>
      </c>
      <c r="L365" s="56">
        <f>'Расчет субсидий'!P365-1</f>
        <v>-0.30918499353169471</v>
      </c>
      <c r="M365" s="56">
        <f>L365*'Расчет субсидий'!Q365</f>
        <v>-6.1836998706338946</v>
      </c>
      <c r="N365" s="57">
        <f t="shared" ref="N365:N376" si="112">$B365*M365/$U365</f>
        <v>-20.01458903227077</v>
      </c>
      <c r="O365" s="56">
        <f>'Расчет субсидий'!T365-1</f>
        <v>0</v>
      </c>
      <c r="P365" s="56">
        <f>O365*'Расчет субсидий'!U365</f>
        <v>0</v>
      </c>
      <c r="Q365" s="57">
        <f t="shared" ref="Q365:Q376" si="113">$B365*P365/$U365</f>
        <v>0</v>
      </c>
      <c r="R365" s="56">
        <f>'Расчет субсидий'!X365-1</f>
        <v>0</v>
      </c>
      <c r="S365" s="56">
        <f>R365*'Расчет субсидий'!Y365</f>
        <v>0</v>
      </c>
      <c r="T365" s="57">
        <f t="shared" ref="T365:T376" si="114">$B365*S365/$U365</f>
        <v>0</v>
      </c>
      <c r="U365" s="56">
        <f>D365+M365+P365+S365</f>
        <v>-6.6679103969496838</v>
      </c>
    </row>
    <row r="366" spans="1:21" ht="15" customHeight="1">
      <c r="A366" s="34" t="s">
        <v>357</v>
      </c>
      <c r="B366" s="54">
        <f>'Расчет субсидий'!AD366</f>
        <v>-8.9636363636363683</v>
      </c>
      <c r="C366" s="56">
        <f>'Расчет субсидий'!D366-1</f>
        <v>-1</v>
      </c>
      <c r="D366" s="56">
        <f>C366*'Расчет субсидий'!E366</f>
        <v>0</v>
      </c>
      <c r="E366" s="57">
        <f t="shared" si="111"/>
        <v>0</v>
      </c>
      <c r="F366" s="28" t="s">
        <v>375</v>
      </c>
      <c r="G366" s="28" t="s">
        <v>375</v>
      </c>
      <c r="H366" s="28" t="s">
        <v>375</v>
      </c>
      <c r="I366" s="28" t="s">
        <v>375</v>
      </c>
      <c r="J366" s="28" t="s">
        <v>375</v>
      </c>
      <c r="K366" s="28" t="s">
        <v>375</v>
      </c>
      <c r="L366" s="56">
        <f>'Расчет субсидий'!P366-1</f>
        <v>-0.2277227722772277</v>
      </c>
      <c r="M366" s="56">
        <f>L366*'Расчет субсидий'!Q366</f>
        <v>-4.5544554455445541</v>
      </c>
      <c r="N366" s="57">
        <f t="shared" si="112"/>
        <v>-15.981677237491212</v>
      </c>
      <c r="O366" s="56">
        <f>'Расчет субсидий'!T366-1</f>
        <v>8.0000000000000071E-2</v>
      </c>
      <c r="P366" s="56">
        <f>O366*'Расчет субсидий'!U366</f>
        <v>2.0000000000000018</v>
      </c>
      <c r="Q366" s="57">
        <f t="shared" si="113"/>
        <v>7.0180408738548428</v>
      </c>
      <c r="R366" s="56">
        <f>'Расчет субсидий'!X366-1</f>
        <v>0</v>
      </c>
      <c r="S366" s="56">
        <f>R366*'Расчет субсидий'!Y366</f>
        <v>0</v>
      </c>
      <c r="T366" s="57">
        <f t="shared" si="114"/>
        <v>0</v>
      </c>
      <c r="U366" s="56">
        <f t="shared" si="94"/>
        <v>-2.5544554455445523</v>
      </c>
    </row>
    <row r="367" spans="1:21" ht="15" customHeight="1">
      <c r="A367" s="34" t="s">
        <v>358</v>
      </c>
      <c r="B367" s="54">
        <f>'Расчет субсидий'!AD367</f>
        <v>0.10909090909090935</v>
      </c>
      <c r="C367" s="56">
        <f>'Расчет субсидий'!D367-1</f>
        <v>-4.2857142857143371E-3</v>
      </c>
      <c r="D367" s="56">
        <f>C367*'Расчет субсидий'!E367</f>
        <v>-4.2857142857143371E-2</v>
      </c>
      <c r="E367" s="57">
        <f t="shared" si="111"/>
        <v>-7.848266841072708E-4</v>
      </c>
      <c r="F367" s="28" t="s">
        <v>375</v>
      </c>
      <c r="G367" s="28" t="s">
        <v>375</v>
      </c>
      <c r="H367" s="28" t="s">
        <v>375</v>
      </c>
      <c r="I367" s="28" t="s">
        <v>375</v>
      </c>
      <c r="J367" s="28" t="s">
        <v>375</v>
      </c>
      <c r="K367" s="28" t="s">
        <v>375</v>
      </c>
      <c r="L367" s="56">
        <f>'Расчет субсидий'!P367-1</f>
        <v>0.30000000000000004</v>
      </c>
      <c r="M367" s="56">
        <f>L367*'Расчет субсидий'!Q367</f>
        <v>6.0000000000000009</v>
      </c>
      <c r="N367" s="57">
        <f t="shared" si="112"/>
        <v>0.10987573577501662</v>
      </c>
      <c r="O367" s="56">
        <f>'Расчет субсидий'!T367-1</f>
        <v>0</v>
      </c>
      <c r="P367" s="56">
        <f>O367*'Расчет субсидий'!U367</f>
        <v>0</v>
      </c>
      <c r="Q367" s="57">
        <f t="shared" si="113"/>
        <v>0</v>
      </c>
      <c r="R367" s="56">
        <f>'Расчет субсидий'!X367-1</f>
        <v>0</v>
      </c>
      <c r="S367" s="56">
        <f>R367*'Расчет субсидий'!Y367</f>
        <v>0</v>
      </c>
      <c r="T367" s="57">
        <f t="shared" si="114"/>
        <v>0</v>
      </c>
      <c r="U367" s="56">
        <f t="shared" si="94"/>
        <v>5.9571428571428573</v>
      </c>
    </row>
    <row r="368" spans="1:21" ht="15" customHeight="1">
      <c r="A368" s="34" t="s">
        <v>359</v>
      </c>
      <c r="B368" s="54">
        <f>'Расчет субсидий'!AD368</f>
        <v>-20.618181818181824</v>
      </c>
      <c r="C368" s="56">
        <f>'Расчет субсидий'!D368-1</f>
        <v>-1</v>
      </c>
      <c r="D368" s="56">
        <f>C368*'Расчет субсидий'!E368</f>
        <v>0</v>
      </c>
      <c r="E368" s="57">
        <f t="shared" si="111"/>
        <v>0</v>
      </c>
      <c r="F368" s="28" t="s">
        <v>375</v>
      </c>
      <c r="G368" s="28" t="s">
        <v>375</v>
      </c>
      <c r="H368" s="28" t="s">
        <v>375</v>
      </c>
      <c r="I368" s="28" t="s">
        <v>375</v>
      </c>
      <c r="J368" s="28" t="s">
        <v>375</v>
      </c>
      <c r="K368" s="28" t="s">
        <v>375</v>
      </c>
      <c r="L368" s="56">
        <f>'Расчет субсидий'!P368-1</f>
        <v>-0.3923766816143498</v>
      </c>
      <c r="M368" s="56">
        <f>L368*'Расчет субсидий'!Q368</f>
        <v>-7.8475336322869964</v>
      </c>
      <c r="N368" s="57">
        <f t="shared" si="112"/>
        <v>-20.618181818181824</v>
      </c>
      <c r="O368" s="56">
        <f>'Расчет субсидий'!T368-1</f>
        <v>0</v>
      </c>
      <c r="P368" s="56">
        <f>O368*'Расчет субсидий'!U368</f>
        <v>0</v>
      </c>
      <c r="Q368" s="57">
        <f t="shared" si="113"/>
        <v>0</v>
      </c>
      <c r="R368" s="56">
        <f>'Расчет субсидий'!X368-1</f>
        <v>0</v>
      </c>
      <c r="S368" s="56">
        <f>R368*'Расчет субсидий'!Y368</f>
        <v>0</v>
      </c>
      <c r="T368" s="57">
        <f t="shared" si="114"/>
        <v>0</v>
      </c>
      <c r="U368" s="56">
        <f t="shared" ref="U368:U376" si="115">D368+M368+P368+S368</f>
        <v>-7.8475336322869964</v>
      </c>
    </row>
    <row r="369" spans="1:21" ht="15" customHeight="1">
      <c r="A369" s="34" t="s">
        <v>360</v>
      </c>
      <c r="B369" s="54">
        <f>'Расчет субсидий'!AD369</f>
        <v>-12.845454545454544</v>
      </c>
      <c r="C369" s="56">
        <f>'Расчет субсидий'!D369-1</f>
        <v>0.2457389635316698</v>
      </c>
      <c r="D369" s="56">
        <f>C369*'Расчет субсидий'!E369</f>
        <v>2.457389635316698</v>
      </c>
      <c r="E369" s="57">
        <f t="shared" si="111"/>
        <v>3.454081479032586</v>
      </c>
      <c r="F369" s="28" t="s">
        <v>375</v>
      </c>
      <c r="G369" s="28" t="s">
        <v>375</v>
      </c>
      <c r="H369" s="28" t="s">
        <v>375</v>
      </c>
      <c r="I369" s="28" t="s">
        <v>375</v>
      </c>
      <c r="J369" s="28" t="s">
        <v>375</v>
      </c>
      <c r="K369" s="28" t="s">
        <v>375</v>
      </c>
      <c r="L369" s="56">
        <f>'Расчет субсидий'!P369-1</f>
        <v>0.21018867924528295</v>
      </c>
      <c r="M369" s="56">
        <f>L369*'Расчет субсидий'!Q369</f>
        <v>4.203773584905659</v>
      </c>
      <c r="N369" s="57">
        <f t="shared" si="112"/>
        <v>5.9087807130747327</v>
      </c>
      <c r="O369" s="56">
        <f>'Расчет субсидий'!T369-1</f>
        <v>2.0000000000000018E-2</v>
      </c>
      <c r="P369" s="56">
        <f>O369*'Расчет субсидий'!U369</f>
        <v>0.40000000000000036</v>
      </c>
      <c r="Q369" s="57">
        <f t="shared" si="113"/>
        <v>0.56223586677371851</v>
      </c>
      <c r="R369" s="56">
        <f>'Расчет субсидий'!X369-1</f>
        <v>-0.54</v>
      </c>
      <c r="S369" s="56">
        <f>R369*'Расчет субсидий'!Y369</f>
        <v>-16.200000000000003</v>
      </c>
      <c r="T369" s="57">
        <f t="shared" si="114"/>
        <v>-22.770552604335581</v>
      </c>
      <c r="U369" s="56">
        <f t="shared" si="115"/>
        <v>-9.1388367797776446</v>
      </c>
    </row>
    <row r="370" spans="1:21" ht="15" customHeight="1">
      <c r="A370" s="34" t="s">
        <v>361</v>
      </c>
      <c r="B370" s="54">
        <f>'Расчет субсидий'!AD370</f>
        <v>20.699999999999989</v>
      </c>
      <c r="C370" s="56">
        <f>'Расчет субсидий'!D370-1</f>
        <v>-4.599999999999993E-2</v>
      </c>
      <c r="D370" s="56">
        <f>C370*'Расчет субсидий'!E370</f>
        <v>-0.4599999999999993</v>
      </c>
      <c r="E370" s="57">
        <f t="shared" si="111"/>
        <v>-2.1938235455903277</v>
      </c>
      <c r="F370" s="28" t="s">
        <v>375</v>
      </c>
      <c r="G370" s="28" t="s">
        <v>375</v>
      </c>
      <c r="H370" s="28" t="s">
        <v>375</v>
      </c>
      <c r="I370" s="28" t="s">
        <v>375</v>
      </c>
      <c r="J370" s="28" t="s">
        <v>375</v>
      </c>
      <c r="K370" s="28" t="s">
        <v>375</v>
      </c>
      <c r="L370" s="56">
        <f>'Расчет субсидий'!P370-1</f>
        <v>0.20001836547291085</v>
      </c>
      <c r="M370" s="56">
        <f>L370*'Расчет субсидий'!Q370</f>
        <v>4.0003673094582171</v>
      </c>
      <c r="N370" s="57">
        <f t="shared" si="112"/>
        <v>19.078478248911477</v>
      </c>
      <c r="O370" s="56">
        <f>'Расчет субсидий'!T370-1</f>
        <v>4.0000000000000036E-2</v>
      </c>
      <c r="P370" s="56">
        <f>O370*'Расчет субсидий'!U370</f>
        <v>0.80000000000000071</v>
      </c>
      <c r="Q370" s="57">
        <f t="shared" si="113"/>
        <v>3.8153452966788399</v>
      </c>
      <c r="R370" s="56">
        <f>'Расчет субсидий'!X370-1</f>
        <v>0</v>
      </c>
      <c r="S370" s="56">
        <f>R370*'Расчет субсидий'!Y370</f>
        <v>0</v>
      </c>
      <c r="T370" s="57">
        <f t="shared" si="114"/>
        <v>0</v>
      </c>
      <c r="U370" s="56">
        <f t="shared" si="115"/>
        <v>4.3403673094582187</v>
      </c>
    </row>
    <row r="371" spans="1:21" ht="15" customHeight="1">
      <c r="A371" s="34" t="s">
        <v>362</v>
      </c>
      <c r="B371" s="54">
        <f>'Расчет субсидий'!AD371</f>
        <v>-18.636363636363626</v>
      </c>
      <c r="C371" s="56">
        <f>'Расчет субсидий'!D371-1</f>
        <v>-1</v>
      </c>
      <c r="D371" s="56">
        <f>C371*'Расчет субсидий'!E371</f>
        <v>0</v>
      </c>
      <c r="E371" s="57">
        <f t="shared" si="111"/>
        <v>0</v>
      </c>
      <c r="F371" s="28" t="s">
        <v>375</v>
      </c>
      <c r="G371" s="28" t="s">
        <v>375</v>
      </c>
      <c r="H371" s="28" t="s">
        <v>375</v>
      </c>
      <c r="I371" s="28" t="s">
        <v>375</v>
      </c>
      <c r="J371" s="28" t="s">
        <v>375</v>
      </c>
      <c r="K371" s="28" t="s">
        <v>375</v>
      </c>
      <c r="L371" s="56">
        <f>'Расчет субсидий'!P371-1</f>
        <v>-0.42434782608695654</v>
      </c>
      <c r="M371" s="56">
        <f>L371*'Расчет субсидий'!Q371</f>
        <v>-8.4869565217391312</v>
      </c>
      <c r="N371" s="57">
        <f t="shared" si="112"/>
        <v>-18.636363636363626</v>
      </c>
      <c r="O371" s="56">
        <f>'Расчет субсидий'!T371-1</f>
        <v>0</v>
      </c>
      <c r="P371" s="56">
        <f>O371*'Расчет субсидий'!U371</f>
        <v>0</v>
      </c>
      <c r="Q371" s="57">
        <f t="shared" si="113"/>
        <v>0</v>
      </c>
      <c r="R371" s="56">
        <f>'Расчет субсидий'!X371-1</f>
        <v>0</v>
      </c>
      <c r="S371" s="56">
        <f>R371*'Расчет субсидий'!Y371</f>
        <v>0</v>
      </c>
      <c r="T371" s="57">
        <f t="shared" si="114"/>
        <v>0</v>
      </c>
      <c r="U371" s="56">
        <f t="shared" si="115"/>
        <v>-8.4869565217391312</v>
      </c>
    </row>
    <row r="372" spans="1:21" ht="15" customHeight="1">
      <c r="A372" s="34" t="s">
        <v>363</v>
      </c>
      <c r="B372" s="54">
        <f>'Расчет субсидий'!AD372</f>
        <v>24.409090909090907</v>
      </c>
      <c r="C372" s="56">
        <f>'Расчет субсидий'!D372-1</f>
        <v>-1</v>
      </c>
      <c r="D372" s="56">
        <f>C372*'Расчет субсидий'!E372</f>
        <v>0</v>
      </c>
      <c r="E372" s="57">
        <f t="shared" si="111"/>
        <v>0</v>
      </c>
      <c r="F372" s="28" t="s">
        <v>375</v>
      </c>
      <c r="G372" s="28" t="s">
        <v>375</v>
      </c>
      <c r="H372" s="28" t="s">
        <v>375</v>
      </c>
      <c r="I372" s="28" t="s">
        <v>375</v>
      </c>
      <c r="J372" s="28" t="s">
        <v>375</v>
      </c>
      <c r="K372" s="28" t="s">
        <v>375</v>
      </c>
      <c r="L372" s="56">
        <f>'Расчет субсидий'!P372-1</f>
        <v>0.30000000000000004</v>
      </c>
      <c r="M372" s="56">
        <f>L372*'Расчет субсидий'!Q372</f>
        <v>6.0000000000000009</v>
      </c>
      <c r="N372" s="57">
        <f t="shared" si="112"/>
        <v>17.229946524064164</v>
      </c>
      <c r="O372" s="56">
        <f>'Расчет субсидий'!T372-1</f>
        <v>0.10000000000000009</v>
      </c>
      <c r="P372" s="56">
        <f>O372*'Расчет субсидий'!U372</f>
        <v>2.5000000000000022</v>
      </c>
      <c r="Q372" s="57">
        <f t="shared" si="113"/>
        <v>7.1791443850267411</v>
      </c>
      <c r="R372" s="56">
        <f>'Расчет субсидий'!X372-1</f>
        <v>0</v>
      </c>
      <c r="S372" s="56">
        <f>R372*'Расчет субсидий'!Y372</f>
        <v>0</v>
      </c>
      <c r="T372" s="57">
        <f t="shared" si="114"/>
        <v>0</v>
      </c>
      <c r="U372" s="56">
        <f t="shared" si="115"/>
        <v>8.5000000000000036</v>
      </c>
    </row>
    <row r="373" spans="1:21" ht="15" customHeight="1">
      <c r="A373" s="34" t="s">
        <v>364</v>
      </c>
      <c r="B373" s="54">
        <f>'Расчет субсидий'!AD373</f>
        <v>-54.24545454545455</v>
      </c>
      <c r="C373" s="56">
        <f>'Расчет субсидий'!D373-1</f>
        <v>-1</v>
      </c>
      <c r="D373" s="56">
        <f>C373*'Расчет субсидий'!E373</f>
        <v>0</v>
      </c>
      <c r="E373" s="57">
        <f t="shared" si="111"/>
        <v>0</v>
      </c>
      <c r="F373" s="28" t="s">
        <v>375</v>
      </c>
      <c r="G373" s="28" t="s">
        <v>375</v>
      </c>
      <c r="H373" s="28" t="s">
        <v>375</v>
      </c>
      <c r="I373" s="28" t="s">
        <v>375</v>
      </c>
      <c r="J373" s="28" t="s">
        <v>375</v>
      </c>
      <c r="K373" s="28" t="s">
        <v>375</v>
      </c>
      <c r="L373" s="56">
        <f>'Расчет субсидий'!P373-1</f>
        <v>-0.62092624356775294</v>
      </c>
      <c r="M373" s="56">
        <f>L373*'Расчет субсидий'!Q373</f>
        <v>-12.418524871355059</v>
      </c>
      <c r="N373" s="57">
        <f t="shared" si="112"/>
        <v>-54.24545454545455</v>
      </c>
      <c r="O373" s="56">
        <f>'Расчет субсидий'!T373-1</f>
        <v>0</v>
      </c>
      <c r="P373" s="56">
        <f>O373*'Расчет субсидий'!U373</f>
        <v>0</v>
      </c>
      <c r="Q373" s="57">
        <f t="shared" si="113"/>
        <v>0</v>
      </c>
      <c r="R373" s="56">
        <f>'Расчет субсидий'!X373-1</f>
        <v>0</v>
      </c>
      <c r="S373" s="56">
        <f>R373*'Расчет субсидий'!Y373</f>
        <v>0</v>
      </c>
      <c r="T373" s="57">
        <f t="shared" si="114"/>
        <v>0</v>
      </c>
      <c r="U373" s="56">
        <f t="shared" si="115"/>
        <v>-12.418524871355059</v>
      </c>
    </row>
    <row r="374" spans="1:21" ht="15" customHeight="1">
      <c r="A374" s="34" t="s">
        <v>365</v>
      </c>
      <c r="B374" s="54">
        <f>'Расчет субсидий'!AD374</f>
        <v>-2.9181818181818073</v>
      </c>
      <c r="C374" s="56">
        <f>'Расчет субсидий'!D374-1</f>
        <v>-1</v>
      </c>
      <c r="D374" s="56">
        <f>C374*'Расчет субсидий'!E374</f>
        <v>0</v>
      </c>
      <c r="E374" s="57">
        <f t="shared" si="111"/>
        <v>0</v>
      </c>
      <c r="F374" s="28" t="s">
        <v>375</v>
      </c>
      <c r="G374" s="28" t="s">
        <v>375</v>
      </c>
      <c r="H374" s="28" t="s">
        <v>375</v>
      </c>
      <c r="I374" s="28" t="s">
        <v>375</v>
      </c>
      <c r="J374" s="28" t="s">
        <v>375</v>
      </c>
      <c r="K374" s="28" t="s">
        <v>375</v>
      </c>
      <c r="L374" s="56">
        <f>'Расчет субсидий'!P374-1</f>
        <v>-0.1558441558441559</v>
      </c>
      <c r="M374" s="56">
        <f>L374*'Расчет субсидий'!Q374</f>
        <v>-3.1168831168831179</v>
      </c>
      <c r="N374" s="57">
        <f t="shared" si="112"/>
        <v>-6.2719131614653678</v>
      </c>
      <c r="O374" s="56">
        <f>'Расчет субсидий'!T374-1</f>
        <v>8.3333333333333259E-2</v>
      </c>
      <c r="P374" s="56">
        <f>O374*'Расчет субсидий'!U374</f>
        <v>1.6666666666666652</v>
      </c>
      <c r="Q374" s="57">
        <f t="shared" si="113"/>
        <v>3.3537313432835609</v>
      </c>
      <c r="R374" s="56">
        <f>'Расчет субсидий'!X374-1</f>
        <v>0</v>
      </c>
      <c r="S374" s="56">
        <f>R374*'Расчет субсидий'!Y374</f>
        <v>0</v>
      </c>
      <c r="T374" s="57">
        <f t="shared" si="114"/>
        <v>0</v>
      </c>
      <c r="U374" s="56">
        <f t="shared" si="115"/>
        <v>-1.4502164502164527</v>
      </c>
    </row>
    <row r="375" spans="1:21" ht="15" customHeight="1">
      <c r="A375" s="34" t="s">
        <v>366</v>
      </c>
      <c r="B375" s="54">
        <f>'Расчет субсидий'!AD375</f>
        <v>26.990909090909071</v>
      </c>
      <c r="C375" s="56">
        <f>'Расчет субсидий'!D375-1</f>
        <v>-3.0588235294117694E-2</v>
      </c>
      <c r="D375" s="56">
        <f>C375*'Расчет субсидий'!E375</f>
        <v>-0.30588235294117694</v>
      </c>
      <c r="E375" s="57">
        <f t="shared" si="111"/>
        <v>-0.94034612838370524</v>
      </c>
      <c r="F375" s="28" t="s">
        <v>375</v>
      </c>
      <c r="G375" s="28" t="s">
        <v>375</v>
      </c>
      <c r="H375" s="28" t="s">
        <v>375</v>
      </c>
      <c r="I375" s="28" t="s">
        <v>375</v>
      </c>
      <c r="J375" s="28" t="s">
        <v>375</v>
      </c>
      <c r="K375" s="28" t="s">
        <v>375</v>
      </c>
      <c r="L375" s="56">
        <f>'Расчет субсидий'!P375-1</f>
        <v>0.21928368391131325</v>
      </c>
      <c r="M375" s="56">
        <f>L375*'Расчет субсидий'!Q375</f>
        <v>4.3856736782262651</v>
      </c>
      <c r="N375" s="57">
        <f t="shared" si="112"/>
        <v>13.482475285089338</v>
      </c>
      <c r="O375" s="56">
        <f>'Расчет субсидий'!T375-1</f>
        <v>0.23499999999999988</v>
      </c>
      <c r="P375" s="56">
        <f>O375*'Расчет субсидий'!U375</f>
        <v>4.6999999999999975</v>
      </c>
      <c r="Q375" s="57">
        <f t="shared" si="113"/>
        <v>14.448779934203438</v>
      </c>
      <c r="R375" s="56">
        <f>'Расчет субсидий'!X375-1</f>
        <v>0</v>
      </c>
      <c r="S375" s="56">
        <f>R375*'Расчет субсидий'!Y375</f>
        <v>0</v>
      </c>
      <c r="T375" s="57">
        <f t="shared" si="114"/>
        <v>0</v>
      </c>
      <c r="U375" s="56">
        <f t="shared" si="115"/>
        <v>8.7797913252850854</v>
      </c>
    </row>
    <row r="376" spans="1:21" ht="15" customHeight="1">
      <c r="A376" s="34" t="s">
        <v>367</v>
      </c>
      <c r="B376" s="54">
        <f>'Расчет субсидий'!AD376</f>
        <v>-12.681818181818187</v>
      </c>
      <c r="C376" s="56">
        <f>'Расчет субсидий'!D376-1</f>
        <v>-0.14183950617283947</v>
      </c>
      <c r="D376" s="56">
        <f>C376*'Расчет субсидий'!E376</f>
        <v>-1.4183950617283947</v>
      </c>
      <c r="E376" s="57">
        <f t="shared" si="111"/>
        <v>-5.506638143675425</v>
      </c>
      <c r="F376" s="28" t="s">
        <v>375</v>
      </c>
      <c r="G376" s="28" t="s">
        <v>375</v>
      </c>
      <c r="H376" s="28" t="s">
        <v>375</v>
      </c>
      <c r="I376" s="28" t="s">
        <v>375</v>
      </c>
      <c r="J376" s="28" t="s">
        <v>375</v>
      </c>
      <c r="K376" s="28" t="s">
        <v>375</v>
      </c>
      <c r="L376" s="56">
        <f>'Расчет субсидий'!P376-1</f>
        <v>-9.2408831555445325E-2</v>
      </c>
      <c r="M376" s="56">
        <f>L376*'Расчет субсидий'!Q376</f>
        <v>-1.8481766311089065</v>
      </c>
      <c r="N376" s="57">
        <f t="shared" si="112"/>
        <v>-7.175180038142762</v>
      </c>
      <c r="O376" s="56">
        <f>'Расчет субсидий'!T376-1</f>
        <v>0</v>
      </c>
      <c r="P376" s="56">
        <f>O376*'Расчет субсидий'!U376</f>
        <v>0</v>
      </c>
      <c r="Q376" s="57">
        <f t="shared" si="113"/>
        <v>0</v>
      </c>
      <c r="R376" s="56">
        <f>'Расчет субсидий'!X376-1</f>
        <v>0</v>
      </c>
      <c r="S376" s="56">
        <f>R376*'Расчет субсидий'!Y376</f>
        <v>0</v>
      </c>
      <c r="T376" s="57">
        <f t="shared" si="114"/>
        <v>0</v>
      </c>
      <c r="U376" s="56">
        <f t="shared" si="115"/>
        <v>-3.2665716928373012</v>
      </c>
    </row>
    <row r="377" spans="1:21" s="52" customFormat="1" ht="15" customHeight="1">
      <c r="A377" s="51" t="s">
        <v>377</v>
      </c>
      <c r="B377" s="55">
        <f>'Расчет субсидий'!AD377</f>
        <v>-13810.00909090908</v>
      </c>
      <c r="C377" s="55"/>
      <c r="D377" s="55"/>
      <c r="E377" s="55">
        <f>E6+E17+E45</f>
        <v>3055.9353661593686</v>
      </c>
      <c r="F377" s="55"/>
      <c r="G377" s="55"/>
      <c r="H377" s="55">
        <f>H6+H17</f>
        <v>0</v>
      </c>
      <c r="I377" s="55"/>
      <c r="J377" s="55"/>
      <c r="K377" s="55">
        <f>K6+K17</f>
        <v>-333.9177534062178</v>
      </c>
      <c r="L377" s="55"/>
      <c r="M377" s="55"/>
      <c r="N377" s="55">
        <f>N6+N17+N45</f>
        <v>-21136.304119292952</v>
      </c>
      <c r="O377" s="55"/>
      <c r="P377" s="55"/>
      <c r="Q377" s="55">
        <f>Q17+Q45</f>
        <v>2157.3871608275304</v>
      </c>
      <c r="R377" s="55"/>
      <c r="S377" s="55"/>
      <c r="T377" s="55">
        <f>T17+T45</f>
        <v>2446.8902548031851</v>
      </c>
      <c r="U377" s="55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2015-05-27T11:37:51Z</cp:lastPrinted>
  <dcterms:created xsi:type="dcterms:W3CDTF">2010-02-05T14:48:49Z</dcterms:created>
  <dcterms:modified xsi:type="dcterms:W3CDTF">2015-05-27T11:39:39Z</dcterms:modified>
</cp:coreProperties>
</file>