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субсидий'!$A$1:$AJ$369</definedName>
  </definedNames>
  <calcPr calcId="125725"/>
</workbook>
</file>

<file path=xl/calcChain.xml><?xml version="1.0" encoding="utf-8"?>
<calcChain xmlns="http://schemas.openxmlformats.org/spreadsheetml/2006/main">
  <c r="AJ48" i="7"/>
  <c r="AJ49"/>
  <c r="AJ50"/>
  <c r="AJ51"/>
  <c r="AJ53"/>
  <c r="AJ54"/>
  <c r="AJ55"/>
  <c r="AJ56"/>
  <c r="AJ57"/>
  <c r="AJ58"/>
  <c r="AJ59"/>
  <c r="AJ60"/>
  <c r="AJ61"/>
  <c r="AJ62"/>
  <c r="AJ63"/>
  <c r="AJ64"/>
  <c r="AJ66"/>
  <c r="AJ67"/>
  <c r="AJ68"/>
  <c r="AJ69"/>
  <c r="AJ70"/>
  <c r="AJ72"/>
  <c r="AJ73"/>
  <c r="AJ74"/>
  <c r="AJ75"/>
  <c r="AJ76"/>
  <c r="AJ77"/>
  <c r="AJ78"/>
  <c r="AJ79"/>
  <c r="AJ81"/>
  <c r="AJ82"/>
  <c r="AJ83"/>
  <c r="AJ84"/>
  <c r="AJ85"/>
  <c r="AJ86"/>
  <c r="AJ87"/>
  <c r="AJ88"/>
  <c r="AJ89"/>
  <c r="AJ91"/>
  <c r="AJ92"/>
  <c r="AJ93"/>
  <c r="AJ94"/>
  <c r="AJ95"/>
  <c r="AJ96"/>
  <c r="AJ97"/>
  <c r="AJ98"/>
  <c r="AJ99"/>
  <c r="AJ100"/>
  <c r="AJ101"/>
  <c r="AJ102"/>
  <c r="AJ103"/>
  <c r="AJ105"/>
  <c r="AJ106"/>
  <c r="AJ107"/>
  <c r="AJ108"/>
  <c r="AJ109"/>
  <c r="AJ110"/>
  <c r="AJ111"/>
  <c r="AJ112"/>
  <c r="AJ113"/>
  <c r="AJ114"/>
  <c r="AJ115"/>
  <c r="AJ116"/>
  <c r="AJ117"/>
  <c r="AJ118"/>
  <c r="AJ119"/>
  <c r="AJ121"/>
  <c r="AJ122"/>
  <c r="AJ123"/>
  <c r="AJ124"/>
  <c r="AJ125"/>
  <c r="AJ126"/>
  <c r="AJ127"/>
  <c r="AJ129"/>
  <c r="AJ130"/>
  <c r="AJ131"/>
  <c r="AJ132"/>
  <c r="AJ133"/>
  <c r="AJ134"/>
  <c r="AJ135"/>
  <c r="AJ136"/>
  <c r="AJ138"/>
  <c r="AJ139"/>
  <c r="AJ140"/>
  <c r="AJ141"/>
  <c r="AJ142"/>
  <c r="AJ143"/>
  <c r="AJ145"/>
  <c r="AJ146"/>
  <c r="AJ147"/>
  <c r="AJ148"/>
  <c r="AJ149"/>
  <c r="AJ150"/>
  <c r="AJ151"/>
  <c r="AJ152"/>
  <c r="AJ153"/>
  <c r="AJ154"/>
  <c r="AJ155"/>
  <c r="AJ156"/>
  <c r="AJ158"/>
  <c r="AJ159"/>
  <c r="AJ160"/>
  <c r="AJ161"/>
  <c r="AJ162"/>
  <c r="AJ163"/>
  <c r="AJ164"/>
  <c r="AJ165"/>
  <c r="AJ166"/>
  <c r="AJ167"/>
  <c r="AJ168"/>
  <c r="AJ169"/>
  <c r="AJ170"/>
  <c r="AJ172"/>
  <c r="AJ173"/>
  <c r="AJ174"/>
  <c r="AJ175"/>
  <c r="AJ176"/>
  <c r="AJ177"/>
  <c r="AJ179"/>
  <c r="AJ180"/>
  <c r="AJ181"/>
  <c r="AJ182"/>
  <c r="AJ183"/>
  <c r="AJ184"/>
  <c r="AJ185"/>
  <c r="AJ186"/>
  <c r="AJ187"/>
  <c r="AJ188"/>
  <c r="AJ189"/>
  <c r="AJ190"/>
  <c r="AJ191"/>
  <c r="AJ193"/>
  <c r="AJ194"/>
  <c r="AJ195"/>
  <c r="AJ196"/>
  <c r="AJ197"/>
  <c r="AJ198"/>
  <c r="AJ199"/>
  <c r="AJ200"/>
  <c r="AJ201"/>
  <c r="AJ202"/>
  <c r="AJ203"/>
  <c r="AJ204"/>
  <c r="AJ206"/>
  <c r="AJ207"/>
  <c r="AJ208"/>
  <c r="AJ209"/>
  <c r="AJ210"/>
  <c r="AJ211"/>
  <c r="AJ212"/>
  <c r="AJ213"/>
  <c r="AJ214"/>
  <c r="AJ215"/>
  <c r="AJ216"/>
  <c r="AJ217"/>
  <c r="AJ218"/>
  <c r="AJ220"/>
  <c r="AJ221"/>
  <c r="AJ222"/>
  <c r="AJ223"/>
  <c r="AJ224"/>
  <c r="AJ225"/>
  <c r="AJ226"/>
  <c r="AJ227"/>
  <c r="AJ228"/>
  <c r="AJ230"/>
  <c r="AJ231"/>
  <c r="AJ232"/>
  <c r="AJ233"/>
  <c r="AJ234"/>
  <c r="AJ235"/>
  <c r="AJ236"/>
  <c r="AJ237"/>
  <c r="AJ239"/>
  <c r="AJ240"/>
  <c r="AJ241"/>
  <c r="AJ242"/>
  <c r="AJ243"/>
  <c r="AJ244"/>
  <c r="AJ245"/>
  <c r="AJ246"/>
  <c r="AJ247"/>
  <c r="AJ248"/>
  <c r="AJ249"/>
  <c r="AJ250"/>
  <c r="AJ251"/>
  <c r="AJ252"/>
  <c r="AJ253"/>
  <c r="AJ255"/>
  <c r="AJ256"/>
  <c r="AJ257"/>
  <c r="AJ258"/>
  <c r="AJ259"/>
  <c r="AJ260"/>
  <c r="AJ261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6"/>
  <c r="AJ307"/>
  <c r="AJ308"/>
  <c r="AJ309"/>
  <c r="AJ310"/>
  <c r="AJ311"/>
  <c r="AJ312"/>
  <c r="AJ313"/>
  <c r="AJ314"/>
  <c r="AJ315"/>
  <c r="AJ316"/>
  <c r="AJ317"/>
  <c r="AJ318"/>
  <c r="AJ319"/>
  <c r="AJ320"/>
  <c r="AJ322"/>
  <c r="AJ323"/>
  <c r="AJ324"/>
  <c r="AJ325"/>
  <c r="AJ326"/>
  <c r="AJ327"/>
  <c r="AJ328"/>
  <c r="AJ329"/>
  <c r="AJ330"/>
  <c r="AJ331"/>
  <c r="AJ332"/>
  <c r="AJ334"/>
  <c r="AJ335"/>
  <c r="AJ336"/>
  <c r="AJ337"/>
  <c r="AJ338"/>
  <c r="AJ339"/>
  <c r="AJ340"/>
  <c r="AJ341"/>
  <c r="AJ342"/>
  <c r="AJ343"/>
  <c r="AJ344"/>
  <c r="AJ346"/>
  <c r="AJ347"/>
  <c r="AJ348"/>
  <c r="AJ349"/>
  <c r="AJ350"/>
  <c r="AJ351"/>
  <c r="AJ352"/>
  <c r="AJ353"/>
  <c r="AJ354"/>
  <c r="AJ355"/>
  <c r="AJ357"/>
  <c r="AJ358"/>
  <c r="AJ359"/>
  <c r="AJ360"/>
  <c r="AJ361"/>
  <c r="AJ362"/>
  <c r="AJ363"/>
  <c r="AJ364"/>
  <c r="AJ365"/>
  <c r="AJ366"/>
  <c r="AJ367"/>
  <c r="AJ368"/>
  <c r="AJ47"/>
  <c r="U19" i="8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8"/>
  <c r="U9"/>
  <c r="U10"/>
  <c r="U11"/>
  <c r="U12"/>
  <c r="U13"/>
  <c r="U14"/>
  <c r="U15"/>
  <c r="U16"/>
  <c r="U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H7"/>
  <c r="E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8"/>
  <c r="G8"/>
  <c r="G9"/>
  <c r="G10"/>
  <c r="G11"/>
  <c r="G12"/>
  <c r="G13"/>
  <c r="G14"/>
  <c r="G15"/>
  <c r="G16"/>
  <c r="G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8"/>
  <c r="F8"/>
  <c r="F9"/>
  <c r="F10"/>
  <c r="F11"/>
  <c r="F12"/>
  <c r="F13"/>
  <c r="F14"/>
  <c r="F15"/>
  <c r="F16"/>
  <c r="F7"/>
  <c r="Z19" i="7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8"/>
  <c r="Z9"/>
  <c r="Z10"/>
  <c r="Z11"/>
  <c r="Z12"/>
  <c r="Z13"/>
  <c r="Z14"/>
  <c r="Z15"/>
  <c r="Z16"/>
  <c r="Z7"/>
  <c r="AJ7"/>
  <c r="H19" l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H7"/>
  <c r="AI45"/>
  <c r="AI17"/>
  <c r="AI6"/>
  <c r="AJ45"/>
  <c r="AI369" l="1"/>
  <c r="Z368"/>
  <c r="Z47"/>
  <c r="AH48"/>
  <c r="AH49"/>
  <c r="AH50"/>
  <c r="AH51"/>
  <c r="AH53"/>
  <c r="AH54"/>
  <c r="AH55"/>
  <c r="AH56"/>
  <c r="AH57"/>
  <c r="AH58"/>
  <c r="AH59"/>
  <c r="AH60"/>
  <c r="AH61"/>
  <c r="AH62"/>
  <c r="AH63"/>
  <c r="AH64"/>
  <c r="AH66"/>
  <c r="AH67"/>
  <c r="AH68"/>
  <c r="AH69"/>
  <c r="AH70"/>
  <c r="AH72"/>
  <c r="AH73"/>
  <c r="AH74"/>
  <c r="AH75"/>
  <c r="AH76"/>
  <c r="AH77"/>
  <c r="AH78"/>
  <c r="AH79"/>
  <c r="AH81"/>
  <c r="AH82"/>
  <c r="AH83"/>
  <c r="AH84"/>
  <c r="AH85"/>
  <c r="AH86"/>
  <c r="AH87"/>
  <c r="AH88"/>
  <c r="AH89"/>
  <c r="AH91"/>
  <c r="AH92"/>
  <c r="AH93"/>
  <c r="AH94"/>
  <c r="AH95"/>
  <c r="AH96"/>
  <c r="AH97"/>
  <c r="AH98"/>
  <c r="AH99"/>
  <c r="AH100"/>
  <c r="AH101"/>
  <c r="AH102"/>
  <c r="AH103"/>
  <c r="AH105"/>
  <c r="AH106"/>
  <c r="AH107"/>
  <c r="AH108"/>
  <c r="AH109"/>
  <c r="AH110"/>
  <c r="AH111"/>
  <c r="AH112"/>
  <c r="AH113"/>
  <c r="AH114"/>
  <c r="AH115"/>
  <c r="AH116"/>
  <c r="AH117"/>
  <c r="AH118"/>
  <c r="AH119"/>
  <c r="AH121"/>
  <c r="AH122"/>
  <c r="AH123"/>
  <c r="AH124"/>
  <c r="AH125"/>
  <c r="AH126"/>
  <c r="AH127"/>
  <c r="AH129"/>
  <c r="AH130"/>
  <c r="AH131"/>
  <c r="AH132"/>
  <c r="AH133"/>
  <c r="AH134"/>
  <c r="AH135"/>
  <c r="AH136"/>
  <c r="AH138"/>
  <c r="AH139"/>
  <c r="AH140"/>
  <c r="AH141"/>
  <c r="AH142"/>
  <c r="AH143"/>
  <c r="AH145"/>
  <c r="AH146"/>
  <c r="AH147"/>
  <c r="AH148"/>
  <c r="AH149"/>
  <c r="AH150"/>
  <c r="AH151"/>
  <c r="AH152"/>
  <c r="AH153"/>
  <c r="AH154"/>
  <c r="AH155"/>
  <c r="AH156"/>
  <c r="AH158"/>
  <c r="AH159"/>
  <c r="AH160"/>
  <c r="AH161"/>
  <c r="AH162"/>
  <c r="AH163"/>
  <c r="AH164"/>
  <c r="AH165"/>
  <c r="AH166"/>
  <c r="AH167"/>
  <c r="AH168"/>
  <c r="AH169"/>
  <c r="AH170"/>
  <c r="AH172"/>
  <c r="AH173"/>
  <c r="AH174"/>
  <c r="AH175"/>
  <c r="AH176"/>
  <c r="AH177"/>
  <c r="AH179"/>
  <c r="AH180"/>
  <c r="AH181"/>
  <c r="AH182"/>
  <c r="AH183"/>
  <c r="AH184"/>
  <c r="AH185"/>
  <c r="AH186"/>
  <c r="AH187"/>
  <c r="AH188"/>
  <c r="AH189"/>
  <c r="AH190"/>
  <c r="AH191"/>
  <c r="AH193"/>
  <c r="AH194"/>
  <c r="AH195"/>
  <c r="AH196"/>
  <c r="AH197"/>
  <c r="AH198"/>
  <c r="AH199"/>
  <c r="AH200"/>
  <c r="AH201"/>
  <c r="AH202"/>
  <c r="AH203"/>
  <c r="AH204"/>
  <c r="AH206"/>
  <c r="AH207"/>
  <c r="AH208"/>
  <c r="AH209"/>
  <c r="AH210"/>
  <c r="AH211"/>
  <c r="AH212"/>
  <c r="AH213"/>
  <c r="AH214"/>
  <c r="AH215"/>
  <c r="AH216"/>
  <c r="AH217"/>
  <c r="AH218"/>
  <c r="AH220"/>
  <c r="AH221"/>
  <c r="AH222"/>
  <c r="AH223"/>
  <c r="AH224"/>
  <c r="AH225"/>
  <c r="AH226"/>
  <c r="AH227"/>
  <c r="AH228"/>
  <c r="AH230"/>
  <c r="AH231"/>
  <c r="AH232"/>
  <c r="AH233"/>
  <c r="AH234"/>
  <c r="AH235"/>
  <c r="AH236"/>
  <c r="AH237"/>
  <c r="AH239"/>
  <c r="AH240"/>
  <c r="AH241"/>
  <c r="AH242"/>
  <c r="AH243"/>
  <c r="AH244"/>
  <c r="AH245"/>
  <c r="AH246"/>
  <c r="AH247"/>
  <c r="AH248"/>
  <c r="AH249"/>
  <c r="AH250"/>
  <c r="AH251"/>
  <c r="AH252"/>
  <c r="AH253"/>
  <c r="AH255"/>
  <c r="AH256"/>
  <c r="AH257"/>
  <c r="AH258"/>
  <c r="AH259"/>
  <c r="AH260"/>
  <c r="AH261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6"/>
  <c r="AH307"/>
  <c r="AH308"/>
  <c r="AH309"/>
  <c r="AH310"/>
  <c r="AH311"/>
  <c r="AH312"/>
  <c r="AH313"/>
  <c r="AH314"/>
  <c r="AH315"/>
  <c r="AH316"/>
  <c r="AH317"/>
  <c r="AH318"/>
  <c r="AH319"/>
  <c r="AH320"/>
  <c r="AH322"/>
  <c r="AH323"/>
  <c r="AH324"/>
  <c r="AH325"/>
  <c r="AH326"/>
  <c r="AH327"/>
  <c r="AH328"/>
  <c r="AH329"/>
  <c r="AH330"/>
  <c r="AH331"/>
  <c r="AH332"/>
  <c r="AH334"/>
  <c r="AH335"/>
  <c r="AH336"/>
  <c r="AH337"/>
  <c r="AH338"/>
  <c r="AH339"/>
  <c r="AH340"/>
  <c r="AH341"/>
  <c r="AH342"/>
  <c r="AH343"/>
  <c r="AH344"/>
  <c r="AH346"/>
  <c r="AH347"/>
  <c r="AH348"/>
  <c r="AH349"/>
  <c r="AH350"/>
  <c r="AH351"/>
  <c r="AH352"/>
  <c r="AH353"/>
  <c r="AH354"/>
  <c r="AH355"/>
  <c r="AH357"/>
  <c r="AH358"/>
  <c r="AH359"/>
  <c r="AH360"/>
  <c r="AH361"/>
  <c r="AH362"/>
  <c r="AH363"/>
  <c r="AH364"/>
  <c r="AH365"/>
  <c r="AH366"/>
  <c r="AH367"/>
  <c r="AH368"/>
  <c r="AH47"/>
  <c r="AG368" l="1"/>
  <c r="AG367"/>
  <c r="AG365"/>
  <c r="AG364"/>
  <c r="AG360"/>
  <c r="AG359"/>
  <c r="AG331"/>
  <c r="AG328"/>
  <c r="AG326"/>
  <c r="AG322"/>
  <c r="AG319"/>
  <c r="AG318"/>
  <c r="AG317"/>
  <c r="AG316"/>
  <c r="AG315"/>
  <c r="AG312"/>
  <c r="AG311"/>
  <c r="AG310"/>
  <c r="AG309"/>
  <c r="AG307"/>
  <c r="AG306"/>
  <c r="AG303"/>
  <c r="AG300"/>
  <c r="AG290"/>
  <c r="AG286"/>
  <c r="AG277"/>
  <c r="AG276"/>
  <c r="AG275"/>
  <c r="AG265"/>
  <c r="AG264"/>
  <c r="AG263"/>
  <c r="AG258"/>
  <c r="AG257"/>
  <c r="AG251"/>
  <c r="AG248"/>
  <c r="AG245"/>
  <c r="AG244"/>
  <c r="AG243"/>
  <c r="AG228"/>
  <c r="AG226"/>
  <c r="AG220"/>
  <c r="AG213"/>
  <c r="AG209"/>
  <c r="AG202"/>
  <c r="AG197"/>
  <c r="AG195"/>
  <c r="AG194"/>
  <c r="AG193"/>
  <c r="AG186"/>
  <c r="AG182"/>
  <c r="AG175"/>
  <c r="AG174"/>
  <c r="AG172"/>
  <c r="AG168"/>
  <c r="AG167"/>
  <c r="AG118"/>
  <c r="AG116"/>
  <c r="AG110"/>
  <c r="AG108"/>
  <c r="AG107"/>
  <c r="AG101"/>
  <c r="AG100"/>
  <c r="AG97"/>
  <c r="AG92"/>
  <c r="AG89"/>
  <c r="AG87"/>
  <c r="AG86"/>
  <c r="AG85"/>
  <c r="AG74"/>
  <c r="AG73"/>
  <c r="AG67"/>
  <c r="AG64"/>
  <c r="AG62"/>
  <c r="AG58"/>
  <c r="AG53"/>
  <c r="AG47"/>
  <c r="AG45" l="1"/>
  <c r="AH45" l="1"/>
  <c r="AF48" l="1"/>
  <c r="AF49"/>
  <c r="AF50"/>
  <c r="AF51"/>
  <c r="AF53"/>
  <c r="AF54"/>
  <c r="AF55"/>
  <c r="AF56"/>
  <c r="AF57"/>
  <c r="AF58"/>
  <c r="AF59"/>
  <c r="AF60"/>
  <c r="AF61"/>
  <c r="AF62"/>
  <c r="AF63"/>
  <c r="AF64"/>
  <c r="AF66"/>
  <c r="AF67"/>
  <c r="AF68"/>
  <c r="AF69"/>
  <c r="AF70"/>
  <c r="AF72"/>
  <c r="AF73"/>
  <c r="AF74"/>
  <c r="AF75"/>
  <c r="AF76"/>
  <c r="AF77"/>
  <c r="AF78"/>
  <c r="AF79"/>
  <c r="AF81"/>
  <c r="AF82"/>
  <c r="AF83"/>
  <c r="AF84"/>
  <c r="AF85"/>
  <c r="AF86"/>
  <c r="AF87"/>
  <c r="AF88"/>
  <c r="AF89"/>
  <c r="AF91"/>
  <c r="AF92"/>
  <c r="AF93"/>
  <c r="AF94"/>
  <c r="AF95"/>
  <c r="AF96"/>
  <c r="AF97"/>
  <c r="AF98"/>
  <c r="AF99"/>
  <c r="AF100"/>
  <c r="AF101"/>
  <c r="AF102"/>
  <c r="AF103"/>
  <c r="AF105"/>
  <c r="AF106"/>
  <c r="AF107"/>
  <c r="AF108"/>
  <c r="AF109"/>
  <c r="AF110"/>
  <c r="AF111"/>
  <c r="AF112"/>
  <c r="AF113"/>
  <c r="AF114"/>
  <c r="AF115"/>
  <c r="AF116"/>
  <c r="AF117"/>
  <c r="AF118"/>
  <c r="AF119"/>
  <c r="AF121"/>
  <c r="AF122"/>
  <c r="AF123"/>
  <c r="AF124"/>
  <c r="AF125"/>
  <c r="AF126"/>
  <c r="AF127"/>
  <c r="AF129"/>
  <c r="AF130"/>
  <c r="AF131"/>
  <c r="AF132"/>
  <c r="AF133"/>
  <c r="AF134"/>
  <c r="AF135"/>
  <c r="AF136"/>
  <c r="AF138"/>
  <c r="AF139"/>
  <c r="AF140"/>
  <c r="AF141"/>
  <c r="AF142"/>
  <c r="AF143"/>
  <c r="AF145"/>
  <c r="AF146"/>
  <c r="AF147"/>
  <c r="AF148"/>
  <c r="AF149"/>
  <c r="AF150"/>
  <c r="AF151"/>
  <c r="AF152"/>
  <c r="AF153"/>
  <c r="AF154"/>
  <c r="AF155"/>
  <c r="AF156"/>
  <c r="AF158"/>
  <c r="AF159"/>
  <c r="AF160"/>
  <c r="AF161"/>
  <c r="AF162"/>
  <c r="AF163"/>
  <c r="AF164"/>
  <c r="AF165"/>
  <c r="AF166"/>
  <c r="AF167"/>
  <c r="AF168"/>
  <c r="AF169"/>
  <c r="AF170"/>
  <c r="AF172"/>
  <c r="AF173"/>
  <c r="AF174"/>
  <c r="AF175"/>
  <c r="AF176"/>
  <c r="AF177"/>
  <c r="AF179"/>
  <c r="AF180"/>
  <c r="AF181"/>
  <c r="AF182"/>
  <c r="AF183"/>
  <c r="AF184"/>
  <c r="AF185"/>
  <c r="AF186"/>
  <c r="AF187"/>
  <c r="AF188"/>
  <c r="AF189"/>
  <c r="AF190"/>
  <c r="AF191"/>
  <c r="AF193"/>
  <c r="AF194"/>
  <c r="AF195"/>
  <c r="AF196"/>
  <c r="AF197"/>
  <c r="AF198"/>
  <c r="AF199"/>
  <c r="AF200"/>
  <c r="AF201"/>
  <c r="AF202"/>
  <c r="AF203"/>
  <c r="AF204"/>
  <c r="AF206"/>
  <c r="AF207"/>
  <c r="AF208"/>
  <c r="AF209"/>
  <c r="AF210"/>
  <c r="AF211"/>
  <c r="AF212"/>
  <c r="AF213"/>
  <c r="AF214"/>
  <c r="AF215"/>
  <c r="AF216"/>
  <c r="AF217"/>
  <c r="AF218"/>
  <c r="AF220"/>
  <c r="AF221"/>
  <c r="AF222"/>
  <c r="AF223"/>
  <c r="AF224"/>
  <c r="AF225"/>
  <c r="AF226"/>
  <c r="AF227"/>
  <c r="AF228"/>
  <c r="AF230"/>
  <c r="AF231"/>
  <c r="AF232"/>
  <c r="AF233"/>
  <c r="AF234"/>
  <c r="AF235"/>
  <c r="AF236"/>
  <c r="AF237"/>
  <c r="AF239"/>
  <c r="AF240"/>
  <c r="AF241"/>
  <c r="AF242"/>
  <c r="AF243"/>
  <c r="AF244"/>
  <c r="AF245"/>
  <c r="AF246"/>
  <c r="AF247"/>
  <c r="AF248"/>
  <c r="AF249"/>
  <c r="AF250"/>
  <c r="AF251"/>
  <c r="AF252"/>
  <c r="AF253"/>
  <c r="AF255"/>
  <c r="AF256"/>
  <c r="AF257"/>
  <c r="AF258"/>
  <c r="AF259"/>
  <c r="AF260"/>
  <c r="AF261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6"/>
  <c r="AF307"/>
  <c r="AF308"/>
  <c r="AF309"/>
  <c r="AF310"/>
  <c r="AF311"/>
  <c r="AF312"/>
  <c r="AF313"/>
  <c r="AF314"/>
  <c r="AF315"/>
  <c r="AF316"/>
  <c r="AF317"/>
  <c r="AF318"/>
  <c r="AF319"/>
  <c r="AF320"/>
  <c r="AF322"/>
  <c r="AF323"/>
  <c r="AF324"/>
  <c r="AF325"/>
  <c r="AF326"/>
  <c r="AF327"/>
  <c r="AF328"/>
  <c r="AF329"/>
  <c r="AF330"/>
  <c r="AF331"/>
  <c r="AF332"/>
  <c r="AF334"/>
  <c r="AF335"/>
  <c r="AF336"/>
  <c r="AF337"/>
  <c r="AF338"/>
  <c r="AF339"/>
  <c r="AF340"/>
  <c r="AF341"/>
  <c r="AF342"/>
  <c r="AF343"/>
  <c r="AF344"/>
  <c r="AF346"/>
  <c r="AF347"/>
  <c r="AF348"/>
  <c r="AF349"/>
  <c r="AF350"/>
  <c r="AF351"/>
  <c r="AF352"/>
  <c r="AF353"/>
  <c r="AF354"/>
  <c r="AF355"/>
  <c r="AF357"/>
  <c r="AF358"/>
  <c r="AF359"/>
  <c r="AF360"/>
  <c r="AF361"/>
  <c r="AF362"/>
  <c r="AF363"/>
  <c r="AF364"/>
  <c r="AF365"/>
  <c r="AF366"/>
  <c r="AF367"/>
  <c r="AF368"/>
  <c r="AF47"/>
  <c r="AE237"/>
  <c r="AE35"/>
  <c r="AD48" l="1"/>
  <c r="AD49"/>
  <c r="AD50"/>
  <c r="AD51"/>
  <c r="AD53"/>
  <c r="AD54"/>
  <c r="AD55"/>
  <c r="AD56"/>
  <c r="AD57"/>
  <c r="AD58"/>
  <c r="AD59"/>
  <c r="AD60"/>
  <c r="AD61"/>
  <c r="AD62"/>
  <c r="AD63"/>
  <c r="AD64"/>
  <c r="AD66"/>
  <c r="AD67"/>
  <c r="AD68"/>
  <c r="AD69"/>
  <c r="AD70"/>
  <c r="AD72"/>
  <c r="AD73"/>
  <c r="AD74"/>
  <c r="AD75"/>
  <c r="AD76"/>
  <c r="AD77"/>
  <c r="AD78"/>
  <c r="AD79"/>
  <c r="AD81"/>
  <c r="AD82"/>
  <c r="AD83"/>
  <c r="AD84"/>
  <c r="AD85"/>
  <c r="AD86"/>
  <c r="AD87"/>
  <c r="AD88"/>
  <c r="AD89"/>
  <c r="AD91"/>
  <c r="AD92"/>
  <c r="AD93"/>
  <c r="AD94"/>
  <c r="AD95"/>
  <c r="AD96"/>
  <c r="AD97"/>
  <c r="AD98"/>
  <c r="AD99"/>
  <c r="AD100"/>
  <c r="AD101"/>
  <c r="AD102"/>
  <c r="AD103"/>
  <c r="AD105"/>
  <c r="AD106"/>
  <c r="AD107"/>
  <c r="AD108"/>
  <c r="AD109"/>
  <c r="AD110"/>
  <c r="AD111"/>
  <c r="AD112"/>
  <c r="AD113"/>
  <c r="AD114"/>
  <c r="AD115"/>
  <c r="AD116"/>
  <c r="AD117"/>
  <c r="AD118"/>
  <c r="AD119"/>
  <c r="AD121"/>
  <c r="AD122"/>
  <c r="AD123"/>
  <c r="AD124"/>
  <c r="AD125"/>
  <c r="AD126"/>
  <c r="AD127"/>
  <c r="AD129"/>
  <c r="AD130"/>
  <c r="AD131"/>
  <c r="AD132"/>
  <c r="AD133"/>
  <c r="AD134"/>
  <c r="AD135"/>
  <c r="AD136"/>
  <c r="AD138"/>
  <c r="AD139"/>
  <c r="AD140"/>
  <c r="AD141"/>
  <c r="AD142"/>
  <c r="AD143"/>
  <c r="AD145"/>
  <c r="AD146"/>
  <c r="AD147"/>
  <c r="AD148"/>
  <c r="AD149"/>
  <c r="AD150"/>
  <c r="AD151"/>
  <c r="AD152"/>
  <c r="AD153"/>
  <c r="AD154"/>
  <c r="AD155"/>
  <c r="AD156"/>
  <c r="AD158"/>
  <c r="AD159"/>
  <c r="AD160"/>
  <c r="AD161"/>
  <c r="AD162"/>
  <c r="AD163"/>
  <c r="AD164"/>
  <c r="AD165"/>
  <c r="AD166"/>
  <c r="AD167"/>
  <c r="AD168"/>
  <c r="AD169"/>
  <c r="AD170"/>
  <c r="AD172"/>
  <c r="AD173"/>
  <c r="AD174"/>
  <c r="AD175"/>
  <c r="AD176"/>
  <c r="AD177"/>
  <c r="AD179"/>
  <c r="AD180"/>
  <c r="AD181"/>
  <c r="AD182"/>
  <c r="AD183"/>
  <c r="AD184"/>
  <c r="AD185"/>
  <c r="AD186"/>
  <c r="AD187"/>
  <c r="AD188"/>
  <c r="AD189"/>
  <c r="AD190"/>
  <c r="AD191"/>
  <c r="AD193"/>
  <c r="AD194"/>
  <c r="AD195"/>
  <c r="AD196"/>
  <c r="AD197"/>
  <c r="AD198"/>
  <c r="AD199"/>
  <c r="AD200"/>
  <c r="AD201"/>
  <c r="AD202"/>
  <c r="AD203"/>
  <c r="AD204"/>
  <c r="AD206"/>
  <c r="AD207"/>
  <c r="AD208"/>
  <c r="AD209"/>
  <c r="AD210"/>
  <c r="AD211"/>
  <c r="AD212"/>
  <c r="AD213"/>
  <c r="AD214"/>
  <c r="AD215"/>
  <c r="AD216"/>
  <c r="AD217"/>
  <c r="AD218"/>
  <c r="AD220"/>
  <c r="AD221"/>
  <c r="AD222"/>
  <c r="AD223"/>
  <c r="AD224"/>
  <c r="AD225"/>
  <c r="AD226"/>
  <c r="AD227"/>
  <c r="AD228"/>
  <c r="AD230"/>
  <c r="AD231"/>
  <c r="AD232"/>
  <c r="AD233"/>
  <c r="AD234"/>
  <c r="AD235"/>
  <c r="AD236"/>
  <c r="AD237"/>
  <c r="AD239"/>
  <c r="AD240"/>
  <c r="AD241"/>
  <c r="AD242"/>
  <c r="AD243"/>
  <c r="AD244"/>
  <c r="AD245"/>
  <c r="AD246"/>
  <c r="AD247"/>
  <c r="AD248"/>
  <c r="AD249"/>
  <c r="AD250"/>
  <c r="AD251"/>
  <c r="AD252"/>
  <c r="AD253"/>
  <c r="AD255"/>
  <c r="AD256"/>
  <c r="AD257"/>
  <c r="AD258"/>
  <c r="AD259"/>
  <c r="AD260"/>
  <c r="AD261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6"/>
  <c r="AD307"/>
  <c r="AD308"/>
  <c r="AD309"/>
  <c r="AD310"/>
  <c r="AD311"/>
  <c r="AD312"/>
  <c r="AD313"/>
  <c r="AD314"/>
  <c r="AD315"/>
  <c r="AD316"/>
  <c r="AD317"/>
  <c r="AD318"/>
  <c r="AD319"/>
  <c r="AD320"/>
  <c r="AD322"/>
  <c r="AD323"/>
  <c r="AD324"/>
  <c r="AD325"/>
  <c r="AD326"/>
  <c r="AD327"/>
  <c r="AD328"/>
  <c r="AD329"/>
  <c r="AD330"/>
  <c r="AD331"/>
  <c r="AD332"/>
  <c r="AD334"/>
  <c r="AD335"/>
  <c r="AD336"/>
  <c r="AD337"/>
  <c r="AD338"/>
  <c r="AD339"/>
  <c r="AD340"/>
  <c r="AD341"/>
  <c r="AD342"/>
  <c r="AD343"/>
  <c r="AD344"/>
  <c r="AD346"/>
  <c r="AD347"/>
  <c r="AD348"/>
  <c r="AD349"/>
  <c r="AD350"/>
  <c r="AD351"/>
  <c r="AD352"/>
  <c r="AD353"/>
  <c r="AD354"/>
  <c r="AD355"/>
  <c r="AD357"/>
  <c r="AD358"/>
  <c r="AD359"/>
  <c r="AD360"/>
  <c r="AD361"/>
  <c r="AD362"/>
  <c r="AD363"/>
  <c r="AD364"/>
  <c r="AD365"/>
  <c r="AD366"/>
  <c r="AD367"/>
  <c r="AD368"/>
  <c r="AD47"/>
  <c r="AC48"/>
  <c r="AC49"/>
  <c r="AC50"/>
  <c r="AC51"/>
  <c r="AC53"/>
  <c r="AC54"/>
  <c r="AC55"/>
  <c r="AC56"/>
  <c r="AC57"/>
  <c r="AC58"/>
  <c r="AC59"/>
  <c r="AC60"/>
  <c r="AC61"/>
  <c r="AC62"/>
  <c r="AC63"/>
  <c r="AC64"/>
  <c r="AC66"/>
  <c r="AC67"/>
  <c r="AC68"/>
  <c r="AC69"/>
  <c r="AC70"/>
  <c r="AC72"/>
  <c r="AC73"/>
  <c r="AC74"/>
  <c r="AC75"/>
  <c r="AC76"/>
  <c r="AC77"/>
  <c r="AC78"/>
  <c r="AC79"/>
  <c r="AC81"/>
  <c r="AC82"/>
  <c r="AC83"/>
  <c r="AC84"/>
  <c r="AC85"/>
  <c r="AC86"/>
  <c r="AC87"/>
  <c r="AC88"/>
  <c r="AC89"/>
  <c r="AC91"/>
  <c r="AC92"/>
  <c r="AC93"/>
  <c r="AC94"/>
  <c r="AC95"/>
  <c r="AC96"/>
  <c r="AC97"/>
  <c r="AC98"/>
  <c r="AC99"/>
  <c r="AC100"/>
  <c r="AC101"/>
  <c r="AC102"/>
  <c r="AC103"/>
  <c r="AC105"/>
  <c r="AC106"/>
  <c r="AC107"/>
  <c r="AC108"/>
  <c r="AC109"/>
  <c r="AC110"/>
  <c r="AC111"/>
  <c r="AC112"/>
  <c r="AC113"/>
  <c r="AC114"/>
  <c r="AC115"/>
  <c r="AC116"/>
  <c r="AC117"/>
  <c r="AC118"/>
  <c r="AC119"/>
  <c r="AC121"/>
  <c r="AC122"/>
  <c r="AC123"/>
  <c r="AC124"/>
  <c r="AC125"/>
  <c r="AC126"/>
  <c r="AC127"/>
  <c r="AC129"/>
  <c r="AC130"/>
  <c r="AC131"/>
  <c r="AC132"/>
  <c r="AC133"/>
  <c r="AC134"/>
  <c r="AC135"/>
  <c r="AC136"/>
  <c r="AC138"/>
  <c r="AC139"/>
  <c r="AC140"/>
  <c r="AC141"/>
  <c r="AC142"/>
  <c r="AC143"/>
  <c r="AC145"/>
  <c r="AC146"/>
  <c r="AC147"/>
  <c r="AC148"/>
  <c r="AC149"/>
  <c r="AC150"/>
  <c r="AC151"/>
  <c r="AC152"/>
  <c r="AC153"/>
  <c r="AC154"/>
  <c r="AC155"/>
  <c r="AC156"/>
  <c r="AC158"/>
  <c r="AC159"/>
  <c r="AC160"/>
  <c r="AC161"/>
  <c r="AC162"/>
  <c r="AC163"/>
  <c r="AC164"/>
  <c r="AC165"/>
  <c r="AC166"/>
  <c r="AC167"/>
  <c r="AC168"/>
  <c r="AC169"/>
  <c r="AC170"/>
  <c r="AC172"/>
  <c r="AC173"/>
  <c r="AC174"/>
  <c r="AC175"/>
  <c r="AC176"/>
  <c r="AC177"/>
  <c r="AC179"/>
  <c r="AC180"/>
  <c r="AC181"/>
  <c r="AC182"/>
  <c r="AC183"/>
  <c r="AC184"/>
  <c r="AC185"/>
  <c r="AC186"/>
  <c r="AC187"/>
  <c r="AC188"/>
  <c r="AC189"/>
  <c r="AC190"/>
  <c r="AC191"/>
  <c r="AC193"/>
  <c r="AC194"/>
  <c r="AC195"/>
  <c r="AC196"/>
  <c r="AC197"/>
  <c r="AC198"/>
  <c r="AC199"/>
  <c r="AC200"/>
  <c r="AC201"/>
  <c r="AC202"/>
  <c r="AC203"/>
  <c r="AC204"/>
  <c r="AC206"/>
  <c r="AC207"/>
  <c r="AC208"/>
  <c r="AC209"/>
  <c r="AC210"/>
  <c r="AC211"/>
  <c r="AC212"/>
  <c r="AC213"/>
  <c r="AC214"/>
  <c r="AC215"/>
  <c r="AC216"/>
  <c r="AC217"/>
  <c r="AC218"/>
  <c r="AC220"/>
  <c r="AC221"/>
  <c r="AC222"/>
  <c r="AC223"/>
  <c r="AC224"/>
  <c r="AC225"/>
  <c r="AC226"/>
  <c r="AC227"/>
  <c r="AC228"/>
  <c r="AC230"/>
  <c r="AC231"/>
  <c r="AC232"/>
  <c r="AC233"/>
  <c r="AC234"/>
  <c r="AC235"/>
  <c r="AC236"/>
  <c r="AC237"/>
  <c r="AC239"/>
  <c r="AC240"/>
  <c r="AC241"/>
  <c r="AC242"/>
  <c r="AC243"/>
  <c r="AC244"/>
  <c r="AC245"/>
  <c r="AC246"/>
  <c r="AC247"/>
  <c r="AC248"/>
  <c r="AC249"/>
  <c r="AC250"/>
  <c r="AC251"/>
  <c r="AC252"/>
  <c r="AC253"/>
  <c r="AC255"/>
  <c r="AC256"/>
  <c r="AC257"/>
  <c r="AC258"/>
  <c r="AC259"/>
  <c r="AC260"/>
  <c r="AC261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6"/>
  <c r="AC307"/>
  <c r="AC308"/>
  <c r="AC309"/>
  <c r="AC310"/>
  <c r="AC311"/>
  <c r="AC312"/>
  <c r="AC313"/>
  <c r="AC314"/>
  <c r="AC315"/>
  <c r="AC316"/>
  <c r="AC317"/>
  <c r="AC318"/>
  <c r="AC319"/>
  <c r="AC320"/>
  <c r="AC322"/>
  <c r="AC323"/>
  <c r="AC324"/>
  <c r="AC325"/>
  <c r="AC326"/>
  <c r="AC327"/>
  <c r="AC328"/>
  <c r="AC329"/>
  <c r="AC330"/>
  <c r="AC331"/>
  <c r="AC332"/>
  <c r="AC334"/>
  <c r="AC335"/>
  <c r="AC336"/>
  <c r="AC337"/>
  <c r="AC338"/>
  <c r="AC339"/>
  <c r="AC340"/>
  <c r="AC341"/>
  <c r="AC342"/>
  <c r="AC343"/>
  <c r="AC344"/>
  <c r="AC346"/>
  <c r="AC347"/>
  <c r="AC348"/>
  <c r="AC349"/>
  <c r="AC350"/>
  <c r="AC351"/>
  <c r="AC352"/>
  <c r="AC353"/>
  <c r="AC354"/>
  <c r="AC355"/>
  <c r="AC357"/>
  <c r="AC358"/>
  <c r="AC359"/>
  <c r="AC360"/>
  <c r="AC361"/>
  <c r="AC362"/>
  <c r="AC363"/>
  <c r="AC364"/>
  <c r="AC365"/>
  <c r="AC366"/>
  <c r="AC367"/>
  <c r="AC368"/>
  <c r="AC47"/>
  <c r="AC19"/>
  <c r="AF19" s="1"/>
  <c r="AH19" s="1"/>
  <c r="AJ19" s="1"/>
  <c r="AC20"/>
  <c r="AF20" s="1"/>
  <c r="AH20" s="1"/>
  <c r="AJ20" s="1"/>
  <c r="AC21"/>
  <c r="AF21" s="1"/>
  <c r="AH21" s="1"/>
  <c r="AJ21" s="1"/>
  <c r="AC22"/>
  <c r="AF22" s="1"/>
  <c r="AH22" s="1"/>
  <c r="AJ22" s="1"/>
  <c r="AC23"/>
  <c r="AF23" s="1"/>
  <c r="AH23" s="1"/>
  <c r="AJ23" s="1"/>
  <c r="AC24"/>
  <c r="AF24" s="1"/>
  <c r="AC25"/>
  <c r="AF25" s="1"/>
  <c r="AH25" s="1"/>
  <c r="AJ25" s="1"/>
  <c r="AC26"/>
  <c r="AF26" s="1"/>
  <c r="AH26" s="1"/>
  <c r="AJ26" s="1"/>
  <c r="AC27"/>
  <c r="AF27" s="1"/>
  <c r="AH27" s="1"/>
  <c r="AJ27" s="1"/>
  <c r="AC28"/>
  <c r="AF28" s="1"/>
  <c r="AH28" s="1"/>
  <c r="AJ28" s="1"/>
  <c r="AC29"/>
  <c r="AF29" s="1"/>
  <c r="AH29" s="1"/>
  <c r="AJ29" s="1"/>
  <c r="AC30"/>
  <c r="AF30" s="1"/>
  <c r="AH30" s="1"/>
  <c r="AJ30" s="1"/>
  <c r="AC31"/>
  <c r="AF31" s="1"/>
  <c r="AH31" s="1"/>
  <c r="AJ31" s="1"/>
  <c r="AC32"/>
  <c r="AF32" s="1"/>
  <c r="AH32" s="1"/>
  <c r="AJ32" s="1"/>
  <c r="AC33"/>
  <c r="AF33" s="1"/>
  <c r="AH33" s="1"/>
  <c r="AJ33" s="1"/>
  <c r="AC34"/>
  <c r="AF34" s="1"/>
  <c r="AH34" s="1"/>
  <c r="AJ34" s="1"/>
  <c r="AC35"/>
  <c r="AF35" s="1"/>
  <c r="AH35" s="1"/>
  <c r="AJ35" s="1"/>
  <c r="AC36"/>
  <c r="AF36" s="1"/>
  <c r="AH36" s="1"/>
  <c r="AJ36" s="1"/>
  <c r="AC37"/>
  <c r="AF37" s="1"/>
  <c r="AH37" s="1"/>
  <c r="AJ37" s="1"/>
  <c r="AC38"/>
  <c r="AF38" s="1"/>
  <c r="AH38" s="1"/>
  <c r="AJ38" s="1"/>
  <c r="AC39"/>
  <c r="AF39" s="1"/>
  <c r="AH39" s="1"/>
  <c r="AJ39" s="1"/>
  <c r="AC40"/>
  <c r="AF40" s="1"/>
  <c r="AH40" s="1"/>
  <c r="AJ40" s="1"/>
  <c r="AC41"/>
  <c r="AF41" s="1"/>
  <c r="AH41" s="1"/>
  <c r="AJ41" s="1"/>
  <c r="AC42"/>
  <c r="AF42" s="1"/>
  <c r="AH42" s="1"/>
  <c r="AJ42" s="1"/>
  <c r="AC43"/>
  <c r="AF43" s="1"/>
  <c r="AH43" s="1"/>
  <c r="AJ43" s="1"/>
  <c r="AC44"/>
  <c r="AF44" s="1"/>
  <c r="AH44" s="1"/>
  <c r="AJ44" s="1"/>
  <c r="AC18"/>
  <c r="AF18" s="1"/>
  <c r="AH18" s="1"/>
  <c r="AC8"/>
  <c r="AF8" s="1"/>
  <c r="AH8" s="1"/>
  <c r="AJ8" s="1"/>
  <c r="AC9"/>
  <c r="AF9" s="1"/>
  <c r="AH9" s="1"/>
  <c r="AJ9" s="1"/>
  <c r="AC10"/>
  <c r="AF10" s="1"/>
  <c r="AH10" s="1"/>
  <c r="AJ10" s="1"/>
  <c r="AC11"/>
  <c r="AF11" s="1"/>
  <c r="AH11" s="1"/>
  <c r="AJ11" s="1"/>
  <c r="AC12"/>
  <c r="AF12" s="1"/>
  <c r="AH12" s="1"/>
  <c r="AJ12" s="1"/>
  <c r="AC13"/>
  <c r="AF13" s="1"/>
  <c r="AH13" s="1"/>
  <c r="AJ13" s="1"/>
  <c r="AC14"/>
  <c r="AF14" s="1"/>
  <c r="AH14" s="1"/>
  <c r="AJ14" s="1"/>
  <c r="AC15"/>
  <c r="AF15" s="1"/>
  <c r="AC16"/>
  <c r="AF16" s="1"/>
  <c r="AH16" s="1"/>
  <c r="AJ16" s="1"/>
  <c r="AC7"/>
  <c r="AF7" s="1"/>
  <c r="AH7" s="1"/>
  <c r="AB7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368"/>
  <c r="AB47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A45"/>
  <c r="Z48"/>
  <c r="Z49"/>
  <c r="Z50"/>
  <c r="Z51"/>
  <c r="Z53"/>
  <c r="Z54"/>
  <c r="Z55"/>
  <c r="Z56"/>
  <c r="Z57"/>
  <c r="Z58"/>
  <c r="Z59"/>
  <c r="Z60"/>
  <c r="Z61"/>
  <c r="Z62"/>
  <c r="Z63"/>
  <c r="Z64"/>
  <c r="Z66"/>
  <c r="Z67"/>
  <c r="Z68"/>
  <c r="Z69"/>
  <c r="Z70"/>
  <c r="Z72"/>
  <c r="Z73"/>
  <c r="Z74"/>
  <c r="Z75"/>
  <c r="Z76"/>
  <c r="Z77"/>
  <c r="Z78"/>
  <c r="Z79"/>
  <c r="Z81"/>
  <c r="Z82"/>
  <c r="Z83"/>
  <c r="Z84"/>
  <c r="Z85"/>
  <c r="Z86"/>
  <c r="Z87"/>
  <c r="Z88"/>
  <c r="Z89"/>
  <c r="Z91"/>
  <c r="Z92"/>
  <c r="Z93"/>
  <c r="Z94"/>
  <c r="Z95"/>
  <c r="Z96"/>
  <c r="Z97"/>
  <c r="Z98"/>
  <c r="Z99"/>
  <c r="Z100"/>
  <c r="Z101"/>
  <c r="Z102"/>
  <c r="Z103"/>
  <c r="Z105"/>
  <c r="Z106"/>
  <c r="Z107"/>
  <c r="Z108"/>
  <c r="Z109"/>
  <c r="Z110"/>
  <c r="Z111"/>
  <c r="Z112"/>
  <c r="Z113"/>
  <c r="Z114"/>
  <c r="Z115"/>
  <c r="Z116"/>
  <c r="Z117"/>
  <c r="Z118"/>
  <c r="Z119"/>
  <c r="Z121"/>
  <c r="Z122"/>
  <c r="Z123"/>
  <c r="Z124"/>
  <c r="Z125"/>
  <c r="Z126"/>
  <c r="Z127"/>
  <c r="Z129"/>
  <c r="Z130"/>
  <c r="Z131"/>
  <c r="Z132"/>
  <c r="Z133"/>
  <c r="Z134"/>
  <c r="Z135"/>
  <c r="Z136"/>
  <c r="Z138"/>
  <c r="Z139"/>
  <c r="Z140"/>
  <c r="Z141"/>
  <c r="Z142"/>
  <c r="Z143"/>
  <c r="Z145"/>
  <c r="Z146"/>
  <c r="Z147"/>
  <c r="Z148"/>
  <c r="Z149"/>
  <c r="Z150"/>
  <c r="Z151"/>
  <c r="Z152"/>
  <c r="Z153"/>
  <c r="Z154"/>
  <c r="Z155"/>
  <c r="Z156"/>
  <c r="Z158"/>
  <c r="Z159"/>
  <c r="Z160"/>
  <c r="Z161"/>
  <c r="Z162"/>
  <c r="Z163"/>
  <c r="Z164"/>
  <c r="Z165"/>
  <c r="Z166"/>
  <c r="Z167"/>
  <c r="Z168"/>
  <c r="Z169"/>
  <c r="Z170"/>
  <c r="Z172"/>
  <c r="Z173"/>
  <c r="Z174"/>
  <c r="Z175"/>
  <c r="Z176"/>
  <c r="Z177"/>
  <c r="Z179"/>
  <c r="Z180"/>
  <c r="Z181"/>
  <c r="Z182"/>
  <c r="Z183"/>
  <c r="Z184"/>
  <c r="Z185"/>
  <c r="Z186"/>
  <c r="Z187"/>
  <c r="Z188"/>
  <c r="Z189"/>
  <c r="Z190"/>
  <c r="Z191"/>
  <c r="Z193"/>
  <c r="Z194"/>
  <c r="Z195"/>
  <c r="Z196"/>
  <c r="Z197"/>
  <c r="Z198"/>
  <c r="Z199"/>
  <c r="Z200"/>
  <c r="Z201"/>
  <c r="Z202"/>
  <c r="Z203"/>
  <c r="Z204"/>
  <c r="Z206"/>
  <c r="Z207"/>
  <c r="Z208"/>
  <c r="Z209"/>
  <c r="Z210"/>
  <c r="Z211"/>
  <c r="Z212"/>
  <c r="Z213"/>
  <c r="Z214"/>
  <c r="Z215"/>
  <c r="Z216"/>
  <c r="Z217"/>
  <c r="Z218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9"/>
  <c r="Z240"/>
  <c r="Z241"/>
  <c r="Z242"/>
  <c r="Z243"/>
  <c r="Z244"/>
  <c r="Z245"/>
  <c r="Z246"/>
  <c r="Z247"/>
  <c r="Z248"/>
  <c r="Z249"/>
  <c r="Z250"/>
  <c r="Z251"/>
  <c r="Z252"/>
  <c r="Z253"/>
  <c r="Z255"/>
  <c r="Z256"/>
  <c r="Z257"/>
  <c r="Z258"/>
  <c r="Z259"/>
  <c r="Z260"/>
  <c r="Z261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6"/>
  <c r="Z307"/>
  <c r="Z308"/>
  <c r="Z309"/>
  <c r="Z310"/>
  <c r="Z311"/>
  <c r="Z312"/>
  <c r="Z313"/>
  <c r="Z314"/>
  <c r="Z315"/>
  <c r="Z316"/>
  <c r="Z317"/>
  <c r="Z318"/>
  <c r="Z319"/>
  <c r="Z320"/>
  <c r="Z322"/>
  <c r="Z323"/>
  <c r="Z324"/>
  <c r="Z325"/>
  <c r="Z326"/>
  <c r="Z327"/>
  <c r="Z328"/>
  <c r="Z329"/>
  <c r="Z330"/>
  <c r="Z331"/>
  <c r="Z332"/>
  <c r="Z334"/>
  <c r="Z335"/>
  <c r="Z336"/>
  <c r="Z337"/>
  <c r="Z338"/>
  <c r="Z339"/>
  <c r="Z340"/>
  <c r="Z341"/>
  <c r="Z342"/>
  <c r="Z343"/>
  <c r="Z344"/>
  <c r="Z346"/>
  <c r="Z347"/>
  <c r="Z348"/>
  <c r="Z349"/>
  <c r="Z350"/>
  <c r="Z351"/>
  <c r="Z352"/>
  <c r="Z353"/>
  <c r="Z354"/>
  <c r="Z355"/>
  <c r="Z357"/>
  <c r="Z358"/>
  <c r="Z359"/>
  <c r="Z360"/>
  <c r="Z361"/>
  <c r="Z362"/>
  <c r="Z363"/>
  <c r="Z364"/>
  <c r="Z365"/>
  <c r="Z366"/>
  <c r="Z367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3"/>
  <c r="X364"/>
  <c r="X365"/>
  <c r="X366"/>
  <c r="X367"/>
  <c r="X368"/>
  <c r="X47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18"/>
  <c r="T48"/>
  <c r="T49"/>
  <c r="T50"/>
  <c r="T51"/>
  <c r="T53"/>
  <c r="T54"/>
  <c r="T55"/>
  <c r="T56"/>
  <c r="T57"/>
  <c r="T58"/>
  <c r="T59"/>
  <c r="T60"/>
  <c r="T61"/>
  <c r="T62"/>
  <c r="T63"/>
  <c r="T64"/>
  <c r="T66"/>
  <c r="T67"/>
  <c r="T68"/>
  <c r="T69"/>
  <c r="T70"/>
  <c r="T72"/>
  <c r="T73"/>
  <c r="T74"/>
  <c r="T75"/>
  <c r="T76"/>
  <c r="T77"/>
  <c r="T78"/>
  <c r="T79"/>
  <c r="T81"/>
  <c r="T82"/>
  <c r="T83"/>
  <c r="T84"/>
  <c r="T85"/>
  <c r="T86"/>
  <c r="T87"/>
  <c r="T88"/>
  <c r="T89"/>
  <c r="T91"/>
  <c r="T92"/>
  <c r="T93"/>
  <c r="T94"/>
  <c r="T95"/>
  <c r="T96"/>
  <c r="T97"/>
  <c r="T98"/>
  <c r="T99"/>
  <c r="T100"/>
  <c r="T101"/>
  <c r="T102"/>
  <c r="T103"/>
  <c r="T105"/>
  <c r="T106"/>
  <c r="T107"/>
  <c r="T108"/>
  <c r="T109"/>
  <c r="T110"/>
  <c r="T111"/>
  <c r="T112"/>
  <c r="T113"/>
  <c r="T114"/>
  <c r="T115"/>
  <c r="T116"/>
  <c r="T117"/>
  <c r="T118"/>
  <c r="T119"/>
  <c r="T121"/>
  <c r="T122"/>
  <c r="T123"/>
  <c r="T124"/>
  <c r="T125"/>
  <c r="T126"/>
  <c r="T127"/>
  <c r="T129"/>
  <c r="T130"/>
  <c r="T131"/>
  <c r="T132"/>
  <c r="T133"/>
  <c r="T134"/>
  <c r="T135"/>
  <c r="T136"/>
  <c r="T138"/>
  <c r="T139"/>
  <c r="T140"/>
  <c r="T141"/>
  <c r="T142"/>
  <c r="T143"/>
  <c r="T145"/>
  <c r="T146"/>
  <c r="T147"/>
  <c r="T148"/>
  <c r="T149"/>
  <c r="T150"/>
  <c r="T151"/>
  <c r="T152"/>
  <c r="T153"/>
  <c r="T154"/>
  <c r="T155"/>
  <c r="T156"/>
  <c r="T158"/>
  <c r="T159"/>
  <c r="T160"/>
  <c r="T161"/>
  <c r="T162"/>
  <c r="T163"/>
  <c r="T164"/>
  <c r="T165"/>
  <c r="T166"/>
  <c r="T167"/>
  <c r="T168"/>
  <c r="T169"/>
  <c r="T170"/>
  <c r="T172"/>
  <c r="T173"/>
  <c r="T174"/>
  <c r="T175"/>
  <c r="T176"/>
  <c r="T177"/>
  <c r="T179"/>
  <c r="T180"/>
  <c r="T181"/>
  <c r="T182"/>
  <c r="T183"/>
  <c r="T184"/>
  <c r="T185"/>
  <c r="T186"/>
  <c r="T187"/>
  <c r="T188"/>
  <c r="T189"/>
  <c r="T190"/>
  <c r="T191"/>
  <c r="T193"/>
  <c r="T194"/>
  <c r="T195"/>
  <c r="T196"/>
  <c r="T197"/>
  <c r="T198"/>
  <c r="T199"/>
  <c r="T200"/>
  <c r="T201"/>
  <c r="T202"/>
  <c r="T203"/>
  <c r="T204"/>
  <c r="T206"/>
  <c r="T207"/>
  <c r="T208"/>
  <c r="T209"/>
  <c r="T210"/>
  <c r="T211"/>
  <c r="T212"/>
  <c r="T213"/>
  <c r="T214"/>
  <c r="T215"/>
  <c r="T216"/>
  <c r="T217"/>
  <c r="T218"/>
  <c r="T220"/>
  <c r="T221"/>
  <c r="T222"/>
  <c r="T223"/>
  <c r="T224"/>
  <c r="T225"/>
  <c r="T226"/>
  <c r="T227"/>
  <c r="T228"/>
  <c r="T230"/>
  <c r="T231"/>
  <c r="T232"/>
  <c r="T233"/>
  <c r="T234"/>
  <c r="T235"/>
  <c r="T236"/>
  <c r="T237"/>
  <c r="T239"/>
  <c r="T240"/>
  <c r="T241"/>
  <c r="T242"/>
  <c r="T243"/>
  <c r="T244"/>
  <c r="T245"/>
  <c r="T246"/>
  <c r="T247"/>
  <c r="T248"/>
  <c r="T249"/>
  <c r="T250"/>
  <c r="T251"/>
  <c r="T252"/>
  <c r="T253"/>
  <c r="T255"/>
  <c r="T256"/>
  <c r="T257"/>
  <c r="T258"/>
  <c r="T259"/>
  <c r="T260"/>
  <c r="T261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6"/>
  <c r="T307"/>
  <c r="T308"/>
  <c r="T309"/>
  <c r="T310"/>
  <c r="T311"/>
  <c r="T312"/>
  <c r="T313"/>
  <c r="T314"/>
  <c r="T315"/>
  <c r="T316"/>
  <c r="T317"/>
  <c r="T318"/>
  <c r="T319"/>
  <c r="T320"/>
  <c r="T322"/>
  <c r="T323"/>
  <c r="T324"/>
  <c r="T325"/>
  <c r="T326"/>
  <c r="T327"/>
  <c r="T328"/>
  <c r="T329"/>
  <c r="T330"/>
  <c r="T331"/>
  <c r="T332"/>
  <c r="T334"/>
  <c r="T335"/>
  <c r="T336"/>
  <c r="T337"/>
  <c r="T338"/>
  <c r="T339"/>
  <c r="T340"/>
  <c r="T341"/>
  <c r="T342"/>
  <c r="T343"/>
  <c r="T344"/>
  <c r="T346"/>
  <c r="T347"/>
  <c r="T348"/>
  <c r="T349"/>
  <c r="T350"/>
  <c r="T351"/>
  <c r="T352"/>
  <c r="T353"/>
  <c r="T354"/>
  <c r="T355"/>
  <c r="T357"/>
  <c r="T358"/>
  <c r="T359"/>
  <c r="T360"/>
  <c r="T361"/>
  <c r="T362"/>
  <c r="T363"/>
  <c r="T364"/>
  <c r="T365"/>
  <c r="T366"/>
  <c r="T367"/>
  <c r="T368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18"/>
  <c r="P369"/>
  <c r="P48"/>
  <c r="P49"/>
  <c r="P50"/>
  <c r="P51"/>
  <c r="P53"/>
  <c r="P54"/>
  <c r="P55"/>
  <c r="P56"/>
  <c r="P57"/>
  <c r="P58"/>
  <c r="P59"/>
  <c r="P60"/>
  <c r="P61"/>
  <c r="P62"/>
  <c r="P63"/>
  <c r="P64"/>
  <c r="P66"/>
  <c r="P67"/>
  <c r="P68"/>
  <c r="P69"/>
  <c r="P70"/>
  <c r="P72"/>
  <c r="P73"/>
  <c r="P74"/>
  <c r="P75"/>
  <c r="P76"/>
  <c r="P77"/>
  <c r="P78"/>
  <c r="P79"/>
  <c r="P81"/>
  <c r="P82"/>
  <c r="P83"/>
  <c r="P84"/>
  <c r="P85"/>
  <c r="P86"/>
  <c r="P87"/>
  <c r="P88"/>
  <c r="P89"/>
  <c r="P91"/>
  <c r="P92"/>
  <c r="P93"/>
  <c r="P94"/>
  <c r="P95"/>
  <c r="P96"/>
  <c r="P97"/>
  <c r="P98"/>
  <c r="P99"/>
  <c r="P100"/>
  <c r="P101"/>
  <c r="P102"/>
  <c r="P103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8"/>
  <c r="P139"/>
  <c r="P140"/>
  <c r="P141"/>
  <c r="P142"/>
  <c r="P143"/>
  <c r="P145"/>
  <c r="P146"/>
  <c r="P147"/>
  <c r="P148"/>
  <c r="P149"/>
  <c r="P150"/>
  <c r="P151"/>
  <c r="P152"/>
  <c r="P153"/>
  <c r="P154"/>
  <c r="P155"/>
  <c r="P156"/>
  <c r="P158"/>
  <c r="P159"/>
  <c r="P160"/>
  <c r="P161"/>
  <c r="P162"/>
  <c r="P163"/>
  <c r="P164"/>
  <c r="P165"/>
  <c r="P166"/>
  <c r="P167"/>
  <c r="P168"/>
  <c r="P169"/>
  <c r="P170"/>
  <c r="P172"/>
  <c r="P173"/>
  <c r="P174"/>
  <c r="P175"/>
  <c r="P176"/>
  <c r="P177"/>
  <c r="P179"/>
  <c r="P180"/>
  <c r="P181"/>
  <c r="P182"/>
  <c r="P183"/>
  <c r="P184"/>
  <c r="P185"/>
  <c r="P186"/>
  <c r="P187"/>
  <c r="P188"/>
  <c r="P189"/>
  <c r="P190"/>
  <c r="P191"/>
  <c r="P193"/>
  <c r="P194"/>
  <c r="P195"/>
  <c r="P196"/>
  <c r="P197"/>
  <c r="P198"/>
  <c r="P199"/>
  <c r="P200"/>
  <c r="P201"/>
  <c r="P202"/>
  <c r="P203"/>
  <c r="P204"/>
  <c r="P206"/>
  <c r="P207"/>
  <c r="P208"/>
  <c r="P209"/>
  <c r="P210"/>
  <c r="P211"/>
  <c r="P212"/>
  <c r="P213"/>
  <c r="P214"/>
  <c r="P215"/>
  <c r="P216"/>
  <c r="P217"/>
  <c r="P218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9"/>
  <c r="P240"/>
  <c r="P241"/>
  <c r="P242"/>
  <c r="P243"/>
  <c r="P244"/>
  <c r="P245"/>
  <c r="P246"/>
  <c r="P247"/>
  <c r="P248"/>
  <c r="P249"/>
  <c r="P250"/>
  <c r="P251"/>
  <c r="P252"/>
  <c r="P253"/>
  <c r="P255"/>
  <c r="P256"/>
  <c r="P257"/>
  <c r="P258"/>
  <c r="P259"/>
  <c r="P260"/>
  <c r="P261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6"/>
  <c r="P307"/>
  <c r="P308"/>
  <c r="P309"/>
  <c r="P310"/>
  <c r="P311"/>
  <c r="P312"/>
  <c r="P313"/>
  <c r="P314"/>
  <c r="P315"/>
  <c r="P316"/>
  <c r="P317"/>
  <c r="P318"/>
  <c r="P319"/>
  <c r="P320"/>
  <c r="P322"/>
  <c r="P323"/>
  <c r="P324"/>
  <c r="P325"/>
  <c r="P326"/>
  <c r="P327"/>
  <c r="P328"/>
  <c r="P329"/>
  <c r="P330"/>
  <c r="P331"/>
  <c r="P332"/>
  <c r="P334"/>
  <c r="P335"/>
  <c r="P336"/>
  <c r="P337"/>
  <c r="P338"/>
  <c r="P339"/>
  <c r="P340"/>
  <c r="P341"/>
  <c r="P342"/>
  <c r="P343"/>
  <c r="P344"/>
  <c r="P346"/>
  <c r="P347"/>
  <c r="P348"/>
  <c r="P349"/>
  <c r="P350"/>
  <c r="P351"/>
  <c r="P352"/>
  <c r="P353"/>
  <c r="P354"/>
  <c r="P355"/>
  <c r="P357"/>
  <c r="P358"/>
  <c r="P359"/>
  <c r="P360"/>
  <c r="P361"/>
  <c r="P362"/>
  <c r="P363"/>
  <c r="P364"/>
  <c r="P365"/>
  <c r="P366"/>
  <c r="P367"/>
  <c r="P368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8"/>
  <c r="L8"/>
  <c r="L9"/>
  <c r="L10"/>
  <c r="L11"/>
  <c r="L12"/>
  <c r="L13"/>
  <c r="L14"/>
  <c r="L15"/>
  <c r="L16"/>
  <c r="L7"/>
  <c r="D48"/>
  <c r="D49"/>
  <c r="D50"/>
  <c r="D51"/>
  <c r="D53"/>
  <c r="D54"/>
  <c r="D55"/>
  <c r="D56"/>
  <c r="D57"/>
  <c r="D58"/>
  <c r="D59"/>
  <c r="D60"/>
  <c r="D61"/>
  <c r="D62"/>
  <c r="D63"/>
  <c r="D64"/>
  <c r="D66"/>
  <c r="D67"/>
  <c r="D68"/>
  <c r="D69"/>
  <c r="D70"/>
  <c r="D72"/>
  <c r="D73"/>
  <c r="D74"/>
  <c r="D75"/>
  <c r="D76"/>
  <c r="D77"/>
  <c r="D78"/>
  <c r="D79"/>
  <c r="D81"/>
  <c r="D82"/>
  <c r="D83"/>
  <c r="D84"/>
  <c r="D85"/>
  <c r="D86"/>
  <c r="D87"/>
  <c r="D88"/>
  <c r="D89"/>
  <c r="D91"/>
  <c r="D92"/>
  <c r="D93"/>
  <c r="D94"/>
  <c r="D95"/>
  <c r="D96"/>
  <c r="D97"/>
  <c r="D98"/>
  <c r="D99"/>
  <c r="D100"/>
  <c r="D101"/>
  <c r="D102"/>
  <c r="D103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4"/>
  <c r="D125"/>
  <c r="D126"/>
  <c r="D127"/>
  <c r="D129"/>
  <c r="D130"/>
  <c r="D131"/>
  <c r="D132"/>
  <c r="D133"/>
  <c r="D134"/>
  <c r="D135"/>
  <c r="D136"/>
  <c r="D138"/>
  <c r="D139"/>
  <c r="D140"/>
  <c r="D141"/>
  <c r="D142"/>
  <c r="D143"/>
  <c r="D145"/>
  <c r="D146"/>
  <c r="D147"/>
  <c r="D148"/>
  <c r="D149"/>
  <c r="D150"/>
  <c r="D151"/>
  <c r="D152"/>
  <c r="D153"/>
  <c r="D154"/>
  <c r="D155"/>
  <c r="D156"/>
  <c r="D158"/>
  <c r="D159"/>
  <c r="D160"/>
  <c r="D161"/>
  <c r="D162"/>
  <c r="D163"/>
  <c r="D164"/>
  <c r="D165"/>
  <c r="D166"/>
  <c r="D167"/>
  <c r="D168"/>
  <c r="D169"/>
  <c r="D170"/>
  <c r="D172"/>
  <c r="D173"/>
  <c r="D174"/>
  <c r="D175"/>
  <c r="D176"/>
  <c r="D177"/>
  <c r="D179"/>
  <c r="D180"/>
  <c r="D181"/>
  <c r="D182"/>
  <c r="D183"/>
  <c r="D184"/>
  <c r="D185"/>
  <c r="D186"/>
  <c r="D187"/>
  <c r="D188"/>
  <c r="D189"/>
  <c r="D190"/>
  <c r="D191"/>
  <c r="D193"/>
  <c r="D194"/>
  <c r="D195"/>
  <c r="D196"/>
  <c r="D197"/>
  <c r="D198"/>
  <c r="D199"/>
  <c r="D200"/>
  <c r="D201"/>
  <c r="D202"/>
  <c r="D203"/>
  <c r="D204"/>
  <c r="D206"/>
  <c r="D207"/>
  <c r="D208"/>
  <c r="D209"/>
  <c r="D210"/>
  <c r="D211"/>
  <c r="D212"/>
  <c r="D213"/>
  <c r="D214"/>
  <c r="D215"/>
  <c r="D216"/>
  <c r="D217"/>
  <c r="D218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9"/>
  <c r="D240"/>
  <c r="D241"/>
  <c r="D242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1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6"/>
  <c r="D307"/>
  <c r="D308"/>
  <c r="D309"/>
  <c r="D310"/>
  <c r="D311"/>
  <c r="D312"/>
  <c r="D313"/>
  <c r="D314"/>
  <c r="D315"/>
  <c r="D316"/>
  <c r="D317"/>
  <c r="D318"/>
  <c r="D319"/>
  <c r="D320"/>
  <c r="D322"/>
  <c r="D323"/>
  <c r="D324"/>
  <c r="D325"/>
  <c r="D326"/>
  <c r="D327"/>
  <c r="D328"/>
  <c r="D329"/>
  <c r="D330"/>
  <c r="D331"/>
  <c r="D332"/>
  <c r="D334"/>
  <c r="D335"/>
  <c r="D336"/>
  <c r="D337"/>
  <c r="D338"/>
  <c r="D339"/>
  <c r="D340"/>
  <c r="D341"/>
  <c r="D342"/>
  <c r="D343"/>
  <c r="D344"/>
  <c r="D346"/>
  <c r="D347"/>
  <c r="D348"/>
  <c r="D349"/>
  <c r="D350"/>
  <c r="D351"/>
  <c r="D352"/>
  <c r="D353"/>
  <c r="D354"/>
  <c r="D355"/>
  <c r="D357"/>
  <c r="D358"/>
  <c r="D359"/>
  <c r="D360"/>
  <c r="D361"/>
  <c r="D362"/>
  <c r="D363"/>
  <c r="D364"/>
  <c r="D365"/>
  <c r="D366"/>
  <c r="D367"/>
  <c r="D368"/>
  <c r="D47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8"/>
  <c r="D8"/>
  <c r="D9"/>
  <c r="D10"/>
  <c r="D11"/>
  <c r="D12"/>
  <c r="D13"/>
  <c r="D14"/>
  <c r="D15"/>
  <c r="D16"/>
  <c r="D7"/>
  <c r="AE45"/>
  <c r="AE17"/>
  <c r="AE6"/>
  <c r="AD43" l="1"/>
  <c r="AD41"/>
  <c r="AD39"/>
  <c r="AD37"/>
  <c r="AD35"/>
  <c r="AD33"/>
  <c r="AD31"/>
  <c r="AD29"/>
  <c r="AD27"/>
  <c r="AD25"/>
  <c r="AD23"/>
  <c r="AD21"/>
  <c r="AD19"/>
  <c r="AG24"/>
  <c r="AG17" s="1"/>
  <c r="AD44"/>
  <c r="AD42"/>
  <c r="AD40"/>
  <c r="AD38"/>
  <c r="AD36"/>
  <c r="AD34"/>
  <c r="AD32"/>
  <c r="AD30"/>
  <c r="AD28"/>
  <c r="AD26"/>
  <c r="AD24"/>
  <c r="AD22"/>
  <c r="AD20"/>
  <c r="AD18"/>
  <c r="AJ18"/>
  <c r="AG15"/>
  <c r="AH15" s="1"/>
  <c r="AJ15" s="1"/>
  <c r="AD15"/>
  <c r="AD13"/>
  <c r="AD11"/>
  <c r="AD9"/>
  <c r="AD16"/>
  <c r="AD14"/>
  <c r="AD12"/>
  <c r="AD10"/>
  <c r="AD8"/>
  <c r="AD7"/>
  <c r="AE369"/>
  <c r="AH24" l="1"/>
  <c r="AJ6"/>
  <c r="AH6"/>
  <c r="AG6"/>
  <c r="AG369"/>
  <c r="O17"/>
  <c r="N17"/>
  <c r="O6"/>
  <c r="N6"/>
  <c r="AJ24" l="1"/>
  <c r="AJ17" s="1"/>
  <c r="AJ369" s="1"/>
  <c r="AH17"/>
  <c r="AH369" s="1"/>
  <c r="B57" i="8"/>
  <c r="AB17" i="7"/>
  <c r="AB6"/>
  <c r="AA6"/>
  <c r="AA17"/>
  <c r="R17"/>
  <c r="S17"/>
  <c r="S369" s="1"/>
  <c r="P17"/>
  <c r="N369"/>
  <c r="P6"/>
  <c r="K17"/>
  <c r="J17"/>
  <c r="K6"/>
  <c r="K369" s="1"/>
  <c r="J6"/>
  <c r="J369" s="1"/>
  <c r="B6"/>
  <c r="B58" i="8"/>
  <c r="B47"/>
  <c r="C7"/>
  <c r="L17" i="7" l="1"/>
  <c r="AF45"/>
  <c r="AF17"/>
  <c r="AF6"/>
  <c r="L369"/>
  <c r="AA369"/>
  <c r="L6"/>
  <c r="O369"/>
  <c r="T17"/>
  <c r="AF369" l="1"/>
  <c r="B7" i="8"/>
  <c r="AC6" i="7"/>
  <c r="R19" i="8"/>
  <c r="W45" i="7"/>
  <c r="V45"/>
  <c r="W17"/>
  <c r="V17"/>
  <c r="S45"/>
  <c r="R45"/>
  <c r="L8" i="8"/>
  <c r="O45" i="7"/>
  <c r="N45"/>
  <c r="C45"/>
  <c r="B45"/>
  <c r="C17"/>
  <c r="B17"/>
  <c r="B369" s="1"/>
  <c r="C6"/>
  <c r="C369" s="1"/>
  <c r="D369" l="1"/>
  <c r="D6"/>
  <c r="D17"/>
  <c r="T45"/>
  <c r="X17"/>
  <c r="X45"/>
  <c r="D45"/>
  <c r="P45"/>
  <c r="AB45" l="1"/>
  <c r="AB369" s="1"/>
  <c r="I7" i="8" l="1"/>
  <c r="J7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U50" s="1"/>
  <c r="C58"/>
  <c r="D58" s="1"/>
  <c r="C62"/>
  <c r="D62" s="1"/>
  <c r="U62" s="1"/>
  <c r="C72"/>
  <c r="D72" s="1"/>
  <c r="U72" s="1"/>
  <c r="C81"/>
  <c r="D81" s="1"/>
  <c r="U81" s="1"/>
  <c r="C89"/>
  <c r="D89" s="1"/>
  <c r="U89" s="1"/>
  <c r="C98"/>
  <c r="D98" s="1"/>
  <c r="U98" s="1"/>
  <c r="C107"/>
  <c r="D107" s="1"/>
  <c r="U107" s="1"/>
  <c r="C115"/>
  <c r="D115" s="1"/>
  <c r="U115" s="1"/>
  <c r="C119"/>
  <c r="D119" s="1"/>
  <c r="U119" s="1"/>
  <c r="C129"/>
  <c r="D129" s="1"/>
  <c r="U129" s="1"/>
  <c r="C136"/>
  <c r="D136" s="1"/>
  <c r="U136" s="1"/>
  <c r="C146"/>
  <c r="D146" s="1"/>
  <c r="U146" s="1"/>
  <c r="C154"/>
  <c r="D154" s="1"/>
  <c r="U154" s="1"/>
  <c r="C167"/>
  <c r="D167" s="1"/>
  <c r="U167" s="1"/>
  <c r="C184"/>
  <c r="D184" s="1"/>
  <c r="U184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U47" s="1"/>
  <c r="C51"/>
  <c r="D51" s="1"/>
  <c r="U51" s="1"/>
  <c r="C56"/>
  <c r="D56" s="1"/>
  <c r="U56" s="1"/>
  <c r="C59"/>
  <c r="D59" s="1"/>
  <c r="U59" s="1"/>
  <c r="C63"/>
  <c r="D63" s="1"/>
  <c r="U63" s="1"/>
  <c r="C68"/>
  <c r="D68" s="1"/>
  <c r="U68" s="1"/>
  <c r="C73"/>
  <c r="D73" s="1"/>
  <c r="U73" s="1"/>
  <c r="C77"/>
  <c r="D77" s="1"/>
  <c r="U77" s="1"/>
  <c r="C82"/>
  <c r="D82" s="1"/>
  <c r="U82" s="1"/>
  <c r="C86"/>
  <c r="D86" s="1"/>
  <c r="U86" s="1"/>
  <c r="C91"/>
  <c r="D91" s="1"/>
  <c r="U91" s="1"/>
  <c r="C95"/>
  <c r="D95" s="1"/>
  <c r="U95" s="1"/>
  <c r="C99"/>
  <c r="D99" s="1"/>
  <c r="U99" s="1"/>
  <c r="C103"/>
  <c r="D103" s="1"/>
  <c r="U103" s="1"/>
  <c r="C108"/>
  <c r="D108" s="1"/>
  <c r="U108" s="1"/>
  <c r="C112"/>
  <c r="D112" s="1"/>
  <c r="U112" s="1"/>
  <c r="C116"/>
  <c r="D116" s="1"/>
  <c r="U116" s="1"/>
  <c r="C121"/>
  <c r="D121" s="1"/>
  <c r="U121" s="1"/>
  <c r="C125"/>
  <c r="D125" s="1"/>
  <c r="U125" s="1"/>
  <c r="C130"/>
  <c r="D130" s="1"/>
  <c r="U130" s="1"/>
  <c r="C133"/>
  <c r="D133" s="1"/>
  <c r="U133" s="1"/>
  <c r="C138"/>
  <c r="D138" s="1"/>
  <c r="U138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3"/>
  <c r="D173" s="1"/>
  <c r="U173" s="1"/>
  <c r="C175"/>
  <c r="D175" s="1"/>
  <c r="U175" s="1"/>
  <c r="C181"/>
  <c r="D181" s="1"/>
  <c r="U181" s="1"/>
  <c r="C185"/>
  <c r="D185" s="1"/>
  <c r="U185" s="1"/>
  <c r="C189"/>
  <c r="D189" s="1"/>
  <c r="U189" s="1"/>
  <c r="C194"/>
  <c r="D194" s="1"/>
  <c r="U194" s="1"/>
  <c r="C198"/>
  <c r="D198" s="1"/>
  <c r="U198" s="1"/>
  <c r="C202"/>
  <c r="D202" s="1"/>
  <c r="U202" s="1"/>
  <c r="C207"/>
  <c r="D207" s="1"/>
  <c r="U207" s="1"/>
  <c r="C211"/>
  <c r="D211" s="1"/>
  <c r="U211" s="1"/>
  <c r="C215"/>
  <c r="D215" s="1"/>
  <c r="U215" s="1"/>
  <c r="C220"/>
  <c r="D220" s="1"/>
  <c r="U220" s="1"/>
  <c r="C224"/>
  <c r="D224" s="1"/>
  <c r="U224" s="1"/>
  <c r="C228"/>
  <c r="D228" s="1"/>
  <c r="U228" s="1"/>
  <c r="C233"/>
  <c r="D233" s="1"/>
  <c r="U233" s="1"/>
  <c r="C237"/>
  <c r="D237" s="1"/>
  <c r="U237" s="1"/>
  <c r="C242"/>
  <c r="D242" s="1"/>
  <c r="U242" s="1"/>
  <c r="C246"/>
  <c r="D246" s="1"/>
  <c r="U246" s="1"/>
  <c r="C250"/>
  <c r="D250" s="1"/>
  <c r="U250" s="1"/>
  <c r="C255"/>
  <c r="D255" s="1"/>
  <c r="U255" s="1"/>
  <c r="C259"/>
  <c r="D259" s="1"/>
  <c r="U259" s="1"/>
  <c r="C264"/>
  <c r="D264" s="1"/>
  <c r="U264" s="1"/>
  <c r="C268"/>
  <c r="D268" s="1"/>
  <c r="U268" s="1"/>
  <c r="C272"/>
  <c r="D272" s="1"/>
  <c r="U272" s="1"/>
  <c r="C276"/>
  <c r="D276" s="1"/>
  <c r="U276" s="1"/>
  <c r="C281"/>
  <c r="D281" s="1"/>
  <c r="U281" s="1"/>
  <c r="C285"/>
  <c r="D285" s="1"/>
  <c r="U285" s="1"/>
  <c r="C289"/>
  <c r="D289" s="1"/>
  <c r="U289" s="1"/>
  <c r="C293"/>
  <c r="D293" s="1"/>
  <c r="U293" s="1"/>
  <c r="C297"/>
  <c r="D297" s="1"/>
  <c r="U297" s="1"/>
  <c r="C301"/>
  <c r="D301" s="1"/>
  <c r="U301" s="1"/>
  <c r="C306"/>
  <c r="D306" s="1"/>
  <c r="U306" s="1"/>
  <c r="C310"/>
  <c r="D310" s="1"/>
  <c r="U310" s="1"/>
  <c r="C314"/>
  <c r="D314" s="1"/>
  <c r="U314" s="1"/>
  <c r="C318"/>
  <c r="D318" s="1"/>
  <c r="U318" s="1"/>
  <c r="C323"/>
  <c r="D323" s="1"/>
  <c r="C327"/>
  <c r="D327" s="1"/>
  <c r="U327" s="1"/>
  <c r="C331"/>
  <c r="D331" s="1"/>
  <c r="C336"/>
  <c r="D336" s="1"/>
  <c r="U336" s="1"/>
  <c r="C340"/>
  <c r="D340" s="1"/>
  <c r="C344"/>
  <c r="D344" s="1"/>
  <c r="U344" s="1"/>
  <c r="C349"/>
  <c r="D349" s="1"/>
  <c r="C352"/>
  <c r="D352" s="1"/>
  <c r="U352" s="1"/>
  <c r="C357"/>
  <c r="D357" s="1"/>
  <c r="C361"/>
  <c r="D361" s="1"/>
  <c r="U361" s="1"/>
  <c r="C365"/>
  <c r="D365" s="1"/>
  <c r="C9"/>
  <c r="D9" s="1"/>
  <c r="C26"/>
  <c r="D26" s="1"/>
  <c r="C42"/>
  <c r="D42" s="1"/>
  <c r="C53"/>
  <c r="D53" s="1"/>
  <c r="U53" s="1"/>
  <c r="C60"/>
  <c r="D60" s="1"/>
  <c r="U60" s="1"/>
  <c r="C74"/>
  <c r="D74" s="1"/>
  <c r="U74" s="1"/>
  <c r="C83"/>
  <c r="D83" s="1"/>
  <c r="U83" s="1"/>
  <c r="C92"/>
  <c r="D92" s="1"/>
  <c r="U92" s="1"/>
  <c r="C100"/>
  <c r="D100" s="1"/>
  <c r="U100" s="1"/>
  <c r="C113"/>
  <c r="D113" s="1"/>
  <c r="U113" s="1"/>
  <c r="C122"/>
  <c r="D122" s="1"/>
  <c r="U122" s="1"/>
  <c r="C126"/>
  <c r="D126" s="1"/>
  <c r="U126" s="1"/>
  <c r="C134"/>
  <c r="D134" s="1"/>
  <c r="U134" s="1"/>
  <c r="C139"/>
  <c r="D139" s="1"/>
  <c r="U139" s="1"/>
  <c r="C143"/>
  <c r="D143" s="1"/>
  <c r="U143" s="1"/>
  <c r="C148"/>
  <c r="D148" s="1"/>
  <c r="U148" s="1"/>
  <c r="C152"/>
  <c r="D152" s="1"/>
  <c r="U152" s="1"/>
  <c r="C156"/>
  <c r="D156" s="1"/>
  <c r="U156" s="1"/>
  <c r="C161"/>
  <c r="D161" s="1"/>
  <c r="U161" s="1"/>
  <c r="C165"/>
  <c r="D165" s="1"/>
  <c r="U165" s="1"/>
  <c r="C169"/>
  <c r="D169" s="1"/>
  <c r="U169" s="1"/>
  <c r="C174"/>
  <c r="D174" s="1"/>
  <c r="U174" s="1"/>
  <c r="C177"/>
  <c r="D177" s="1"/>
  <c r="U177" s="1"/>
  <c r="C182"/>
  <c r="D182" s="1"/>
  <c r="U182" s="1"/>
  <c r="C186"/>
  <c r="D186" s="1"/>
  <c r="U186" s="1"/>
  <c r="C190"/>
  <c r="D190" s="1"/>
  <c r="U190" s="1"/>
  <c r="C195"/>
  <c r="D195" s="1"/>
  <c r="U195" s="1"/>
  <c r="C199"/>
  <c r="D199" s="1"/>
  <c r="U199" s="1"/>
  <c r="C203"/>
  <c r="D203" s="1"/>
  <c r="U203" s="1"/>
  <c r="C208"/>
  <c r="D208" s="1"/>
  <c r="U208" s="1"/>
  <c r="C212"/>
  <c r="D212" s="1"/>
  <c r="U212" s="1"/>
  <c r="C216"/>
  <c r="D216" s="1"/>
  <c r="U216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7"/>
  <c r="D247" s="1"/>
  <c r="U247" s="1"/>
  <c r="C251"/>
  <c r="D251" s="1"/>
  <c r="U251" s="1"/>
  <c r="C256"/>
  <c r="D256" s="1"/>
  <c r="U256" s="1"/>
  <c r="C260"/>
  <c r="D260" s="1"/>
  <c r="U260" s="1"/>
  <c r="C265"/>
  <c r="D265" s="1"/>
  <c r="U265" s="1"/>
  <c r="C269"/>
  <c r="D269" s="1"/>
  <c r="U269" s="1"/>
  <c r="C273"/>
  <c r="D273" s="1"/>
  <c r="U273" s="1"/>
  <c r="C277"/>
  <c r="D277" s="1"/>
  <c r="U277" s="1"/>
  <c r="C282"/>
  <c r="D282" s="1"/>
  <c r="U282" s="1"/>
  <c r="C286"/>
  <c r="D286" s="1"/>
  <c r="U286" s="1"/>
  <c r="C290"/>
  <c r="D290" s="1"/>
  <c r="U290" s="1"/>
  <c r="C294"/>
  <c r="D294" s="1"/>
  <c r="U294" s="1"/>
  <c r="C298"/>
  <c r="D298" s="1"/>
  <c r="U298" s="1"/>
  <c r="C302"/>
  <c r="D302" s="1"/>
  <c r="U302" s="1"/>
  <c r="C307"/>
  <c r="D307" s="1"/>
  <c r="U307" s="1"/>
  <c r="C311"/>
  <c r="D311" s="1"/>
  <c r="U311" s="1"/>
  <c r="C315"/>
  <c r="D315" s="1"/>
  <c r="U315" s="1"/>
  <c r="C319"/>
  <c r="D319" s="1"/>
  <c r="U319" s="1"/>
  <c r="C324"/>
  <c r="D324" s="1"/>
  <c r="U324" s="1"/>
  <c r="C328"/>
  <c r="D328" s="1"/>
  <c r="U328" s="1"/>
  <c r="C332"/>
  <c r="D332" s="1"/>
  <c r="C337"/>
  <c r="D337" s="1"/>
  <c r="U337" s="1"/>
  <c r="C341"/>
  <c r="D341" s="1"/>
  <c r="U341" s="1"/>
  <c r="C346"/>
  <c r="D346" s="1"/>
  <c r="U346" s="1"/>
  <c r="C350"/>
  <c r="D350" s="1"/>
  <c r="U350" s="1"/>
  <c r="C353"/>
  <c r="D353" s="1"/>
  <c r="U353" s="1"/>
  <c r="C358"/>
  <c r="D358" s="1"/>
  <c r="U358" s="1"/>
  <c r="C362"/>
  <c r="D362" s="1"/>
  <c r="U362" s="1"/>
  <c r="C366"/>
  <c r="D366" s="1"/>
  <c r="U366" s="1"/>
  <c r="C22"/>
  <c r="D22" s="1"/>
  <c r="C38"/>
  <c r="D38" s="1"/>
  <c r="C48"/>
  <c r="D48" s="1"/>
  <c r="U48" s="1"/>
  <c r="C57"/>
  <c r="D57" s="1"/>
  <c r="U57" s="1"/>
  <c r="C64"/>
  <c r="D64" s="1"/>
  <c r="U64" s="1"/>
  <c r="C69"/>
  <c r="D69" s="1"/>
  <c r="U69" s="1"/>
  <c r="C78"/>
  <c r="D78" s="1"/>
  <c r="U78" s="1"/>
  <c r="C87"/>
  <c r="D87" s="1"/>
  <c r="U87" s="1"/>
  <c r="C96"/>
  <c r="D96" s="1"/>
  <c r="U96" s="1"/>
  <c r="C105"/>
  <c r="D105" s="1"/>
  <c r="U105" s="1"/>
  <c r="C109"/>
  <c r="D109" s="1"/>
  <c r="U109" s="1"/>
  <c r="C117"/>
  <c r="D117" s="1"/>
  <c r="U117" s="1"/>
  <c r="C131"/>
  <c r="D131" s="1"/>
  <c r="U131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U49" s="1"/>
  <c r="C54"/>
  <c r="D54" s="1"/>
  <c r="U54" s="1"/>
  <c r="C61"/>
  <c r="D61" s="1"/>
  <c r="U61" s="1"/>
  <c r="C66"/>
  <c r="D66" s="1"/>
  <c r="U66" s="1"/>
  <c r="C70"/>
  <c r="D70" s="1"/>
  <c r="U70" s="1"/>
  <c r="C75"/>
  <c r="D75" s="1"/>
  <c r="U75" s="1"/>
  <c r="C79"/>
  <c r="D79" s="1"/>
  <c r="U79" s="1"/>
  <c r="C84"/>
  <c r="D84" s="1"/>
  <c r="U84" s="1"/>
  <c r="C88"/>
  <c r="D88" s="1"/>
  <c r="U88" s="1"/>
  <c r="C93"/>
  <c r="D93" s="1"/>
  <c r="U93" s="1"/>
  <c r="C97"/>
  <c r="D97" s="1"/>
  <c r="U97" s="1"/>
  <c r="C101"/>
  <c r="D101" s="1"/>
  <c r="U101" s="1"/>
  <c r="C106"/>
  <c r="D106" s="1"/>
  <c r="U106" s="1"/>
  <c r="C110"/>
  <c r="D110" s="1"/>
  <c r="U110" s="1"/>
  <c r="C114"/>
  <c r="D114" s="1"/>
  <c r="U114" s="1"/>
  <c r="C118"/>
  <c r="D118" s="1"/>
  <c r="U118" s="1"/>
  <c r="C123"/>
  <c r="D123" s="1"/>
  <c r="U123" s="1"/>
  <c r="C127"/>
  <c r="D127" s="1"/>
  <c r="U127" s="1"/>
  <c r="C132"/>
  <c r="D132" s="1"/>
  <c r="U132" s="1"/>
  <c r="C135"/>
  <c r="D135" s="1"/>
  <c r="U135" s="1"/>
  <c r="C140"/>
  <c r="D140" s="1"/>
  <c r="U140" s="1"/>
  <c r="C145"/>
  <c r="D145" s="1"/>
  <c r="C149"/>
  <c r="D149" s="1"/>
  <c r="U149" s="1"/>
  <c r="C153"/>
  <c r="D153" s="1"/>
  <c r="U153" s="1"/>
  <c r="C158"/>
  <c r="D158" s="1"/>
  <c r="U158" s="1"/>
  <c r="C162"/>
  <c r="D162" s="1"/>
  <c r="U162" s="1"/>
  <c r="C166"/>
  <c r="D166" s="1"/>
  <c r="U166" s="1"/>
  <c r="C170"/>
  <c r="D170" s="1"/>
  <c r="U170" s="1"/>
  <c r="C179"/>
  <c r="D179" s="1"/>
  <c r="U179" s="1"/>
  <c r="C183"/>
  <c r="D183" s="1"/>
  <c r="U183" s="1"/>
  <c r="C187"/>
  <c r="D187" s="1"/>
  <c r="U187" s="1"/>
  <c r="C191"/>
  <c r="D191" s="1"/>
  <c r="U191" s="1"/>
  <c r="C196"/>
  <c r="D196" s="1"/>
  <c r="U196" s="1"/>
  <c r="C200"/>
  <c r="D200" s="1"/>
  <c r="U200" s="1"/>
  <c r="C204"/>
  <c r="D204" s="1"/>
  <c r="U204" s="1"/>
  <c r="C209"/>
  <c r="D209" s="1"/>
  <c r="U209" s="1"/>
  <c r="C213"/>
  <c r="D213" s="1"/>
  <c r="U213" s="1"/>
  <c r="C217"/>
  <c r="D217" s="1"/>
  <c r="U217" s="1"/>
  <c r="C222"/>
  <c r="D222" s="1"/>
  <c r="U222" s="1"/>
  <c r="C226"/>
  <c r="D226" s="1"/>
  <c r="U226" s="1"/>
  <c r="C231"/>
  <c r="D231" s="1"/>
  <c r="U231" s="1"/>
  <c r="C235"/>
  <c r="D235" s="1"/>
  <c r="U235" s="1"/>
  <c r="C240"/>
  <c r="D240" s="1"/>
  <c r="U240" s="1"/>
  <c r="C244"/>
  <c r="D244" s="1"/>
  <c r="U244" s="1"/>
  <c r="C248"/>
  <c r="D248" s="1"/>
  <c r="U248" s="1"/>
  <c r="C252"/>
  <c r="D252" s="1"/>
  <c r="U252" s="1"/>
  <c r="C257"/>
  <c r="D257" s="1"/>
  <c r="U257" s="1"/>
  <c r="C261"/>
  <c r="D261" s="1"/>
  <c r="U261" s="1"/>
  <c r="C266"/>
  <c r="D266" s="1"/>
  <c r="U266" s="1"/>
  <c r="C270"/>
  <c r="D270" s="1"/>
  <c r="U270" s="1"/>
  <c r="C274"/>
  <c r="D274" s="1"/>
  <c r="U274" s="1"/>
  <c r="C278"/>
  <c r="D278" s="1"/>
  <c r="U278" s="1"/>
  <c r="C283"/>
  <c r="D283" s="1"/>
  <c r="U283" s="1"/>
  <c r="C287"/>
  <c r="D287" s="1"/>
  <c r="U287" s="1"/>
  <c r="C291"/>
  <c r="D291" s="1"/>
  <c r="U291" s="1"/>
  <c r="C295"/>
  <c r="D295" s="1"/>
  <c r="U295" s="1"/>
  <c r="C299"/>
  <c r="D299" s="1"/>
  <c r="U299" s="1"/>
  <c r="C303"/>
  <c r="D303" s="1"/>
  <c r="U303" s="1"/>
  <c r="C308"/>
  <c r="D308" s="1"/>
  <c r="U308" s="1"/>
  <c r="C312"/>
  <c r="D312" s="1"/>
  <c r="U312" s="1"/>
  <c r="C316"/>
  <c r="D316" s="1"/>
  <c r="U316" s="1"/>
  <c r="C320"/>
  <c r="D320" s="1"/>
  <c r="U320" s="1"/>
  <c r="C325"/>
  <c r="D325" s="1"/>
  <c r="U325" s="1"/>
  <c r="C329"/>
  <c r="D329" s="1"/>
  <c r="U329" s="1"/>
  <c r="C334"/>
  <c r="D334" s="1"/>
  <c r="U334" s="1"/>
  <c r="C338"/>
  <c r="D338" s="1"/>
  <c r="U338" s="1"/>
  <c r="C342"/>
  <c r="D342" s="1"/>
  <c r="U342" s="1"/>
  <c r="C347"/>
  <c r="D347" s="1"/>
  <c r="U347" s="1"/>
  <c r="C354"/>
  <c r="D354" s="1"/>
  <c r="U354" s="1"/>
  <c r="C359"/>
  <c r="D359" s="1"/>
  <c r="U359" s="1"/>
  <c r="C363"/>
  <c r="D363" s="1"/>
  <c r="U363" s="1"/>
  <c r="C367"/>
  <c r="D367" s="1"/>
  <c r="U367" s="1"/>
  <c r="C13"/>
  <c r="D13" s="1"/>
  <c r="C30"/>
  <c r="D30" s="1"/>
  <c r="D7"/>
  <c r="C15"/>
  <c r="D15" s="1"/>
  <c r="C24"/>
  <c r="D24" s="1"/>
  <c r="C32"/>
  <c r="D32" s="1"/>
  <c r="C40"/>
  <c r="D40" s="1"/>
  <c r="C55"/>
  <c r="D55" s="1"/>
  <c r="U55" s="1"/>
  <c r="C67"/>
  <c r="D67" s="1"/>
  <c r="U67" s="1"/>
  <c r="C76"/>
  <c r="D76" s="1"/>
  <c r="U76" s="1"/>
  <c r="C85"/>
  <c r="D85" s="1"/>
  <c r="U85" s="1"/>
  <c r="C94"/>
  <c r="D94" s="1"/>
  <c r="U94" s="1"/>
  <c r="C102"/>
  <c r="D102" s="1"/>
  <c r="U102" s="1"/>
  <c r="C111"/>
  <c r="D111" s="1"/>
  <c r="U111" s="1"/>
  <c r="C124"/>
  <c r="D124" s="1"/>
  <c r="U124" s="1"/>
  <c r="C141"/>
  <c r="D141" s="1"/>
  <c r="U141" s="1"/>
  <c r="C150"/>
  <c r="D150" s="1"/>
  <c r="U150" s="1"/>
  <c r="C159"/>
  <c r="D159" s="1"/>
  <c r="U159" s="1"/>
  <c r="C163"/>
  <c r="D163" s="1"/>
  <c r="U163" s="1"/>
  <c r="C172"/>
  <c r="D172" s="1"/>
  <c r="U172" s="1"/>
  <c r="C176"/>
  <c r="D176" s="1"/>
  <c r="U176" s="1"/>
  <c r="C180"/>
  <c r="D180" s="1"/>
  <c r="U180" s="1"/>
  <c r="C188"/>
  <c r="D188" s="1"/>
  <c r="U188" s="1"/>
  <c r="C193"/>
  <c r="D193" s="1"/>
  <c r="U193" s="1"/>
  <c r="C197"/>
  <c r="D197" s="1"/>
  <c r="U197" s="1"/>
  <c r="C201"/>
  <c r="D201" s="1"/>
  <c r="U201" s="1"/>
  <c r="C206"/>
  <c r="D206" s="1"/>
  <c r="U206" s="1"/>
  <c r="C210"/>
  <c r="D210" s="1"/>
  <c r="U210" s="1"/>
  <c r="C214"/>
  <c r="D214" s="1"/>
  <c r="U214" s="1"/>
  <c r="C218"/>
  <c r="D218" s="1"/>
  <c r="U218" s="1"/>
  <c r="C223"/>
  <c r="D223" s="1"/>
  <c r="U223" s="1"/>
  <c r="C227"/>
  <c r="D227" s="1"/>
  <c r="U227" s="1"/>
  <c r="C232"/>
  <c r="D232" s="1"/>
  <c r="U232" s="1"/>
  <c r="C236"/>
  <c r="D236" s="1"/>
  <c r="U236" s="1"/>
  <c r="C241"/>
  <c r="D241" s="1"/>
  <c r="U241" s="1"/>
  <c r="C245"/>
  <c r="D245" s="1"/>
  <c r="U245" s="1"/>
  <c r="C249"/>
  <c r="D249" s="1"/>
  <c r="U249" s="1"/>
  <c r="C253"/>
  <c r="D253" s="1"/>
  <c r="U253" s="1"/>
  <c r="C258"/>
  <c r="D258" s="1"/>
  <c r="U258" s="1"/>
  <c r="C263"/>
  <c r="D263" s="1"/>
  <c r="U263" s="1"/>
  <c r="C267"/>
  <c r="D267" s="1"/>
  <c r="U267" s="1"/>
  <c r="C271"/>
  <c r="D271" s="1"/>
  <c r="U271" s="1"/>
  <c r="C275"/>
  <c r="D275" s="1"/>
  <c r="U275" s="1"/>
  <c r="C279"/>
  <c r="D279" s="1"/>
  <c r="U279" s="1"/>
  <c r="C284"/>
  <c r="D284" s="1"/>
  <c r="U284" s="1"/>
  <c r="C288"/>
  <c r="D288" s="1"/>
  <c r="U288" s="1"/>
  <c r="C292"/>
  <c r="D292" s="1"/>
  <c r="U292" s="1"/>
  <c r="C296"/>
  <c r="D296" s="1"/>
  <c r="U296" s="1"/>
  <c r="C300"/>
  <c r="D300" s="1"/>
  <c r="U300" s="1"/>
  <c r="C304"/>
  <c r="D304" s="1"/>
  <c r="U304" s="1"/>
  <c r="C309"/>
  <c r="D309" s="1"/>
  <c r="U309" s="1"/>
  <c r="C313"/>
  <c r="D313" s="1"/>
  <c r="U313" s="1"/>
  <c r="C317"/>
  <c r="D317" s="1"/>
  <c r="U317" s="1"/>
  <c r="C322"/>
  <c r="D322" s="1"/>
  <c r="U322" s="1"/>
  <c r="C326"/>
  <c r="D326" s="1"/>
  <c r="U326" s="1"/>
  <c r="C330"/>
  <c r="D330" s="1"/>
  <c r="U330" s="1"/>
  <c r="C335"/>
  <c r="D335" s="1"/>
  <c r="U335" s="1"/>
  <c r="C339"/>
  <c r="D339" s="1"/>
  <c r="U339" s="1"/>
  <c r="C343"/>
  <c r="D343" s="1"/>
  <c r="U343" s="1"/>
  <c r="C348"/>
  <c r="D348" s="1"/>
  <c r="U348" s="1"/>
  <c r="C351"/>
  <c r="D351" s="1"/>
  <c r="U351" s="1"/>
  <c r="C355"/>
  <c r="D355" s="1"/>
  <c r="U355" s="1"/>
  <c r="C360"/>
  <c r="D360" s="1"/>
  <c r="U360" s="1"/>
  <c r="C364"/>
  <c r="D364" s="1"/>
  <c r="U364" s="1"/>
  <c r="C368"/>
  <c r="D368" s="1"/>
  <c r="U368" s="1"/>
  <c r="U332" l="1"/>
  <c r="U145"/>
  <c r="U58"/>
  <c r="U365"/>
  <c r="U357"/>
  <c r="U349"/>
  <c r="U340"/>
  <c r="U331"/>
  <c r="U323"/>
  <c r="B367"/>
  <c r="B334"/>
  <c r="B316"/>
  <c r="B299"/>
  <c r="B283"/>
  <c r="B266"/>
  <c r="B248"/>
  <c r="B231"/>
  <c r="B213"/>
  <c r="B196"/>
  <c r="B187"/>
  <c r="B158"/>
  <c r="B140"/>
  <c r="B123"/>
  <c r="B106"/>
  <c r="B88"/>
  <c r="B61"/>
  <c r="B368"/>
  <c r="B360"/>
  <c r="B351"/>
  <c r="B343"/>
  <c r="B335"/>
  <c r="B326"/>
  <c r="B317"/>
  <c r="B309"/>
  <c r="B300"/>
  <c r="B292"/>
  <c r="B284"/>
  <c r="B275"/>
  <c r="B267"/>
  <c r="B258"/>
  <c r="B249"/>
  <c r="B241"/>
  <c r="B232"/>
  <c r="B223"/>
  <c r="B214"/>
  <c r="B206"/>
  <c r="B197"/>
  <c r="B188"/>
  <c r="B176"/>
  <c r="B172"/>
  <c r="B159"/>
  <c r="B141"/>
  <c r="B124"/>
  <c r="B102"/>
  <c r="B85"/>
  <c r="B67"/>
  <c r="B40"/>
  <c r="B24"/>
  <c r="B13"/>
  <c r="B167"/>
  <c r="B146"/>
  <c r="B129"/>
  <c r="B115"/>
  <c r="B98"/>
  <c r="B81"/>
  <c r="B62"/>
  <c r="B50"/>
  <c r="B36"/>
  <c r="B20"/>
  <c r="B34"/>
  <c r="B354"/>
  <c r="B338"/>
  <c r="B320"/>
  <c r="B303"/>
  <c r="B287"/>
  <c r="B270"/>
  <c r="B252"/>
  <c r="B235"/>
  <c r="B217"/>
  <c r="B200"/>
  <c r="B162"/>
  <c r="B145"/>
  <c r="B127"/>
  <c r="B110"/>
  <c r="B93"/>
  <c r="B75"/>
  <c r="B66"/>
  <c r="B49"/>
  <c r="B39"/>
  <c r="B31"/>
  <c r="B23"/>
  <c r="B14"/>
  <c r="B131"/>
  <c r="B109"/>
  <c r="B96"/>
  <c r="B78"/>
  <c r="B64"/>
  <c r="B48"/>
  <c r="B22"/>
  <c r="B362"/>
  <c r="B353"/>
  <c r="B346"/>
  <c r="B337"/>
  <c r="B328"/>
  <c r="B319"/>
  <c r="B311"/>
  <c r="B302"/>
  <c r="B294"/>
  <c r="B286"/>
  <c r="B277"/>
  <c r="B269"/>
  <c r="B260"/>
  <c r="B251"/>
  <c r="B243"/>
  <c r="B234"/>
  <c r="B225"/>
  <c r="B216"/>
  <c r="B208"/>
  <c r="B199"/>
  <c r="B190"/>
  <c r="B182"/>
  <c r="B169"/>
  <c r="B161"/>
  <c r="B152"/>
  <c r="B143"/>
  <c r="B134"/>
  <c r="B122"/>
  <c r="B100"/>
  <c r="B83"/>
  <c r="B60"/>
  <c r="B42"/>
  <c r="B9"/>
  <c r="B361"/>
  <c r="B352"/>
  <c r="B344"/>
  <c r="B336"/>
  <c r="B327"/>
  <c r="B318"/>
  <c r="B310"/>
  <c r="B301"/>
  <c r="B293"/>
  <c r="B285"/>
  <c r="B276"/>
  <c r="B268"/>
  <c r="B259"/>
  <c r="B250"/>
  <c r="B242"/>
  <c r="B233"/>
  <c r="B224"/>
  <c r="B215"/>
  <c r="B207"/>
  <c r="B198"/>
  <c r="B189"/>
  <c r="B181"/>
  <c r="B175"/>
  <c r="B168"/>
  <c r="B160"/>
  <c r="B151"/>
  <c r="B142"/>
  <c r="B133"/>
  <c r="B125"/>
  <c r="B116"/>
  <c r="B108"/>
  <c r="B99"/>
  <c r="B91"/>
  <c r="B82"/>
  <c r="B73"/>
  <c r="B63"/>
  <c r="B56"/>
  <c r="AC45" i="7"/>
  <c r="B37" i="8"/>
  <c r="B29"/>
  <c r="B21"/>
  <c r="B12"/>
  <c r="B363"/>
  <c r="B347"/>
  <c r="B329"/>
  <c r="B312"/>
  <c r="B295"/>
  <c r="B278"/>
  <c r="B261"/>
  <c r="B244"/>
  <c r="B226"/>
  <c r="B209"/>
  <c r="B191"/>
  <c r="B183"/>
  <c r="B170"/>
  <c r="B153"/>
  <c r="B135"/>
  <c r="B118"/>
  <c r="B101"/>
  <c r="B84"/>
  <c r="B364"/>
  <c r="B355"/>
  <c r="B348"/>
  <c r="B339"/>
  <c r="B330"/>
  <c r="B322"/>
  <c r="B313"/>
  <c r="B304"/>
  <c r="B296"/>
  <c r="B288"/>
  <c r="B279"/>
  <c r="B271"/>
  <c r="B263"/>
  <c r="B253"/>
  <c r="B245"/>
  <c r="B236"/>
  <c r="B227"/>
  <c r="B218"/>
  <c r="B210"/>
  <c r="B201"/>
  <c r="B193"/>
  <c r="B180"/>
  <c r="B163"/>
  <c r="B150"/>
  <c r="B111"/>
  <c r="B94"/>
  <c r="B76"/>
  <c r="B55"/>
  <c r="B32"/>
  <c r="B15"/>
  <c r="B30"/>
  <c r="B184"/>
  <c r="B154"/>
  <c r="B136"/>
  <c r="B119"/>
  <c r="B107"/>
  <c r="B89"/>
  <c r="B72"/>
  <c r="B44"/>
  <c r="B28"/>
  <c r="B11"/>
  <c r="AC17" i="7"/>
  <c r="B359" i="8"/>
  <c r="B342"/>
  <c r="B325"/>
  <c r="B308"/>
  <c r="B291"/>
  <c r="B274"/>
  <c r="B257"/>
  <c r="B240"/>
  <c r="B222"/>
  <c r="B204"/>
  <c r="B179"/>
  <c r="B166"/>
  <c r="B149"/>
  <c r="B132"/>
  <c r="B114"/>
  <c r="B97"/>
  <c r="B79"/>
  <c r="B70"/>
  <c r="B54"/>
  <c r="B43"/>
  <c r="B35"/>
  <c r="B27"/>
  <c r="B19"/>
  <c r="T19" s="1"/>
  <c r="B10"/>
  <c r="B117"/>
  <c r="B105"/>
  <c r="B87"/>
  <c r="B69"/>
  <c r="B38"/>
  <c r="B366"/>
  <c r="B358"/>
  <c r="B350"/>
  <c r="B341"/>
  <c r="B332"/>
  <c r="B324"/>
  <c r="B315"/>
  <c r="B307"/>
  <c r="B298"/>
  <c r="B290"/>
  <c r="B282"/>
  <c r="B273"/>
  <c r="B265"/>
  <c r="B256"/>
  <c r="B247"/>
  <c r="B239"/>
  <c r="B230"/>
  <c r="B221"/>
  <c r="B212"/>
  <c r="B203"/>
  <c r="B195"/>
  <c r="B186"/>
  <c r="B177"/>
  <c r="B174"/>
  <c r="B165"/>
  <c r="B156"/>
  <c r="B148"/>
  <c r="B139"/>
  <c r="B126"/>
  <c r="B113"/>
  <c r="B92"/>
  <c r="B74"/>
  <c r="B53"/>
  <c r="B26"/>
  <c r="B365"/>
  <c r="B357"/>
  <c r="B349"/>
  <c r="B340"/>
  <c r="B331"/>
  <c r="B323"/>
  <c r="B314"/>
  <c r="B306"/>
  <c r="B297"/>
  <c r="B289"/>
  <c r="B281"/>
  <c r="B272"/>
  <c r="B264"/>
  <c r="B255"/>
  <c r="B246"/>
  <c r="B237"/>
  <c r="B228"/>
  <c r="B220"/>
  <c r="B211"/>
  <c r="B202"/>
  <c r="B194"/>
  <c r="B185"/>
  <c r="B173"/>
  <c r="B164"/>
  <c r="B155"/>
  <c r="B147"/>
  <c r="B138"/>
  <c r="B130"/>
  <c r="B121"/>
  <c r="B112"/>
  <c r="B103"/>
  <c r="B95"/>
  <c r="B86"/>
  <c r="B77"/>
  <c r="B68"/>
  <c r="B59"/>
  <c r="B51"/>
  <c r="B41"/>
  <c r="B33"/>
  <c r="B25"/>
  <c r="B16"/>
  <c r="B8"/>
  <c r="N8" s="1"/>
  <c r="Q19" l="1"/>
  <c r="K8"/>
  <c r="AC369" i="7"/>
  <c r="N354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AD45" i="7"/>
  <c r="B18" i="8"/>
  <c r="AD17" i="7"/>
  <c r="B17" i="8" s="1"/>
  <c r="AD6" i="7"/>
  <c r="B6" i="8" s="1"/>
  <c r="B45" l="1"/>
  <c r="AD369" i="7"/>
  <c r="B369" i="8" s="1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sharedStrings.xml><?xml version="1.0" encoding="utf-8"?>
<sst xmlns="http://schemas.openxmlformats.org/spreadsheetml/2006/main" count="5097" uniqueCount="410">
  <si>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</si>
  <si>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</si>
  <si>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</si>
  <si>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</si>
  <si>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</si>
  <si>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</si>
  <si>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</si>
  <si>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</si>
  <si>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</si>
  <si>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</si>
  <si>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</si>
  <si>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</si>
  <si>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</si>
  <si>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</si>
  <si>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</si>
  <si>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</si>
  <si>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</si>
  <si>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</si>
  <si>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</si>
  <si>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</si>
  <si>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</si>
  <si>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</si>
  <si>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</si>
  <si>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</si>
  <si>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</si>
  <si>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</si>
  <si>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</si>
  <si>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</si>
  <si>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</si>
  <si>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</si>
  <si>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</si>
  <si>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</si>
  <si>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</si>
  <si>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</si>
  <si>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</si>
  <si>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</si>
  <si>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</si>
  <si>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</si>
  <si>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</si>
  <si>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</si>
  <si>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</si>
  <si>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</si>
  <si>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</si>
  <si>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</si>
  <si>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</si>
  <si>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</si>
  <si>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</si>
  <si>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</si>
  <si>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</si>
  <si>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</si>
  <si>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</si>
  <si>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</si>
  <si>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</si>
  <si>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</si>
  <si>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</si>
  <si>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</si>
  <si>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</si>
  <si>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</si>
  <si>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</si>
  <si>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</si>
  <si>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</si>
  <si>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</si>
  <si>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</si>
  <si>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</si>
  <si>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</si>
  <si>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</si>
  <si>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</si>
  <si>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</si>
  <si>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</si>
  <si>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</si>
  <si>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</si>
  <si>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</si>
  <si>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</si>
  <si>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</si>
  <si>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</si>
  <si>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</si>
  <si>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</si>
  <si>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</si>
  <si>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</si>
  <si>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</si>
  <si>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</si>
  <si>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</si>
  <si>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</si>
  <si>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</si>
  <si>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</si>
  <si>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</si>
  <si>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</si>
  <si>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</si>
  <si>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</si>
  <si>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</si>
  <si>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</si>
  <si>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</si>
  <si>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</si>
  <si>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</si>
  <si>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</si>
  <si>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</si>
  <si>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</si>
  <si>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</si>
  <si>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</si>
  <si>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</si>
  <si>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</si>
  <si>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</si>
  <si>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</si>
  <si>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</si>
  <si>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</si>
  <si>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</si>
  <si>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</si>
  <si>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</si>
  <si>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</si>
  <si>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</si>
  <si>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</si>
  <si>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</si>
  <si>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</si>
  <si>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</si>
  <si>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</si>
  <si>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</si>
  <si>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</si>
  <si>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</si>
  <si>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</si>
  <si>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</si>
  <si>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</si>
  <si>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</si>
  <si>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</si>
  <si>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</si>
  <si>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</si>
  <si>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</si>
  <si>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</si>
  <si>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</si>
  <si>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</si>
  <si>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</si>
  <si>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</si>
  <si>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</si>
  <si>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</si>
  <si>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</si>
  <si>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</si>
  <si>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</si>
  <si>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</si>
  <si>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</si>
  <si>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</si>
  <si>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</si>
  <si>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</si>
  <si>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</si>
  <si>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</si>
  <si>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</si>
  <si>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</si>
  <si>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</si>
  <si>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</si>
  <si>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</si>
  <si>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</si>
  <si>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</si>
  <si>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</si>
  <si>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</si>
  <si>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</si>
  <si>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</si>
  <si>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</si>
  <si>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</si>
  <si>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</si>
  <si>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</si>
  <si>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</si>
  <si>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</si>
  <si>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</si>
  <si>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</si>
  <si>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</si>
  <si>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</si>
  <si>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</si>
  <si>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</si>
  <si>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</si>
  <si>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</si>
  <si>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</si>
  <si>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</si>
  <si>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</si>
  <si>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</si>
  <si>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</si>
  <si>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</si>
  <si>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</si>
  <si>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</si>
  <si>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</si>
  <si>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</si>
  <si>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</si>
  <si>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</si>
  <si>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</si>
  <si>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</si>
  <si>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</si>
  <si>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</si>
  <si>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</si>
  <si>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</si>
  <si>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</si>
  <si>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</si>
  <si>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</si>
  <si>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</si>
  <si>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</si>
  <si>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</si>
  <si>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</si>
  <si>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</si>
  <si>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</si>
  <si>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</si>
  <si>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</si>
  <si>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</si>
  <si>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</si>
  <si>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</si>
  <si>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</si>
  <si>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</si>
  <si>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</si>
  <si>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</si>
  <si>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</si>
  <si>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</si>
  <si>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</si>
  <si>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</si>
  <si>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</si>
  <si>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</si>
  <si>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</si>
  <si>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</si>
  <si>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</si>
  <si>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</si>
  <si>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</si>
  <si>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</si>
  <si>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</si>
  <si>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</si>
  <si>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</si>
  <si>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</si>
  <si>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</si>
  <si>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</si>
  <si>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</si>
  <si>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</si>
  <si>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</si>
  <si>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</si>
  <si>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</si>
  <si>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</si>
  <si>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</si>
  <si>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</si>
  <si>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</si>
  <si>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</si>
  <si>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</si>
  <si>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</si>
  <si>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</si>
  <si>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</si>
  <si>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</si>
  <si>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</si>
  <si>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</si>
  <si>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</si>
  <si>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</si>
  <si>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</si>
  <si>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</si>
  <si>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</si>
  <si>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</si>
  <si>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</si>
  <si>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</si>
  <si>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</si>
  <si>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</si>
  <si>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</si>
  <si>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</si>
  <si>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</si>
  <si>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</si>
  <si>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</si>
  <si>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</si>
  <si>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</si>
  <si>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</si>
  <si>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</si>
  <si>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</si>
  <si>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</si>
  <si>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</si>
  <si>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</si>
  <si>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</si>
  <si>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</si>
  <si>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</si>
  <si>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</si>
  <si>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</si>
  <si>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</si>
  <si>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</si>
  <si>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</si>
  <si>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</si>
  <si>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</si>
  <si>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</si>
  <si>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</si>
  <si>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</si>
  <si>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</si>
  <si>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</si>
  <si>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</si>
  <si>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</si>
  <si>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</si>
  <si>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</si>
  <si>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</si>
  <si>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</si>
  <si>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</si>
  <si>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</si>
  <si>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</si>
  <si>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</si>
  <si>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</si>
  <si>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</si>
  <si>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</si>
  <si>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</si>
  <si>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</si>
  <si>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</si>
  <si>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</si>
  <si>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</si>
  <si>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</si>
  <si>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</si>
  <si>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</si>
  <si>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</si>
  <si>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</si>
  <si>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</si>
  <si>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</si>
  <si>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</si>
  <si>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</si>
  <si>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</si>
  <si>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</si>
  <si>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</si>
  <si>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</si>
  <si>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</si>
  <si>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</si>
  <si>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</si>
  <si>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</si>
  <si>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</si>
  <si>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</si>
  <si>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</si>
  <si>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</si>
  <si>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</si>
  <si>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</si>
  <si>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</si>
  <si>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</si>
  <si>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</si>
  <si>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</si>
  <si>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</si>
  <si>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</si>
  <si>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</si>
  <si>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</si>
  <si>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</si>
  <si>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</si>
  <si>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</si>
  <si>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</si>
  <si>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</si>
  <si>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</si>
  <si>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</si>
  <si>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</si>
  <si>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</si>
  <si>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</si>
  <si>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</si>
  <si>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</si>
  <si>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</si>
  <si>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</si>
  <si>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</si>
  <si>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</si>
  <si>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</si>
  <si>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</si>
  <si>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</si>
  <si>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</si>
  <si>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</si>
  <si>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</si>
  <si>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</si>
  <si>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</si>
  <si>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</si>
  <si>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</si>
  <si>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</si>
  <si>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</si>
  <si>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</si>
  <si>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</si>
  <si>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</si>
  <si>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</si>
  <si>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</si>
  <si>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</si>
  <si>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</si>
  <si>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</si>
  <si>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</si>
  <si>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</si>
  <si>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</si>
  <si>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</si>
  <si>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</si>
  <si>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</si>
  <si>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</si>
  <si>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</si>
  <si>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</si>
  <si>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</si>
  <si>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</si>
  <si>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</si>
  <si>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</si>
  <si>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</si>
  <si>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</si>
  <si>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</si>
  <si>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</si>
  <si>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</si>
  <si>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</si>
  <si>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</si>
  <si>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</si>
  <si>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</si>
  <si>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</si>
  <si>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</si>
  <si>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</si>
  <si>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</si>
  <si>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</si>
  <si>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</si>
  <si>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</si>
  <si>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</si>
  <si>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</si>
  <si>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</si>
  <si>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</si>
  <si>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</si>
  <si>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</si>
  <si>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</si>
  <si>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</si>
  <si>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Исполнение с уч. корректир. макс.  перевыполнения</t>
  </si>
  <si>
    <t>Распределение за отчётный период с учетом корректировок</t>
  </si>
  <si>
    <t>32=29+31</t>
  </si>
  <si>
    <t>За апрель 2016 года</t>
  </si>
  <si>
    <t>Распределение за отчётный период с учетом корректировки и удержания</t>
  </si>
  <si>
    <t>34=32-33</t>
  </si>
  <si>
    <t>Размер ежемесячного удержания субсидий в связи с исполнением показателей за 2015 год</t>
  </si>
  <si>
    <t>Факторный анализ влияния отдельных показателей на итоговое распределение за апрель 2016 года</t>
  </si>
  <si>
    <t>Корректировка распределения с учетом использования показателей "темп роста среднемесячной номинальной заработной платы" и "оборот розничной торговли" за I квартал 2016 года и уточнения выполнения показателя "Объем отгруженных товаров..." для м.р. Пестравский и с.п. Пестравка (м.р. Пестравский) за февраль и I квартал 2016 года</t>
  </si>
  <si>
    <t>Корректировка распределения стимулирующих субсидий за 
апрель 2016 года</t>
  </si>
  <si>
    <t>Предоставлено субсидий за апрель без учета показателя "темп роста среднемесячной номинальной заработной платы"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</si>
</sst>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78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2187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109375" style="1" customWidth="1"/>
    <col min="10" max="10" width="10.21875" style="1" bestFit="1" customWidth="1"/>
    <col min="11" max="11" width="10.44140625" style="1" bestFit="1" customWidth="1"/>
    <col min="12" max="12" width="13" style="1" bestFit="1" customWidth="1"/>
    <col min="13" max="13" width="5.33203125" style="1" customWidth="1"/>
    <col min="14" max="14" width="16.2187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9" style="1" customWidth="1"/>
    <col min="23" max="23" width="9.6640625" style="1" customWidth="1"/>
    <col min="24" max="24" width="13" style="1" bestFit="1" customWidth="1"/>
    <col min="25" max="25" width="4.6640625" style="1" customWidth="1"/>
    <col min="26" max="26" width="13" style="1" customWidth="1"/>
    <col min="27" max="27" width="11.77734375" style="1" customWidth="1"/>
    <col min="28" max="28" width="13.109375" style="1" customWidth="1"/>
    <col min="29" max="29" width="13.5546875" style="1" customWidth="1"/>
    <col min="30" max="30" width="14.33203125" style="1" customWidth="1"/>
    <col min="31" max="31" width="26.21875" style="1" customWidth="1"/>
    <col min="32" max="32" width="13" style="1" bestFit="1" customWidth="1"/>
    <col min="33" max="33" width="14.21875" style="1" customWidth="1"/>
    <col min="34" max="34" width="16.5546875" style="1" customWidth="1"/>
    <col min="35" max="35" width="17" style="1" customWidth="1"/>
    <col min="36" max="36" width="14.44140625" style="1" customWidth="1"/>
    <col min="37" max="37" width="59.21875" style="1" customWidth="1"/>
    <col min="38" max="16384" width="9.109375" style="1"/>
  </cols>
  <sheetData>
    <row r="1" spans="1:48" ht="21.75" customHeight="1">
      <c r="A1" s="70" t="s">
        <v>372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48" ht="15.55">
      <c r="A2" s="67" t="s">
        <v>402</v>
      </c>
      <c r="AJ2" s="66" t="s">
        <v>383</v>
      </c>
    </row>
    <row r="3" spans="1:48" ht="134.35" customHeight="1">
      <c r="A3" s="69" t="s">
        <v>15</v>
      </c>
      <c r="B3" s="71" t="s">
        <v>394</v>
      </c>
      <c r="C3" s="71"/>
      <c r="D3" s="71"/>
      <c r="E3" s="71"/>
      <c r="F3" s="71" t="s">
        <v>375</v>
      </c>
      <c r="G3" s="71"/>
      <c r="H3" s="71"/>
      <c r="I3" s="71"/>
      <c r="J3" s="71" t="s">
        <v>385</v>
      </c>
      <c r="K3" s="71"/>
      <c r="L3" s="71"/>
      <c r="M3" s="71"/>
      <c r="N3" s="71" t="s">
        <v>378</v>
      </c>
      <c r="O3" s="71"/>
      <c r="P3" s="71"/>
      <c r="Q3" s="71"/>
      <c r="R3" s="71" t="s">
        <v>374</v>
      </c>
      <c r="S3" s="71"/>
      <c r="T3" s="71"/>
      <c r="U3" s="71"/>
      <c r="V3" s="71" t="s">
        <v>373</v>
      </c>
      <c r="W3" s="71"/>
      <c r="X3" s="71"/>
      <c r="Y3" s="71"/>
      <c r="Z3" s="72" t="s">
        <v>395</v>
      </c>
      <c r="AA3" s="68" t="s">
        <v>371</v>
      </c>
      <c r="AB3" s="69" t="s">
        <v>376</v>
      </c>
      <c r="AC3" s="69" t="s">
        <v>377</v>
      </c>
      <c r="AD3" s="69" t="s">
        <v>368</v>
      </c>
      <c r="AE3" s="69" t="s">
        <v>407</v>
      </c>
      <c r="AF3" s="69" t="s">
        <v>400</v>
      </c>
      <c r="AG3" s="69" t="s">
        <v>405</v>
      </c>
      <c r="AH3" s="69" t="s">
        <v>403</v>
      </c>
      <c r="AI3" s="69" t="s">
        <v>409</v>
      </c>
      <c r="AJ3" s="69" t="s">
        <v>408</v>
      </c>
    </row>
    <row r="4" spans="1:48" ht="42.05" customHeight="1">
      <c r="A4" s="69"/>
      <c r="B4" s="64" t="s">
        <v>360</v>
      </c>
      <c r="C4" s="64" t="s">
        <v>361</v>
      </c>
      <c r="D4" s="65" t="s">
        <v>399</v>
      </c>
      <c r="E4" s="64" t="s">
        <v>16</v>
      </c>
      <c r="F4" s="64" t="s">
        <v>360</v>
      </c>
      <c r="G4" s="64" t="s">
        <v>361</v>
      </c>
      <c r="H4" s="65" t="s">
        <v>399</v>
      </c>
      <c r="I4" s="64" t="s">
        <v>16</v>
      </c>
      <c r="J4" s="64" t="s">
        <v>360</v>
      </c>
      <c r="K4" s="64" t="s">
        <v>361</v>
      </c>
      <c r="L4" s="65" t="s">
        <v>399</v>
      </c>
      <c r="M4" s="64" t="s">
        <v>16</v>
      </c>
      <c r="N4" s="64" t="s">
        <v>360</v>
      </c>
      <c r="O4" s="64" t="s">
        <v>361</v>
      </c>
      <c r="P4" s="65" t="s">
        <v>399</v>
      </c>
      <c r="Q4" s="64" t="s">
        <v>16</v>
      </c>
      <c r="R4" s="64" t="s">
        <v>360</v>
      </c>
      <c r="S4" s="64" t="s">
        <v>361</v>
      </c>
      <c r="T4" s="65" t="s">
        <v>399</v>
      </c>
      <c r="U4" s="64" t="s">
        <v>16</v>
      </c>
      <c r="V4" s="64" t="s">
        <v>360</v>
      </c>
      <c r="W4" s="64" t="s">
        <v>361</v>
      </c>
      <c r="X4" s="65" t="s">
        <v>399</v>
      </c>
      <c r="Y4" s="64" t="s">
        <v>16</v>
      </c>
      <c r="Z4" s="72"/>
      <c r="AA4" s="68"/>
      <c r="AB4" s="69"/>
      <c r="AC4" s="69"/>
      <c r="AD4" s="69"/>
      <c r="AE4" s="69"/>
      <c r="AF4" s="69"/>
      <c r="AG4" s="69"/>
      <c r="AH4" s="69"/>
      <c r="AI4" s="69"/>
      <c r="AJ4" s="69"/>
    </row>
    <row r="5" spans="1:48" s="19" customFormat="1" ht="14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386</v>
      </c>
      <c r="U5" s="25">
        <v>21</v>
      </c>
      <c r="V5" s="25">
        <v>22</v>
      </c>
      <c r="W5" s="25">
        <v>23</v>
      </c>
      <c r="X5" s="25" t="s">
        <v>387</v>
      </c>
      <c r="Y5" s="25">
        <v>25</v>
      </c>
      <c r="Z5" s="25">
        <v>26</v>
      </c>
      <c r="AA5" s="25">
        <v>27</v>
      </c>
      <c r="AB5" s="25" t="s">
        <v>396</v>
      </c>
      <c r="AC5" s="25" t="s">
        <v>397</v>
      </c>
      <c r="AD5" s="25" t="s">
        <v>398</v>
      </c>
      <c r="AE5" s="25">
        <v>31</v>
      </c>
      <c r="AF5" s="25" t="s">
        <v>401</v>
      </c>
      <c r="AG5" s="25">
        <v>33</v>
      </c>
      <c r="AH5" s="25" t="s">
        <v>404</v>
      </c>
      <c r="AI5" s="25">
        <v>35</v>
      </c>
      <c r="AJ5" s="25">
        <v>36</v>
      </c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3" customFormat="1" ht="17" customHeight="1">
      <c r="A6" s="36" t="s">
        <v>4</v>
      </c>
      <c r="B6" s="34">
        <f>SUM(B7:B16)</f>
        <v>71005283</v>
      </c>
      <c r="C6" s="34">
        <f>SUM(C7:C16)</f>
        <v>68857379.899999991</v>
      </c>
      <c r="D6" s="6">
        <f>IF(C6/B6&gt;1.2,IF((C6/B6-1)*0.1+1.2&gt;1.3,1.3,(C6/B6-1.2)*0.1+1.2),C6/B6)</f>
        <v>0.96975009451057315</v>
      </c>
      <c r="E6" s="21"/>
      <c r="F6" s="37"/>
      <c r="G6" s="37"/>
      <c r="H6" s="6"/>
      <c r="I6" s="21"/>
      <c r="J6" s="34">
        <f>SUM(J7:J16)</f>
        <v>16165</v>
      </c>
      <c r="K6" s="34">
        <f>SUM(K7:K16)</f>
        <v>20006</v>
      </c>
      <c r="L6" s="6">
        <f>IF(J6/K6&gt;1.2,IF((J6/K6-1)*0.1+1.2&gt;1.3,1.3,(J6/K6-1.2)*0.1+1.2),J6/K6)</f>
        <v>0.80800759772068376</v>
      </c>
      <c r="M6" s="21"/>
      <c r="N6" s="34">
        <f>SUM(N7:N16)</f>
        <v>2529686.7000000002</v>
      </c>
      <c r="O6" s="34">
        <f>SUM(O7:O16)</f>
        <v>2444448.4000000008</v>
      </c>
      <c r="P6" s="6">
        <f>IF(O6/N6&gt;1.2,IF((O6/N6-1.2)*0.1+1.2&gt;1.3,1.3,(O6/N6-1.2)*0.1+1.2),O6/N6)</f>
        <v>0.96630479972085104</v>
      </c>
      <c r="Q6" s="21"/>
      <c r="R6" s="38"/>
      <c r="S6" s="38"/>
      <c r="T6" s="38"/>
      <c r="U6" s="21"/>
      <c r="V6" s="38"/>
      <c r="W6" s="39"/>
      <c r="X6" s="39"/>
      <c r="Y6" s="21"/>
      <c r="Z6" s="22"/>
      <c r="AA6" s="20">
        <f>SUM(AA7:AA16)</f>
        <v>2045058</v>
      </c>
      <c r="AB6" s="34">
        <f>SUM(AB7:AB16)</f>
        <v>185914.36363636359</v>
      </c>
      <c r="AC6" s="34">
        <f>SUM(AC7:AC16)</f>
        <v>172130.9</v>
      </c>
      <c r="AD6" s="34">
        <f>SUM(AD7:AD16)</f>
        <v>-13783.463636363631</v>
      </c>
      <c r="AE6" s="34">
        <f t="shared" ref="AE6:AJ6" si="0">SUM(AE7:AE16)</f>
        <v>1207.4999999999995</v>
      </c>
      <c r="AF6" s="34">
        <f t="shared" si="0"/>
        <v>173338.4</v>
      </c>
      <c r="AG6" s="34">
        <f t="shared" si="0"/>
        <v>4625.7</v>
      </c>
      <c r="AH6" s="34">
        <f t="shared" si="0"/>
        <v>168712.69999999998</v>
      </c>
      <c r="AI6" s="34">
        <f>SUM(AI7:AI16)</f>
        <v>170377.2</v>
      </c>
      <c r="AJ6" s="34">
        <f t="shared" si="0"/>
        <v>-1664.5000000000002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7" customHeight="1">
      <c r="A7" s="12" t="s">
        <v>5</v>
      </c>
      <c r="B7" s="35">
        <v>21987840</v>
      </c>
      <c r="C7" s="35">
        <v>23338541</v>
      </c>
      <c r="D7" s="4">
        <f>IF(E7=0,0,IF(B7=0,1,IF(C7&lt;0,0,IF(C7/B7&gt;1.2,IF((C7/B7-1.2)*0.1+1.2&gt;1.3,1.3,(C7/B7-1.2)*0.1+1.2),C7/B7))))</f>
        <v>1.0614294537344278</v>
      </c>
      <c r="E7" s="11">
        <v>15</v>
      </c>
      <c r="F7" s="59">
        <v>108.9</v>
      </c>
      <c r="G7" s="59">
        <v>100.9</v>
      </c>
      <c r="H7" s="4">
        <f>IF(I7=0,0,IF(F7=0,1,IF(G7&lt;0,0,IF(G7/F7&gt;1.2,IF((G7/F7-1.2)*0.1+1.2&gt;1.3,1.3,(G7/F7-1.2)*0.1+1.2),G7/F7))))</f>
        <v>0.92653810835629014</v>
      </c>
      <c r="I7" s="11">
        <v>10</v>
      </c>
      <c r="J7" s="45">
        <v>4600</v>
      </c>
      <c r="K7" s="45">
        <v>5498</v>
      </c>
      <c r="L7" s="4">
        <f>IF(M7=0,0,IF(J7=0,1,IF(K7&lt;0,0,IF(J7/K7&gt;1.2,IF((J7/K7-1.2)*0.1+1.2&gt;1.3,1.3,(J7/K7-1.2)*0.1+1.2),J7/K7))))</f>
        <v>0.83666787922881047</v>
      </c>
      <c r="M7" s="11">
        <v>5</v>
      </c>
      <c r="N7" s="35">
        <v>1446860.6</v>
      </c>
      <c r="O7" s="35">
        <v>1413935.3</v>
      </c>
      <c r="P7" s="4">
        <f>IF(Q7=0,0,IF(N7=0,1,IF(O7&lt;0,0,IF(O7/N7&gt;1.2,IF((O7/N7-1.2)*0.1+1.2&gt;1.3,1.3,(O7/N7-1.2)*0.1+1.2),O7/N7))))</f>
        <v>0.9772436266493123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44">
        <f>(D7*E7+H7*I7+L7*M7+P7*Q7)/(E7+I7+M7+Q7)</f>
        <v>0.97830069637419226</v>
      </c>
      <c r="AA7" s="45">
        <v>501679</v>
      </c>
      <c r="AB7" s="35">
        <f>AA7/11</f>
        <v>45607.181818181816</v>
      </c>
      <c r="AC7" s="35">
        <f>ROUND(Z7*AB7,1)</f>
        <v>44617.5</v>
      </c>
      <c r="AD7" s="35">
        <f>AC7-AB7</f>
        <v>-989.6818181818162</v>
      </c>
      <c r="AE7" s="35">
        <v>2245.1</v>
      </c>
      <c r="AF7" s="35">
        <f>AC7+AE7</f>
        <v>46862.6</v>
      </c>
      <c r="AG7" s="35"/>
      <c r="AH7" s="35">
        <f>AF7-AG7</f>
        <v>46862.6</v>
      </c>
      <c r="AI7" s="35">
        <v>47452.800000000003</v>
      </c>
      <c r="AJ7" s="35">
        <f>ROUND(AH7-AI7,1)</f>
        <v>-590.20000000000005</v>
      </c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7" customHeight="1">
      <c r="A8" s="12" t="s">
        <v>6</v>
      </c>
      <c r="B8" s="35">
        <v>34040956</v>
      </c>
      <c r="C8" s="35">
        <v>32463046</v>
      </c>
      <c r="D8" s="4">
        <f t="shared" ref="D8:D44" si="1">IF(E8=0,0,IF(B8=0,1,IF(C8&lt;0,0,IF(C8/B8&gt;1.2,IF((C8/B8-1.2)*0.1+1.2&gt;1.3,1.3,(C8/B8-1.2)*0.1+1.2),C8/B8))))</f>
        <v>0.95364671896993725</v>
      </c>
      <c r="E8" s="11">
        <v>15</v>
      </c>
      <c r="F8" s="59">
        <v>102</v>
      </c>
      <c r="G8" s="59">
        <v>99.4</v>
      </c>
      <c r="H8" s="4">
        <f t="shared" ref="H8:H44" si="2">IF(I8=0,0,IF(F8=0,1,IF(G8&lt;0,0,IF(G8/F8&gt;1.2,IF((G8/F8-1.2)*0.1+1.2&gt;1.3,1.3,(G8/F8-1.2)*0.1+1.2),G8/F8))))</f>
        <v>0.97450980392156872</v>
      </c>
      <c r="I8" s="11">
        <v>10</v>
      </c>
      <c r="J8" s="45">
        <v>8100</v>
      </c>
      <c r="K8" s="45">
        <v>10464</v>
      </c>
      <c r="L8" s="4">
        <f t="shared" ref="L8:L44" si="3">IF(M8=0,0,IF(J8=0,1,IF(K8&lt;0,0,IF(J8/K8&gt;1.2,IF((J8/K8-1.2)*0.1+1.2&gt;1.3,1.3,(J8/K8-1.2)*0.1+1.2),J8/K8))))</f>
        <v>0.7740825688073395</v>
      </c>
      <c r="M8" s="11">
        <v>15</v>
      </c>
      <c r="N8" s="35">
        <v>616701.80000000005</v>
      </c>
      <c r="O8" s="35">
        <v>635304.80000000005</v>
      </c>
      <c r="P8" s="4">
        <f t="shared" ref="P8:P44" si="4">IF(Q8=0,0,IF(N8=0,1,IF(O8&lt;0,0,IF(O8/N8&gt;1.2,IF((O8/N8-1.2)*0.1+1.2&gt;1.3,1.3,(O8/N8-1.2)*0.1+1.2),O8/N8))))</f>
        <v>1.0301653084197258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44">
        <f t="shared" ref="Z8:Z16" si="5">(D8*E8+H8*I8+L8*M8+P8*Q8)/(E8+I8+M8+Q8)</f>
        <v>0.93773905873782248</v>
      </c>
      <c r="AA8" s="45">
        <v>415477</v>
      </c>
      <c r="AB8" s="35">
        <f t="shared" ref="AB8:AB44" si="6">AA8/11</f>
        <v>37770.63636363636</v>
      </c>
      <c r="AC8" s="35">
        <f t="shared" ref="AC8:AC44" si="7">ROUND(Z8*AB8,1)</f>
        <v>35419</v>
      </c>
      <c r="AD8" s="35">
        <f t="shared" ref="AD8:AD44" si="8">AC8-AB8</f>
        <v>-2351.6363636363603</v>
      </c>
      <c r="AE8" s="35">
        <v>930.6</v>
      </c>
      <c r="AF8" s="35">
        <f t="shared" ref="AF8:AF44" si="9">AC8+AE8</f>
        <v>36349.599999999999</v>
      </c>
      <c r="AG8" s="35"/>
      <c r="AH8" s="35">
        <f t="shared" ref="AH8:AH44" si="10">AF8-AG8</f>
        <v>36349.599999999999</v>
      </c>
      <c r="AI8" s="35">
        <v>36071.799999999996</v>
      </c>
      <c r="AJ8" s="35">
        <f t="shared" ref="AJ8:AJ44" si="11">ROUND(AH8-AI8,1)</f>
        <v>277.8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" customFormat="1" ht="17" customHeight="1">
      <c r="A9" s="12" t="s">
        <v>7</v>
      </c>
      <c r="B9" s="35">
        <v>3854342</v>
      </c>
      <c r="C9" s="35">
        <v>3660747.4</v>
      </c>
      <c r="D9" s="4">
        <f t="shared" si="1"/>
        <v>0.94977233468125033</v>
      </c>
      <c r="E9" s="11">
        <v>15</v>
      </c>
      <c r="F9" s="59">
        <v>114.4</v>
      </c>
      <c r="G9" s="59">
        <v>91</v>
      </c>
      <c r="H9" s="4">
        <f t="shared" si="2"/>
        <v>0.79545454545454541</v>
      </c>
      <c r="I9" s="11">
        <v>10</v>
      </c>
      <c r="J9" s="45">
        <v>680</v>
      </c>
      <c r="K9" s="45">
        <v>714</v>
      </c>
      <c r="L9" s="4">
        <f t="shared" si="3"/>
        <v>0.95238095238095233</v>
      </c>
      <c r="M9" s="11">
        <v>5</v>
      </c>
      <c r="N9" s="35">
        <v>146620.79999999999</v>
      </c>
      <c r="O9" s="35">
        <v>122958.1</v>
      </c>
      <c r="P9" s="4">
        <f t="shared" si="4"/>
        <v>0.8386129389554553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44">
        <f t="shared" si="5"/>
        <v>0.87470588031556162</v>
      </c>
      <c r="AA9" s="45">
        <v>303620</v>
      </c>
      <c r="AB9" s="35">
        <f t="shared" si="6"/>
        <v>27601.81818181818</v>
      </c>
      <c r="AC9" s="35">
        <f t="shared" si="7"/>
        <v>24143.5</v>
      </c>
      <c r="AD9" s="35">
        <f t="shared" si="8"/>
        <v>-3458.3181818181802</v>
      </c>
      <c r="AE9" s="35">
        <v>79.5</v>
      </c>
      <c r="AF9" s="35">
        <f t="shared" si="9"/>
        <v>24223</v>
      </c>
      <c r="AG9" s="35"/>
      <c r="AH9" s="35">
        <f t="shared" si="10"/>
        <v>24223</v>
      </c>
      <c r="AI9" s="35">
        <v>24769.8</v>
      </c>
      <c r="AJ9" s="35">
        <f t="shared" si="11"/>
        <v>-546.79999999999995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17" customHeight="1">
      <c r="A10" s="12" t="s">
        <v>8</v>
      </c>
      <c r="B10" s="35">
        <v>5727879</v>
      </c>
      <c r="C10" s="35">
        <v>3240186.3</v>
      </c>
      <c r="D10" s="4">
        <f t="shared" si="1"/>
        <v>0.56568693228331113</v>
      </c>
      <c r="E10" s="11">
        <v>15</v>
      </c>
      <c r="F10" s="59">
        <v>111.7</v>
      </c>
      <c r="G10" s="59">
        <v>83.7</v>
      </c>
      <c r="H10" s="4">
        <f t="shared" si="2"/>
        <v>0.74932855863921222</v>
      </c>
      <c r="I10" s="11">
        <v>10</v>
      </c>
      <c r="J10" s="45">
        <v>460</v>
      </c>
      <c r="K10" s="45">
        <v>537</v>
      </c>
      <c r="L10" s="4">
        <f t="shared" si="3"/>
        <v>0.85661080074487894</v>
      </c>
      <c r="M10" s="11">
        <v>10</v>
      </c>
      <c r="N10" s="35">
        <v>143857.1</v>
      </c>
      <c r="O10" s="35">
        <v>105110.7</v>
      </c>
      <c r="P10" s="4">
        <f t="shared" si="4"/>
        <v>0.73066049572805225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44">
        <f t="shared" si="5"/>
        <v>0.71196195441184773</v>
      </c>
      <c r="AA10" s="45">
        <v>158950</v>
      </c>
      <c r="AB10" s="35">
        <f t="shared" si="6"/>
        <v>14450</v>
      </c>
      <c r="AC10" s="35">
        <f t="shared" si="7"/>
        <v>10287.9</v>
      </c>
      <c r="AD10" s="35">
        <f t="shared" si="8"/>
        <v>-4162.1000000000004</v>
      </c>
      <c r="AE10" s="35">
        <v>326.5</v>
      </c>
      <c r="AF10" s="35">
        <f t="shared" si="9"/>
        <v>10614.4</v>
      </c>
      <c r="AG10" s="35"/>
      <c r="AH10" s="35">
        <f t="shared" si="10"/>
        <v>10614.4</v>
      </c>
      <c r="AI10" s="35">
        <v>10494.4</v>
      </c>
      <c r="AJ10" s="35">
        <f t="shared" si="11"/>
        <v>120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ht="17" customHeight="1">
      <c r="A11" s="12" t="s">
        <v>9</v>
      </c>
      <c r="B11" s="35">
        <v>849142</v>
      </c>
      <c r="C11" s="35">
        <v>900585.6</v>
      </c>
      <c r="D11" s="4">
        <f t="shared" si="1"/>
        <v>1.0605830355817991</v>
      </c>
      <c r="E11" s="11">
        <v>15</v>
      </c>
      <c r="F11" s="59">
        <v>111.1</v>
      </c>
      <c r="G11" s="59">
        <v>104.2</v>
      </c>
      <c r="H11" s="4">
        <f t="shared" si="2"/>
        <v>0.93789378937893797</v>
      </c>
      <c r="I11" s="11">
        <v>10</v>
      </c>
      <c r="J11" s="45">
        <v>415</v>
      </c>
      <c r="K11" s="45">
        <v>402</v>
      </c>
      <c r="L11" s="4">
        <f t="shared" si="3"/>
        <v>1.0323383084577114</v>
      </c>
      <c r="M11" s="11">
        <v>10</v>
      </c>
      <c r="N11" s="35">
        <v>32919.4</v>
      </c>
      <c r="O11" s="35">
        <v>33103.699999999997</v>
      </c>
      <c r="P11" s="4">
        <f t="shared" si="4"/>
        <v>1.0055985224518065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44">
        <f t="shared" si="5"/>
        <v>1.0131461265659927</v>
      </c>
      <c r="AA11" s="45">
        <v>147978</v>
      </c>
      <c r="AB11" s="35">
        <f t="shared" si="6"/>
        <v>13452.545454545454</v>
      </c>
      <c r="AC11" s="35">
        <f t="shared" si="7"/>
        <v>13629.4</v>
      </c>
      <c r="AD11" s="35">
        <f t="shared" si="8"/>
        <v>176.85454545454559</v>
      </c>
      <c r="AE11" s="35">
        <v>-2023.2</v>
      </c>
      <c r="AF11" s="35">
        <f t="shared" si="9"/>
        <v>11606.199999999999</v>
      </c>
      <c r="AG11" s="35"/>
      <c r="AH11" s="35">
        <f t="shared" si="10"/>
        <v>11606.199999999999</v>
      </c>
      <c r="AI11" s="35">
        <v>11831.199999999999</v>
      </c>
      <c r="AJ11" s="35">
        <f t="shared" si="11"/>
        <v>-225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17" customHeight="1">
      <c r="A12" s="12" t="s">
        <v>10</v>
      </c>
      <c r="B12" s="35">
        <v>1546261</v>
      </c>
      <c r="C12" s="35">
        <v>1451157.7</v>
      </c>
      <c r="D12" s="4">
        <f t="shared" si="1"/>
        <v>0.93849466551895178</v>
      </c>
      <c r="E12" s="11">
        <v>15</v>
      </c>
      <c r="F12" s="59">
        <v>113.1</v>
      </c>
      <c r="G12" s="59">
        <v>79.900000000000006</v>
      </c>
      <c r="H12" s="4">
        <f t="shared" si="2"/>
        <v>0.70645446507515486</v>
      </c>
      <c r="I12" s="11">
        <v>10</v>
      </c>
      <c r="J12" s="45">
        <v>350</v>
      </c>
      <c r="K12" s="45">
        <v>347</v>
      </c>
      <c r="L12" s="4">
        <f t="shared" si="3"/>
        <v>1.0086455331412103</v>
      </c>
      <c r="M12" s="11">
        <v>15</v>
      </c>
      <c r="N12" s="35">
        <v>39602.300000000003</v>
      </c>
      <c r="O12" s="35">
        <v>37024.1</v>
      </c>
      <c r="P12" s="4">
        <f t="shared" si="4"/>
        <v>0.93489772058693554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44">
        <f t="shared" si="5"/>
        <v>0.91616003403987822</v>
      </c>
      <c r="AA12" s="45">
        <v>87371</v>
      </c>
      <c r="AB12" s="35">
        <f t="shared" si="6"/>
        <v>7942.818181818182</v>
      </c>
      <c r="AC12" s="35">
        <f t="shared" si="7"/>
        <v>7276.9</v>
      </c>
      <c r="AD12" s="35">
        <f t="shared" si="8"/>
        <v>-665.91818181818235</v>
      </c>
      <c r="AE12" s="35">
        <v>103.8</v>
      </c>
      <c r="AF12" s="35">
        <f t="shared" si="9"/>
        <v>7380.7</v>
      </c>
      <c r="AG12" s="35"/>
      <c r="AH12" s="35">
        <f t="shared" si="10"/>
        <v>7380.7</v>
      </c>
      <c r="AI12" s="35">
        <v>7713.8</v>
      </c>
      <c r="AJ12" s="35">
        <f t="shared" si="11"/>
        <v>-333.1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17" customHeight="1">
      <c r="A13" s="12" t="s">
        <v>11</v>
      </c>
      <c r="B13" s="35">
        <v>2474872</v>
      </c>
      <c r="C13" s="35">
        <v>3274712.8</v>
      </c>
      <c r="D13" s="4">
        <f t="shared" si="1"/>
        <v>1.212318471419936</v>
      </c>
      <c r="E13" s="11">
        <v>15</v>
      </c>
      <c r="F13" s="59">
        <v>108.6</v>
      </c>
      <c r="G13" s="59">
        <v>102.4</v>
      </c>
      <c r="H13" s="4">
        <f t="shared" si="2"/>
        <v>0.94290976058931875</v>
      </c>
      <c r="I13" s="11">
        <v>10</v>
      </c>
      <c r="J13" s="45">
        <v>650</v>
      </c>
      <c r="K13" s="45">
        <v>984</v>
      </c>
      <c r="L13" s="4">
        <f t="shared" si="3"/>
        <v>0.66056910569105687</v>
      </c>
      <c r="M13" s="11">
        <v>10</v>
      </c>
      <c r="N13" s="35">
        <v>40150.5</v>
      </c>
      <c r="O13" s="35">
        <v>39092.199999999997</v>
      </c>
      <c r="P13" s="4">
        <f t="shared" si="4"/>
        <v>0.97364167320456774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44">
        <f t="shared" si="5"/>
        <v>0.97622543996716638</v>
      </c>
      <c r="AA13" s="45">
        <v>133896</v>
      </c>
      <c r="AB13" s="35">
        <f t="shared" si="6"/>
        <v>12172.363636363636</v>
      </c>
      <c r="AC13" s="35">
        <f t="shared" si="7"/>
        <v>11883</v>
      </c>
      <c r="AD13" s="35">
        <f t="shared" si="8"/>
        <v>-289.36363636363603</v>
      </c>
      <c r="AE13" s="35">
        <v>-1766.5</v>
      </c>
      <c r="AF13" s="35">
        <f t="shared" si="9"/>
        <v>10116.5</v>
      </c>
      <c r="AG13" s="35"/>
      <c r="AH13" s="35">
        <f t="shared" si="10"/>
        <v>10116.5</v>
      </c>
      <c r="AI13" s="35">
        <v>10206.6</v>
      </c>
      <c r="AJ13" s="35">
        <f t="shared" si="11"/>
        <v>-90.1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17" customHeight="1">
      <c r="A14" s="12" t="s">
        <v>12</v>
      </c>
      <c r="B14" s="35">
        <v>53101</v>
      </c>
      <c r="C14" s="35">
        <v>58000.800000000003</v>
      </c>
      <c r="D14" s="4">
        <f t="shared" si="1"/>
        <v>1.0922732151936876</v>
      </c>
      <c r="E14" s="11">
        <v>15</v>
      </c>
      <c r="F14" s="59">
        <v>107.2</v>
      </c>
      <c r="G14" s="59">
        <v>101</v>
      </c>
      <c r="H14" s="4">
        <f t="shared" si="2"/>
        <v>0.94216417910447758</v>
      </c>
      <c r="I14" s="11">
        <v>10</v>
      </c>
      <c r="J14" s="45">
        <v>260</v>
      </c>
      <c r="K14" s="45">
        <v>406</v>
      </c>
      <c r="L14" s="4">
        <f t="shared" si="3"/>
        <v>0.64039408866995073</v>
      </c>
      <c r="M14" s="11">
        <v>15</v>
      </c>
      <c r="N14" s="35">
        <v>12260.3</v>
      </c>
      <c r="O14" s="35">
        <v>11082.6</v>
      </c>
      <c r="P14" s="4">
        <f t="shared" si="4"/>
        <v>0.90394199163152622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44">
        <f t="shared" si="5"/>
        <v>0.891508186360498</v>
      </c>
      <c r="AA14" s="45">
        <v>86632</v>
      </c>
      <c r="AB14" s="35">
        <f t="shared" si="6"/>
        <v>7875.636363636364</v>
      </c>
      <c r="AC14" s="35">
        <f t="shared" si="7"/>
        <v>7021.2</v>
      </c>
      <c r="AD14" s="35">
        <f t="shared" si="8"/>
        <v>-854.43636363636415</v>
      </c>
      <c r="AE14" s="35">
        <v>1190.5999999999999</v>
      </c>
      <c r="AF14" s="35">
        <f t="shared" si="9"/>
        <v>8211.7999999999993</v>
      </c>
      <c r="AG14" s="35"/>
      <c r="AH14" s="35">
        <f t="shared" si="10"/>
        <v>8211.7999999999993</v>
      </c>
      <c r="AI14" s="35">
        <v>8132</v>
      </c>
      <c r="AJ14" s="35">
        <f t="shared" si="11"/>
        <v>79.8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17" customHeight="1">
      <c r="A15" s="12" t="s">
        <v>13</v>
      </c>
      <c r="B15" s="35">
        <v>418904</v>
      </c>
      <c r="C15" s="35">
        <v>422171.8</v>
      </c>
      <c r="D15" s="4">
        <f t="shared" si="1"/>
        <v>1.0078008326490078</v>
      </c>
      <c r="E15" s="11">
        <v>15</v>
      </c>
      <c r="F15" s="59">
        <v>106.2</v>
      </c>
      <c r="G15" s="59">
        <v>101.9</v>
      </c>
      <c r="H15" s="4">
        <f t="shared" si="2"/>
        <v>0.95951035781544258</v>
      </c>
      <c r="I15" s="11">
        <v>10</v>
      </c>
      <c r="J15" s="45">
        <v>470</v>
      </c>
      <c r="K15" s="45">
        <v>455</v>
      </c>
      <c r="L15" s="4">
        <f t="shared" si="3"/>
        <v>1.0329670329670331</v>
      </c>
      <c r="M15" s="11">
        <v>10</v>
      </c>
      <c r="N15" s="35">
        <v>32650.2</v>
      </c>
      <c r="O15" s="35">
        <v>28846</v>
      </c>
      <c r="P15" s="4">
        <f t="shared" si="4"/>
        <v>0.88348616547524972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44">
        <f t="shared" si="5"/>
        <v>0.95839108558299768</v>
      </c>
      <c r="AA15" s="45">
        <v>136101</v>
      </c>
      <c r="AB15" s="35">
        <f t="shared" si="6"/>
        <v>12372.818181818182</v>
      </c>
      <c r="AC15" s="35">
        <f t="shared" si="7"/>
        <v>11858</v>
      </c>
      <c r="AD15" s="35">
        <f t="shared" si="8"/>
        <v>-514.81818181818198</v>
      </c>
      <c r="AE15" s="35">
        <v>265.5</v>
      </c>
      <c r="AF15" s="35">
        <f t="shared" si="9"/>
        <v>12123.5</v>
      </c>
      <c r="AG15" s="35">
        <f>MIN(AF15,4625.7)</f>
        <v>4625.7</v>
      </c>
      <c r="AH15" s="35">
        <f t="shared" si="10"/>
        <v>7497.8</v>
      </c>
      <c r="AI15" s="35">
        <v>7494.7</v>
      </c>
      <c r="AJ15" s="35">
        <f t="shared" si="11"/>
        <v>3.1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17" customHeight="1">
      <c r="A16" s="12" t="s">
        <v>14</v>
      </c>
      <c r="B16" s="35">
        <v>51986</v>
      </c>
      <c r="C16" s="35">
        <v>48230.5</v>
      </c>
      <c r="D16" s="4">
        <f t="shared" si="1"/>
        <v>0.92775939676066632</v>
      </c>
      <c r="E16" s="11">
        <v>15</v>
      </c>
      <c r="F16" s="59">
        <v>115.1</v>
      </c>
      <c r="G16" s="59">
        <v>75.5</v>
      </c>
      <c r="H16" s="4">
        <f t="shared" si="2"/>
        <v>0.65595134665508259</v>
      </c>
      <c r="I16" s="11">
        <v>10</v>
      </c>
      <c r="J16" s="45">
        <v>180</v>
      </c>
      <c r="K16" s="45">
        <v>199</v>
      </c>
      <c r="L16" s="4">
        <f t="shared" si="3"/>
        <v>0.90452261306532666</v>
      </c>
      <c r="M16" s="11">
        <v>10</v>
      </c>
      <c r="N16" s="35">
        <v>18063.7</v>
      </c>
      <c r="O16" s="35">
        <v>17990.900000000001</v>
      </c>
      <c r="P16" s="4">
        <f t="shared" si="4"/>
        <v>0.99596981792213113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44">
        <f t="shared" si="5"/>
        <v>0.89891867103739465</v>
      </c>
      <c r="AA16" s="45">
        <v>73354</v>
      </c>
      <c r="AB16" s="35">
        <f t="shared" si="6"/>
        <v>6668.545454545455</v>
      </c>
      <c r="AC16" s="35">
        <f t="shared" si="7"/>
        <v>5994.5</v>
      </c>
      <c r="AD16" s="35">
        <f t="shared" si="8"/>
        <v>-674.04545454545496</v>
      </c>
      <c r="AE16" s="35">
        <v>-144.4</v>
      </c>
      <c r="AF16" s="35">
        <f t="shared" si="9"/>
        <v>5850.1</v>
      </c>
      <c r="AG16" s="35"/>
      <c r="AH16" s="35">
        <f t="shared" si="10"/>
        <v>5850.1</v>
      </c>
      <c r="AI16" s="35">
        <v>6210.1</v>
      </c>
      <c r="AJ16" s="35">
        <f t="shared" si="11"/>
        <v>-360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17" customHeight="1">
      <c r="A17" s="15" t="s">
        <v>20</v>
      </c>
      <c r="B17" s="34">
        <f>SUM(B18:B44)</f>
        <v>7825351</v>
      </c>
      <c r="C17" s="34">
        <f>SUM(C18:C44)</f>
        <v>7679850.4000000004</v>
      </c>
      <c r="D17" s="6">
        <f>IF(C17/B17&gt;1.2,IF((C17/B17-1.2)*0.1+1.2&gt;1.3,1.3,(C17/B17-1.2)*0.1+1.2),C17/B17)</f>
        <v>0.98140650815535313</v>
      </c>
      <c r="E17" s="21"/>
      <c r="F17" s="20"/>
      <c r="G17" s="20"/>
      <c r="H17" s="6"/>
      <c r="I17" s="21"/>
      <c r="J17" s="34">
        <f>SUM(J18:J44)</f>
        <v>6285</v>
      </c>
      <c r="K17" s="34">
        <f>SUM(K18:K44)</f>
        <v>6339</v>
      </c>
      <c r="L17" s="6">
        <f>IF(J17/K17&gt;1.2,IF((J17/K17-1)*0.1+1.2&gt;1.3,1.3,(J17/K17-1.2)*0.1+1.2),J17/K17)</f>
        <v>0.99148130619971608</v>
      </c>
      <c r="M17" s="21"/>
      <c r="N17" s="34">
        <f>SUM(N18:N44)</f>
        <v>444475.60000000003</v>
      </c>
      <c r="O17" s="34">
        <f>SUM(O18:O44)</f>
        <v>478522.50000000006</v>
      </c>
      <c r="P17" s="6">
        <f>IF(O17/N17&gt;1.2,IF((O17/N17-1.2)*0.1+1.2&gt;1.3,1.3,(O17/N17-1.2)*0.1+1.2),O17/N17)</f>
        <v>1.0766001553291116</v>
      </c>
      <c r="Q17" s="21"/>
      <c r="R17" s="34">
        <f>SUM(R18:R44)</f>
        <v>13623.2</v>
      </c>
      <c r="S17" s="34">
        <f>SUM(S18:S44)</f>
        <v>14286.900000000001</v>
      </c>
      <c r="T17" s="6">
        <f>IF(S17/R17&gt;1.2,IF((S17/R17-1.2)*0.1+1.2&gt;1.3,1.3,(S17/R17-1.2)*0.1+1.2),S17/R17)</f>
        <v>1.0487183627928829</v>
      </c>
      <c r="U17" s="21"/>
      <c r="V17" s="34">
        <f>SUM(V18:V44)</f>
        <v>5806.2</v>
      </c>
      <c r="W17" s="34">
        <f>SUM(W18:W44)</f>
        <v>6707.2</v>
      </c>
      <c r="X17" s="6">
        <f>IF(W17/V17&gt;1.2,IF((W17/V17-1.2)*0.1+1.2&gt;1.3,1.3,(W17/V17-1.2)*0.1+1.2),W17/V17)</f>
        <v>1.1551789466432434</v>
      </c>
      <c r="Y17" s="21"/>
      <c r="Z17" s="22"/>
      <c r="AA17" s="20">
        <f>SUM(AA18:AA44)</f>
        <v>1157823</v>
      </c>
      <c r="AB17" s="34">
        <f>SUM(AB18:AB44)</f>
        <v>105256.63636363637</v>
      </c>
      <c r="AC17" s="34">
        <f>SUM(AC18:AC44)</f>
        <v>106873.8</v>
      </c>
      <c r="AD17" s="34">
        <f>SUM(AD18:AD44)</f>
        <v>1617.1636363636344</v>
      </c>
      <c r="AE17" s="34">
        <f t="shared" ref="AE17:AJ17" si="12">SUM(AE18:AE44)</f>
        <v>-2219.0999999999995</v>
      </c>
      <c r="AF17" s="34">
        <f t="shared" si="12"/>
        <v>104654.7</v>
      </c>
      <c r="AG17" s="34">
        <f t="shared" si="12"/>
        <v>1097.5</v>
      </c>
      <c r="AH17" s="34">
        <f t="shared" si="12"/>
        <v>103557.19999999998</v>
      </c>
      <c r="AI17" s="34">
        <f>SUM(AI18:AI44)</f>
        <v>104718.70000000001</v>
      </c>
      <c r="AJ17" s="34">
        <f t="shared" si="12"/>
        <v>-1161.5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7" customHeight="1">
      <c r="A18" s="13" t="s">
        <v>0</v>
      </c>
      <c r="B18" s="35">
        <v>5378</v>
      </c>
      <c r="C18" s="35">
        <v>6207</v>
      </c>
      <c r="D18" s="4">
        <f t="shared" si="1"/>
        <v>1.1541465228709558</v>
      </c>
      <c r="E18" s="11">
        <v>10</v>
      </c>
      <c r="F18" s="59">
        <v>107.1</v>
      </c>
      <c r="G18" s="59">
        <v>104.7</v>
      </c>
      <c r="H18" s="4">
        <f t="shared" si="2"/>
        <v>0.97759103641456591</v>
      </c>
      <c r="I18" s="11">
        <v>5</v>
      </c>
      <c r="J18" s="45">
        <v>150</v>
      </c>
      <c r="K18" s="45">
        <v>160</v>
      </c>
      <c r="L18" s="4">
        <f t="shared" si="3"/>
        <v>0.9375</v>
      </c>
      <c r="M18" s="11">
        <v>15</v>
      </c>
      <c r="N18" s="35">
        <v>4150.3999999999996</v>
      </c>
      <c r="O18" s="35">
        <v>5407.1</v>
      </c>
      <c r="P18" s="4">
        <f t="shared" si="4"/>
        <v>1.2102790092521203</v>
      </c>
      <c r="Q18" s="11">
        <v>20</v>
      </c>
      <c r="R18" s="35">
        <v>124</v>
      </c>
      <c r="S18" s="35">
        <v>144.1</v>
      </c>
      <c r="T18" s="4">
        <f>IF(U18=0,0,IF(R18=0,1,IF(S18&lt;0,0,IF(S18/R18&gt;1.2,IF((S18/R18-1.2)*0.1+1.2&gt;1.3,1.3,(S18/R18-1.2)*0.1+1.2),S18/R18))))</f>
        <v>1.1620967741935484</v>
      </c>
      <c r="U18" s="11">
        <v>10</v>
      </c>
      <c r="V18" s="35">
        <v>20</v>
      </c>
      <c r="W18" s="35">
        <v>21.1</v>
      </c>
      <c r="X18" s="4">
        <f>IF(Y18=0,0,IF(V18=0,1,IF(W18&lt;0,0,IF(W18/V18&gt;1.2,IF((W18/V18-1.2)*0.1+1.2&gt;1.3,1.3,(W18/V18-1.2)*0.1+1.2),W18/V18))))</f>
        <v>1.0550000000000002</v>
      </c>
      <c r="Y18" s="11">
        <v>10</v>
      </c>
      <c r="Z18" s="44">
        <f>(D18*E18+H18*I18+L18*M18+P18*Q18+T18*U18+X18*Y18)/(E18+I18+M18+Q18+U18+Y18)</f>
        <v>1.0981209762537183</v>
      </c>
      <c r="AA18" s="45">
        <v>26817</v>
      </c>
      <c r="AB18" s="35">
        <f t="shared" si="6"/>
        <v>2437.909090909091</v>
      </c>
      <c r="AC18" s="35">
        <f t="shared" si="7"/>
        <v>2677.1</v>
      </c>
      <c r="AD18" s="35">
        <f t="shared" si="8"/>
        <v>239.19090909090892</v>
      </c>
      <c r="AE18" s="35">
        <v>-94</v>
      </c>
      <c r="AF18" s="35">
        <f t="shared" si="9"/>
        <v>2583.1</v>
      </c>
      <c r="AG18" s="35"/>
      <c r="AH18" s="35">
        <f t="shared" si="10"/>
        <v>2583.1</v>
      </c>
      <c r="AI18" s="35">
        <v>2605.6999999999998</v>
      </c>
      <c r="AJ18" s="35">
        <f t="shared" si="11"/>
        <v>-22.6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17" customHeight="1">
      <c r="A19" s="13" t="s">
        <v>21</v>
      </c>
      <c r="B19" s="35">
        <v>979770</v>
      </c>
      <c r="C19" s="35">
        <v>818934.6</v>
      </c>
      <c r="D19" s="4">
        <f t="shared" si="1"/>
        <v>0.83584371842371163</v>
      </c>
      <c r="E19" s="11">
        <v>10</v>
      </c>
      <c r="F19" s="59">
        <v>109.7</v>
      </c>
      <c r="G19" s="59">
        <v>83.4</v>
      </c>
      <c r="H19" s="4">
        <f t="shared" si="2"/>
        <v>0.76025524156791247</v>
      </c>
      <c r="I19" s="11">
        <v>5</v>
      </c>
      <c r="J19" s="45">
        <v>270</v>
      </c>
      <c r="K19" s="45">
        <v>243</v>
      </c>
      <c r="L19" s="4">
        <f t="shared" si="3"/>
        <v>1.1111111111111112</v>
      </c>
      <c r="M19" s="11">
        <v>5</v>
      </c>
      <c r="N19" s="35">
        <v>19264.099999999999</v>
      </c>
      <c r="O19" s="35">
        <v>20494</v>
      </c>
      <c r="P19" s="4">
        <f t="shared" si="4"/>
        <v>1.0638441453273189</v>
      </c>
      <c r="Q19" s="11">
        <v>20</v>
      </c>
      <c r="R19" s="35">
        <v>583</v>
      </c>
      <c r="S19" s="35">
        <v>583.29999999999995</v>
      </c>
      <c r="T19" s="4">
        <f t="shared" ref="T19:T44" si="13">IF(U19=0,0,IF(R19=0,1,IF(S19&lt;0,0,IF(S19/R19&gt;1.2,IF((S19/R19-1.2)*0.1+1.2&gt;1.3,1.3,(S19/R19-1.2)*0.1+1.2),S19/R19))))</f>
        <v>1.0005145797598627</v>
      </c>
      <c r="U19" s="11">
        <v>5</v>
      </c>
      <c r="V19" s="35">
        <v>62</v>
      </c>
      <c r="W19" s="35">
        <v>63.7</v>
      </c>
      <c r="X19" s="4">
        <f t="shared" ref="X19:X44" si="14">IF(Y19=0,0,IF(V19=0,1,IF(W19&lt;0,0,IF(W19/V19&gt;1.2,IF((W19/V19-1.2)*0.1+1.2&gt;1.3,1.3,(W19/V19-1.2)*0.1+1.2),W19/V19))))</f>
        <v>1.0274193548387098</v>
      </c>
      <c r="Y19" s="11">
        <v>5</v>
      </c>
      <c r="Z19" s="44">
        <f t="shared" ref="Z19:Z44" si="15">(D19*E19+H19*I19+L19*M19+P19*Q19+T19*U19+X19*Y19)/(E19+I19+M19+Q19+U19+Y19)</f>
        <v>0.98263643054342953</v>
      </c>
      <c r="AA19" s="45">
        <v>43887</v>
      </c>
      <c r="AB19" s="35">
        <f t="shared" si="6"/>
        <v>3989.7272727272725</v>
      </c>
      <c r="AC19" s="35">
        <f t="shared" si="7"/>
        <v>3920.5</v>
      </c>
      <c r="AD19" s="35">
        <f t="shared" si="8"/>
        <v>-69.227272727272521</v>
      </c>
      <c r="AE19" s="35">
        <v>-88.9</v>
      </c>
      <c r="AF19" s="35">
        <f t="shared" si="9"/>
        <v>3831.6</v>
      </c>
      <c r="AG19" s="35"/>
      <c r="AH19" s="35">
        <f t="shared" si="10"/>
        <v>3831.6</v>
      </c>
      <c r="AI19" s="35">
        <v>3930.1</v>
      </c>
      <c r="AJ19" s="35">
        <f t="shared" si="11"/>
        <v>-98.5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17" customHeight="1">
      <c r="A20" s="13" t="s">
        <v>22</v>
      </c>
      <c r="B20" s="35">
        <v>197742</v>
      </c>
      <c r="C20" s="35">
        <v>174542.5</v>
      </c>
      <c r="D20" s="4">
        <f t="shared" si="1"/>
        <v>0.88267793387343108</v>
      </c>
      <c r="E20" s="11">
        <v>10</v>
      </c>
      <c r="F20" s="59">
        <v>111.8</v>
      </c>
      <c r="G20" s="59">
        <v>75.5</v>
      </c>
      <c r="H20" s="4">
        <f t="shared" si="2"/>
        <v>0.6753130590339893</v>
      </c>
      <c r="I20" s="11">
        <v>5</v>
      </c>
      <c r="J20" s="45">
        <v>125</v>
      </c>
      <c r="K20" s="45">
        <v>129</v>
      </c>
      <c r="L20" s="4">
        <f t="shared" si="3"/>
        <v>0.96899224806201545</v>
      </c>
      <c r="M20" s="11">
        <v>10</v>
      </c>
      <c r="N20" s="35">
        <v>8012.6</v>
      </c>
      <c r="O20" s="35">
        <v>8753.2999999999993</v>
      </c>
      <c r="P20" s="4">
        <f t="shared" si="4"/>
        <v>1.0924419040011979</v>
      </c>
      <c r="Q20" s="11">
        <v>20</v>
      </c>
      <c r="R20" s="35">
        <v>965.1</v>
      </c>
      <c r="S20" s="35">
        <v>990.9</v>
      </c>
      <c r="T20" s="4">
        <f t="shared" si="13"/>
        <v>1.0267329810382344</v>
      </c>
      <c r="U20" s="11">
        <v>10</v>
      </c>
      <c r="V20" s="35">
        <v>293.5</v>
      </c>
      <c r="W20" s="35">
        <v>216.3</v>
      </c>
      <c r="X20" s="4">
        <f t="shared" si="14"/>
        <v>0.73696763202725724</v>
      </c>
      <c r="Y20" s="11">
        <v>5</v>
      </c>
      <c r="Z20" s="44">
        <f t="shared" si="15"/>
        <v>0.96157121941778334</v>
      </c>
      <c r="AA20" s="45">
        <v>32285</v>
      </c>
      <c r="AB20" s="35">
        <f t="shared" si="6"/>
        <v>2935</v>
      </c>
      <c r="AC20" s="35">
        <f t="shared" si="7"/>
        <v>2822.2</v>
      </c>
      <c r="AD20" s="35">
        <f t="shared" si="8"/>
        <v>-112.80000000000018</v>
      </c>
      <c r="AE20" s="35">
        <v>25.4</v>
      </c>
      <c r="AF20" s="35">
        <f t="shared" si="9"/>
        <v>2847.6</v>
      </c>
      <c r="AG20" s="35"/>
      <c r="AH20" s="35">
        <f t="shared" si="10"/>
        <v>2847.6</v>
      </c>
      <c r="AI20" s="35">
        <v>2924</v>
      </c>
      <c r="AJ20" s="35">
        <f t="shared" si="11"/>
        <v>-76.400000000000006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17" customHeight="1">
      <c r="A21" s="13" t="s">
        <v>23</v>
      </c>
      <c r="B21" s="35">
        <v>20255</v>
      </c>
      <c r="C21" s="35">
        <v>17194.400000000001</v>
      </c>
      <c r="D21" s="4">
        <f t="shared" si="1"/>
        <v>0.8488965687484572</v>
      </c>
      <c r="E21" s="11">
        <v>10</v>
      </c>
      <c r="F21" s="59">
        <v>104.4</v>
      </c>
      <c r="G21" s="59">
        <v>123.8</v>
      </c>
      <c r="H21" s="4">
        <f t="shared" si="2"/>
        <v>1.185823754789272</v>
      </c>
      <c r="I21" s="11">
        <v>5</v>
      </c>
      <c r="J21" s="45">
        <v>330</v>
      </c>
      <c r="K21" s="45">
        <v>246</v>
      </c>
      <c r="L21" s="4">
        <f t="shared" si="3"/>
        <v>1.2141463414634146</v>
      </c>
      <c r="M21" s="11">
        <v>10</v>
      </c>
      <c r="N21" s="35">
        <v>10466.5</v>
      </c>
      <c r="O21" s="35">
        <v>13130.1</v>
      </c>
      <c r="P21" s="4">
        <f t="shared" si="4"/>
        <v>1.2054488128791858</v>
      </c>
      <c r="Q21" s="11">
        <v>20</v>
      </c>
      <c r="R21" s="35">
        <v>357</v>
      </c>
      <c r="S21" s="35">
        <v>359.5</v>
      </c>
      <c r="T21" s="4">
        <f t="shared" si="13"/>
        <v>1.0070028011204482</v>
      </c>
      <c r="U21" s="11">
        <v>5</v>
      </c>
      <c r="V21" s="35">
        <v>50</v>
      </c>
      <c r="W21" s="35">
        <v>53.2</v>
      </c>
      <c r="X21" s="4">
        <f t="shared" si="14"/>
        <v>1.0640000000000001</v>
      </c>
      <c r="Y21" s="11">
        <v>5</v>
      </c>
      <c r="Z21" s="44">
        <f t="shared" si="15"/>
        <v>1.1095188752591099</v>
      </c>
      <c r="AA21" s="45">
        <v>36362</v>
      </c>
      <c r="AB21" s="35">
        <f t="shared" si="6"/>
        <v>3305.6363636363635</v>
      </c>
      <c r="AC21" s="35">
        <f t="shared" si="7"/>
        <v>3667.7</v>
      </c>
      <c r="AD21" s="35">
        <f t="shared" si="8"/>
        <v>362.06363636363631</v>
      </c>
      <c r="AE21" s="35">
        <v>-97.6</v>
      </c>
      <c r="AF21" s="35">
        <f t="shared" si="9"/>
        <v>3570.1</v>
      </c>
      <c r="AG21" s="35"/>
      <c r="AH21" s="35">
        <f t="shared" si="10"/>
        <v>3570.1</v>
      </c>
      <c r="AI21" s="35">
        <v>3544.8</v>
      </c>
      <c r="AJ21" s="35">
        <f t="shared" si="11"/>
        <v>25.3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7" customHeight="1">
      <c r="A22" s="13" t="s">
        <v>24</v>
      </c>
      <c r="B22" s="35">
        <v>23504</v>
      </c>
      <c r="C22" s="35">
        <v>25298</v>
      </c>
      <c r="D22" s="4">
        <f t="shared" si="1"/>
        <v>1.0763274336283186</v>
      </c>
      <c r="E22" s="11">
        <v>10</v>
      </c>
      <c r="F22" s="59">
        <v>102.1</v>
      </c>
      <c r="G22" s="59">
        <v>89</v>
      </c>
      <c r="H22" s="4">
        <f t="shared" si="2"/>
        <v>0.87169441723800201</v>
      </c>
      <c r="I22" s="11">
        <v>5</v>
      </c>
      <c r="J22" s="45">
        <v>270</v>
      </c>
      <c r="K22" s="45">
        <v>220</v>
      </c>
      <c r="L22" s="4">
        <f t="shared" si="3"/>
        <v>1.2027272727272726</v>
      </c>
      <c r="M22" s="11">
        <v>10</v>
      </c>
      <c r="N22" s="35">
        <v>8068.8</v>
      </c>
      <c r="O22" s="35">
        <v>11984.2</v>
      </c>
      <c r="P22" s="4">
        <f t="shared" si="4"/>
        <v>1.2285251834225659</v>
      </c>
      <c r="Q22" s="11">
        <v>20</v>
      </c>
      <c r="R22" s="35">
        <v>415</v>
      </c>
      <c r="S22" s="35">
        <v>515.1</v>
      </c>
      <c r="T22" s="4">
        <f t="shared" si="13"/>
        <v>1.2041204819277107</v>
      </c>
      <c r="U22" s="11">
        <v>5</v>
      </c>
      <c r="V22" s="35">
        <v>62</v>
      </c>
      <c r="W22" s="35">
        <v>77.400000000000006</v>
      </c>
      <c r="X22" s="4">
        <f t="shared" si="14"/>
        <v>1.2048387096774194</v>
      </c>
      <c r="Y22" s="11">
        <v>5</v>
      </c>
      <c r="Z22" s="44">
        <f t="shared" si="15"/>
        <v>1.1593512504767798</v>
      </c>
      <c r="AA22" s="45">
        <v>47804</v>
      </c>
      <c r="AB22" s="35">
        <f t="shared" si="6"/>
        <v>4345.818181818182</v>
      </c>
      <c r="AC22" s="35">
        <f t="shared" si="7"/>
        <v>5038.3</v>
      </c>
      <c r="AD22" s="35">
        <f t="shared" si="8"/>
        <v>692.4818181818182</v>
      </c>
      <c r="AE22" s="35">
        <v>91.6</v>
      </c>
      <c r="AF22" s="35">
        <f t="shared" si="9"/>
        <v>5129.9000000000005</v>
      </c>
      <c r="AG22" s="35"/>
      <c r="AH22" s="35">
        <f t="shared" si="10"/>
        <v>5129.9000000000005</v>
      </c>
      <c r="AI22" s="35">
        <v>5254.9000000000005</v>
      </c>
      <c r="AJ22" s="35">
        <f t="shared" si="11"/>
        <v>-125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7" customHeight="1">
      <c r="A23" s="13" t="s">
        <v>25</v>
      </c>
      <c r="B23" s="35">
        <v>28294</v>
      </c>
      <c r="C23" s="35">
        <v>30860.6</v>
      </c>
      <c r="D23" s="4">
        <f t="shared" si="1"/>
        <v>1.0907118116915246</v>
      </c>
      <c r="E23" s="11">
        <v>10</v>
      </c>
      <c r="F23" s="59">
        <v>109</v>
      </c>
      <c r="G23" s="59">
        <v>105.3</v>
      </c>
      <c r="H23" s="4">
        <f t="shared" si="2"/>
        <v>0.96605504587155966</v>
      </c>
      <c r="I23" s="11">
        <v>5</v>
      </c>
      <c r="J23" s="45">
        <v>280</v>
      </c>
      <c r="K23" s="45">
        <v>295</v>
      </c>
      <c r="L23" s="4">
        <f t="shared" si="3"/>
        <v>0.94915254237288138</v>
      </c>
      <c r="M23" s="11">
        <v>15</v>
      </c>
      <c r="N23" s="35">
        <v>9355.6</v>
      </c>
      <c r="O23" s="35">
        <v>8206.9</v>
      </c>
      <c r="P23" s="4">
        <f t="shared" si="4"/>
        <v>0.87721792295523526</v>
      </c>
      <c r="Q23" s="11">
        <v>20</v>
      </c>
      <c r="R23" s="35">
        <v>478.9</v>
      </c>
      <c r="S23" s="35">
        <v>547</v>
      </c>
      <c r="T23" s="4">
        <f t="shared" si="13"/>
        <v>1.1422008770098142</v>
      </c>
      <c r="U23" s="11">
        <v>5</v>
      </c>
      <c r="V23" s="35">
        <v>33.700000000000003</v>
      </c>
      <c r="W23" s="35">
        <v>38</v>
      </c>
      <c r="X23" s="4">
        <f t="shared" si="14"/>
        <v>1.1275964391691393</v>
      </c>
      <c r="Y23" s="11">
        <v>5</v>
      </c>
      <c r="Z23" s="44">
        <f t="shared" si="15"/>
        <v>0.98113377536442892</v>
      </c>
      <c r="AA23" s="45">
        <v>41275</v>
      </c>
      <c r="AB23" s="35">
        <f t="shared" si="6"/>
        <v>3752.2727272727275</v>
      </c>
      <c r="AC23" s="35">
        <f t="shared" si="7"/>
        <v>3681.5</v>
      </c>
      <c r="AD23" s="35">
        <f t="shared" si="8"/>
        <v>-70.772727272727479</v>
      </c>
      <c r="AE23" s="35">
        <v>-68.099999999999994</v>
      </c>
      <c r="AF23" s="35">
        <f t="shared" si="9"/>
        <v>3613.4</v>
      </c>
      <c r="AG23" s="35"/>
      <c r="AH23" s="35">
        <f t="shared" si="10"/>
        <v>3613.4</v>
      </c>
      <c r="AI23" s="35">
        <v>3618.5</v>
      </c>
      <c r="AJ23" s="35">
        <f t="shared" si="11"/>
        <v>-5.0999999999999996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17" customHeight="1">
      <c r="A24" s="13" t="s">
        <v>26</v>
      </c>
      <c r="B24" s="35">
        <v>1291569</v>
      </c>
      <c r="C24" s="35">
        <v>1476468.9</v>
      </c>
      <c r="D24" s="4">
        <f t="shared" si="1"/>
        <v>1.1431591343551912</v>
      </c>
      <c r="E24" s="11">
        <v>10</v>
      </c>
      <c r="F24" s="59">
        <v>105.1</v>
      </c>
      <c r="G24" s="59">
        <v>97</v>
      </c>
      <c r="H24" s="4">
        <f t="shared" si="2"/>
        <v>0.92293054234062799</v>
      </c>
      <c r="I24" s="11">
        <v>5</v>
      </c>
      <c r="J24" s="45">
        <v>180</v>
      </c>
      <c r="K24" s="45">
        <v>171</v>
      </c>
      <c r="L24" s="4">
        <f t="shared" si="3"/>
        <v>1.0526315789473684</v>
      </c>
      <c r="M24" s="11">
        <v>5</v>
      </c>
      <c r="N24" s="35">
        <v>86936.9</v>
      </c>
      <c r="O24" s="35">
        <v>97107.7</v>
      </c>
      <c r="P24" s="4">
        <f t="shared" si="4"/>
        <v>1.1169905989286484</v>
      </c>
      <c r="Q24" s="11">
        <v>20</v>
      </c>
      <c r="R24" s="35">
        <v>378.5</v>
      </c>
      <c r="S24" s="35">
        <v>440.3</v>
      </c>
      <c r="T24" s="4">
        <f t="shared" si="13"/>
        <v>1.1632760898282695</v>
      </c>
      <c r="U24" s="11">
        <v>5</v>
      </c>
      <c r="V24" s="35">
        <v>183</v>
      </c>
      <c r="W24" s="35">
        <v>206.7</v>
      </c>
      <c r="X24" s="4">
        <f t="shared" si="14"/>
        <v>1.1295081967213114</v>
      </c>
      <c r="Y24" s="11">
        <v>5</v>
      </c>
      <c r="Z24" s="44">
        <f t="shared" si="15"/>
        <v>1.1022627072262554</v>
      </c>
      <c r="AA24" s="45">
        <v>35766</v>
      </c>
      <c r="AB24" s="35">
        <f t="shared" si="6"/>
        <v>3251.4545454545455</v>
      </c>
      <c r="AC24" s="35">
        <f t="shared" si="7"/>
        <v>3584</v>
      </c>
      <c r="AD24" s="35">
        <f t="shared" si="8"/>
        <v>332.5454545454545</v>
      </c>
      <c r="AE24" s="35">
        <v>-241.6</v>
      </c>
      <c r="AF24" s="35">
        <f t="shared" si="9"/>
        <v>3342.4</v>
      </c>
      <c r="AG24" s="35">
        <f>MIN(AF24,1097.5)</f>
        <v>1097.5</v>
      </c>
      <c r="AH24" s="35">
        <f t="shared" si="10"/>
        <v>2244.9</v>
      </c>
      <c r="AI24" s="35">
        <v>2309.6</v>
      </c>
      <c r="AJ24" s="35">
        <f t="shared" si="11"/>
        <v>-64.7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17" customHeight="1">
      <c r="A25" s="13" t="s">
        <v>27</v>
      </c>
      <c r="B25" s="35">
        <v>13495</v>
      </c>
      <c r="C25" s="35">
        <v>17631.7</v>
      </c>
      <c r="D25" s="4">
        <f t="shared" si="1"/>
        <v>1.2106535753982957</v>
      </c>
      <c r="E25" s="11">
        <v>10</v>
      </c>
      <c r="F25" s="59">
        <v>104.9</v>
      </c>
      <c r="G25" s="59">
        <v>103.1</v>
      </c>
      <c r="H25" s="4">
        <f t="shared" si="2"/>
        <v>0.98284080076263092</v>
      </c>
      <c r="I25" s="11">
        <v>5</v>
      </c>
      <c r="J25" s="45">
        <v>70</v>
      </c>
      <c r="K25" s="45">
        <v>62</v>
      </c>
      <c r="L25" s="4">
        <f t="shared" si="3"/>
        <v>1.1290322580645162</v>
      </c>
      <c r="M25" s="11">
        <v>10</v>
      </c>
      <c r="N25" s="35">
        <v>3859.8</v>
      </c>
      <c r="O25" s="35">
        <v>3709.2</v>
      </c>
      <c r="P25" s="4">
        <f t="shared" si="4"/>
        <v>0.96098243432302177</v>
      </c>
      <c r="Q25" s="11">
        <v>20</v>
      </c>
      <c r="R25" s="35">
        <v>159</v>
      </c>
      <c r="S25" s="35">
        <v>183.4</v>
      </c>
      <c r="T25" s="4">
        <f t="shared" si="13"/>
        <v>1.1534591194968553</v>
      </c>
      <c r="U25" s="11">
        <v>5</v>
      </c>
      <c r="V25" s="35">
        <v>14</v>
      </c>
      <c r="W25" s="35">
        <v>15.6</v>
      </c>
      <c r="X25" s="4">
        <f t="shared" si="14"/>
        <v>1.1142857142857143</v>
      </c>
      <c r="Y25" s="11">
        <v>5</v>
      </c>
      <c r="Z25" s="44">
        <f t="shared" si="15"/>
        <v>1.0703533671602645</v>
      </c>
      <c r="AA25" s="45">
        <v>17745</v>
      </c>
      <c r="AB25" s="35">
        <f t="shared" si="6"/>
        <v>1613.1818181818182</v>
      </c>
      <c r="AC25" s="35">
        <f t="shared" si="7"/>
        <v>1726.7</v>
      </c>
      <c r="AD25" s="35">
        <f t="shared" si="8"/>
        <v>113.5181818181818</v>
      </c>
      <c r="AE25" s="35">
        <v>-48.7</v>
      </c>
      <c r="AF25" s="35">
        <f t="shared" si="9"/>
        <v>1678</v>
      </c>
      <c r="AG25" s="35"/>
      <c r="AH25" s="35">
        <f t="shared" si="10"/>
        <v>1678</v>
      </c>
      <c r="AI25" s="35">
        <v>1692.1</v>
      </c>
      <c r="AJ25" s="35">
        <f t="shared" si="11"/>
        <v>-14.1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17" customHeight="1">
      <c r="A26" s="13" t="s">
        <v>28</v>
      </c>
      <c r="B26" s="35">
        <v>6675</v>
      </c>
      <c r="C26" s="35">
        <v>7049.3</v>
      </c>
      <c r="D26" s="4">
        <f t="shared" si="1"/>
        <v>1.0560749063670412</v>
      </c>
      <c r="E26" s="11">
        <v>10</v>
      </c>
      <c r="F26" s="59">
        <v>106.5</v>
      </c>
      <c r="G26" s="59">
        <v>103.5</v>
      </c>
      <c r="H26" s="4">
        <f t="shared" si="2"/>
        <v>0.971830985915493</v>
      </c>
      <c r="I26" s="11">
        <v>5</v>
      </c>
      <c r="J26" s="45">
        <v>215</v>
      </c>
      <c r="K26" s="45">
        <v>199</v>
      </c>
      <c r="L26" s="4">
        <f t="shared" si="3"/>
        <v>1.0804020100502512</v>
      </c>
      <c r="M26" s="11">
        <v>15</v>
      </c>
      <c r="N26" s="35">
        <v>6310.2</v>
      </c>
      <c r="O26" s="35">
        <v>6726.5</v>
      </c>
      <c r="P26" s="4">
        <f t="shared" si="4"/>
        <v>1.065972552375519</v>
      </c>
      <c r="Q26" s="11">
        <v>20</v>
      </c>
      <c r="R26" s="35">
        <v>1195</v>
      </c>
      <c r="S26" s="35">
        <v>1232.3</v>
      </c>
      <c r="T26" s="4">
        <f t="shared" si="13"/>
        <v>1.0312133891213389</v>
      </c>
      <c r="U26" s="11">
        <v>5</v>
      </c>
      <c r="V26" s="35">
        <v>57</v>
      </c>
      <c r="W26" s="35">
        <v>60.6</v>
      </c>
      <c r="X26" s="4">
        <f t="shared" si="14"/>
        <v>1.0631578947368421</v>
      </c>
      <c r="Y26" s="11">
        <v>5</v>
      </c>
      <c r="Z26" s="44">
        <f t="shared" si="15"/>
        <v>1.0569540268467155</v>
      </c>
      <c r="AA26" s="45">
        <v>45438</v>
      </c>
      <c r="AB26" s="35">
        <f t="shared" si="6"/>
        <v>4130.727272727273</v>
      </c>
      <c r="AC26" s="35">
        <f t="shared" si="7"/>
        <v>4366</v>
      </c>
      <c r="AD26" s="35">
        <f t="shared" si="8"/>
        <v>235.27272727272702</v>
      </c>
      <c r="AE26" s="35">
        <v>33</v>
      </c>
      <c r="AF26" s="35">
        <f t="shared" si="9"/>
        <v>4399</v>
      </c>
      <c r="AG26" s="35"/>
      <c r="AH26" s="35">
        <f t="shared" si="10"/>
        <v>4399</v>
      </c>
      <c r="AI26" s="35">
        <v>4431</v>
      </c>
      <c r="AJ26" s="35">
        <f t="shared" si="11"/>
        <v>-32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17" customHeight="1">
      <c r="A27" s="13" t="s">
        <v>29</v>
      </c>
      <c r="B27" s="35">
        <v>3357</v>
      </c>
      <c r="C27" s="35">
        <v>3193.8</v>
      </c>
      <c r="D27" s="4">
        <f t="shared" si="1"/>
        <v>0.95138516532618411</v>
      </c>
      <c r="E27" s="11">
        <v>10</v>
      </c>
      <c r="F27" s="59">
        <v>108.7</v>
      </c>
      <c r="G27" s="59">
        <v>104.1</v>
      </c>
      <c r="H27" s="4">
        <f t="shared" si="2"/>
        <v>0.95768169273229065</v>
      </c>
      <c r="I27" s="11">
        <v>5</v>
      </c>
      <c r="J27" s="45">
        <v>120</v>
      </c>
      <c r="K27" s="45">
        <v>146</v>
      </c>
      <c r="L27" s="4">
        <f t="shared" si="3"/>
        <v>0.82191780821917804</v>
      </c>
      <c r="M27" s="11">
        <v>15</v>
      </c>
      <c r="N27" s="35">
        <v>4065.7</v>
      </c>
      <c r="O27" s="35">
        <v>3193.2</v>
      </c>
      <c r="P27" s="4">
        <f t="shared" si="4"/>
        <v>0.78539980815111787</v>
      </c>
      <c r="Q27" s="11">
        <v>20</v>
      </c>
      <c r="R27" s="35">
        <v>86</v>
      </c>
      <c r="S27" s="35">
        <v>86</v>
      </c>
      <c r="T27" s="4">
        <f t="shared" si="13"/>
        <v>1</v>
      </c>
      <c r="U27" s="11">
        <v>5</v>
      </c>
      <c r="V27" s="35">
        <v>9</v>
      </c>
      <c r="W27" s="35">
        <v>9.5</v>
      </c>
      <c r="X27" s="4">
        <f t="shared" si="14"/>
        <v>1.0555555555555556</v>
      </c>
      <c r="Y27" s="11">
        <v>10</v>
      </c>
      <c r="Z27" s="44">
        <f t="shared" si="15"/>
        <v>0.89068583013521363</v>
      </c>
      <c r="AA27" s="45">
        <v>18570</v>
      </c>
      <c r="AB27" s="35">
        <f t="shared" si="6"/>
        <v>1688.1818181818182</v>
      </c>
      <c r="AC27" s="35">
        <f t="shared" si="7"/>
        <v>1503.6</v>
      </c>
      <c r="AD27" s="35">
        <f t="shared" si="8"/>
        <v>-184.58181818181833</v>
      </c>
      <c r="AE27" s="35">
        <v>20.9</v>
      </c>
      <c r="AF27" s="35">
        <f t="shared" si="9"/>
        <v>1524.5</v>
      </c>
      <c r="AG27" s="35"/>
      <c r="AH27" s="35">
        <f t="shared" si="10"/>
        <v>1524.5</v>
      </c>
      <c r="AI27" s="35">
        <v>1515.1000000000001</v>
      </c>
      <c r="AJ27" s="35">
        <f t="shared" si="11"/>
        <v>9.4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17" customHeight="1">
      <c r="A28" s="13" t="s">
        <v>30</v>
      </c>
      <c r="B28" s="35">
        <v>1640797</v>
      </c>
      <c r="C28" s="35">
        <v>1613836.1</v>
      </c>
      <c r="D28" s="4">
        <f t="shared" si="1"/>
        <v>0.98356841218017832</v>
      </c>
      <c r="E28" s="11">
        <v>10</v>
      </c>
      <c r="F28" s="59">
        <v>100.3</v>
      </c>
      <c r="G28" s="59">
        <v>75.900000000000006</v>
      </c>
      <c r="H28" s="4">
        <f t="shared" si="2"/>
        <v>0.75672981056829525</v>
      </c>
      <c r="I28" s="11">
        <v>5</v>
      </c>
      <c r="J28" s="45">
        <v>215</v>
      </c>
      <c r="K28" s="45">
        <v>213</v>
      </c>
      <c r="L28" s="4">
        <f t="shared" si="3"/>
        <v>1.0093896713615023</v>
      </c>
      <c r="M28" s="11">
        <v>10</v>
      </c>
      <c r="N28" s="35">
        <v>18468.599999999999</v>
      </c>
      <c r="O28" s="35">
        <v>35630.199999999997</v>
      </c>
      <c r="P28" s="4">
        <f t="shared" si="4"/>
        <v>1.2729231235719003</v>
      </c>
      <c r="Q28" s="11">
        <v>20</v>
      </c>
      <c r="R28" s="35">
        <v>1018.5</v>
      </c>
      <c r="S28" s="35">
        <v>1152.5999999999999</v>
      </c>
      <c r="T28" s="4">
        <f t="shared" si="13"/>
        <v>1.1316642120765832</v>
      </c>
      <c r="U28" s="11">
        <v>10</v>
      </c>
      <c r="V28" s="35">
        <v>309.8</v>
      </c>
      <c r="W28" s="35">
        <v>350.8</v>
      </c>
      <c r="X28" s="4">
        <f t="shared" si="14"/>
        <v>1.1323434473854099</v>
      </c>
      <c r="Y28" s="11">
        <v>10</v>
      </c>
      <c r="Z28" s="44">
        <f t="shared" si="15"/>
        <v>1.1047964454510188</v>
      </c>
      <c r="AA28" s="45">
        <v>49986</v>
      </c>
      <c r="AB28" s="35">
        <f t="shared" si="6"/>
        <v>4544.181818181818</v>
      </c>
      <c r="AC28" s="35">
        <f t="shared" si="7"/>
        <v>5020.3999999999996</v>
      </c>
      <c r="AD28" s="35">
        <f t="shared" si="8"/>
        <v>476.21818181818162</v>
      </c>
      <c r="AE28" s="35">
        <v>-33.4</v>
      </c>
      <c r="AF28" s="35">
        <f t="shared" si="9"/>
        <v>4987</v>
      </c>
      <c r="AG28" s="35"/>
      <c r="AH28" s="35">
        <f t="shared" si="10"/>
        <v>4987</v>
      </c>
      <c r="AI28" s="35">
        <v>5118.8</v>
      </c>
      <c r="AJ28" s="35">
        <f t="shared" si="11"/>
        <v>-131.80000000000001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17" customHeight="1">
      <c r="A29" s="13" t="s">
        <v>31</v>
      </c>
      <c r="B29" s="35">
        <v>403970</v>
      </c>
      <c r="C29" s="35">
        <v>400695.4</v>
      </c>
      <c r="D29" s="4">
        <f t="shared" si="1"/>
        <v>0.99189395252122692</v>
      </c>
      <c r="E29" s="11">
        <v>10</v>
      </c>
      <c r="F29" s="59">
        <v>109.5</v>
      </c>
      <c r="G29" s="59">
        <v>88.3</v>
      </c>
      <c r="H29" s="4">
        <f t="shared" si="2"/>
        <v>0.80639269406392688</v>
      </c>
      <c r="I29" s="11">
        <v>5</v>
      </c>
      <c r="J29" s="45">
        <v>225</v>
      </c>
      <c r="K29" s="45">
        <v>216</v>
      </c>
      <c r="L29" s="4">
        <f t="shared" si="3"/>
        <v>1.0416666666666667</v>
      </c>
      <c r="M29" s="11">
        <v>5</v>
      </c>
      <c r="N29" s="35">
        <v>22740</v>
      </c>
      <c r="O29" s="35">
        <v>25480.3</v>
      </c>
      <c r="P29" s="4">
        <f t="shared" si="4"/>
        <v>1.1205057167985928</v>
      </c>
      <c r="Q29" s="11">
        <v>20</v>
      </c>
      <c r="R29" s="35">
        <v>444</v>
      </c>
      <c r="S29" s="35">
        <v>451.9</v>
      </c>
      <c r="T29" s="4">
        <f t="shared" si="13"/>
        <v>1.0177927927927928</v>
      </c>
      <c r="U29" s="11">
        <v>5</v>
      </c>
      <c r="V29" s="35">
        <v>2404</v>
      </c>
      <c r="W29" s="35">
        <v>3393.9</v>
      </c>
      <c r="X29" s="4">
        <f t="shared" si="14"/>
        <v>1.2211772046589018</v>
      </c>
      <c r="Y29" s="11">
        <v>15</v>
      </c>
      <c r="Z29" s="44">
        <f t="shared" si="15"/>
        <v>1.0829328783114098</v>
      </c>
      <c r="AA29" s="45">
        <v>122331</v>
      </c>
      <c r="AB29" s="35">
        <f t="shared" si="6"/>
        <v>11121</v>
      </c>
      <c r="AC29" s="35">
        <f t="shared" si="7"/>
        <v>12043.3</v>
      </c>
      <c r="AD29" s="35">
        <f t="shared" si="8"/>
        <v>922.29999999999927</v>
      </c>
      <c r="AE29" s="35">
        <v>-563.70000000000005</v>
      </c>
      <c r="AF29" s="35">
        <f t="shared" si="9"/>
        <v>11479.599999999999</v>
      </c>
      <c r="AG29" s="35"/>
      <c r="AH29" s="35">
        <f t="shared" si="10"/>
        <v>11479.599999999999</v>
      </c>
      <c r="AI29" s="35">
        <v>11759.199999999999</v>
      </c>
      <c r="AJ29" s="35">
        <f t="shared" si="11"/>
        <v>-279.60000000000002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17" customHeight="1">
      <c r="A30" s="13" t="s">
        <v>32</v>
      </c>
      <c r="B30" s="35">
        <v>22280</v>
      </c>
      <c r="C30" s="35">
        <v>22307.200000000001</v>
      </c>
      <c r="D30" s="4">
        <f t="shared" si="1"/>
        <v>1.0012208258527828</v>
      </c>
      <c r="E30" s="11">
        <v>10</v>
      </c>
      <c r="F30" s="59">
        <v>109.6</v>
      </c>
      <c r="G30" s="59">
        <v>81.8</v>
      </c>
      <c r="H30" s="4">
        <f t="shared" si="2"/>
        <v>0.74635036496350371</v>
      </c>
      <c r="I30" s="11">
        <v>5</v>
      </c>
      <c r="J30" s="45">
        <v>150</v>
      </c>
      <c r="K30" s="45">
        <v>132</v>
      </c>
      <c r="L30" s="4">
        <f t="shared" si="3"/>
        <v>1.1363636363636365</v>
      </c>
      <c r="M30" s="11">
        <v>10</v>
      </c>
      <c r="N30" s="35">
        <v>7686.8</v>
      </c>
      <c r="O30" s="35">
        <v>10173.1</v>
      </c>
      <c r="P30" s="4">
        <f t="shared" si="4"/>
        <v>1.2123450590622886</v>
      </c>
      <c r="Q30" s="11">
        <v>20</v>
      </c>
      <c r="R30" s="35">
        <v>275.8</v>
      </c>
      <c r="S30" s="35">
        <v>274.8</v>
      </c>
      <c r="T30" s="4">
        <f t="shared" si="13"/>
        <v>0.99637418419144308</v>
      </c>
      <c r="U30" s="11">
        <v>10</v>
      </c>
      <c r="V30" s="35">
        <v>8.1</v>
      </c>
      <c r="W30" s="35">
        <v>6.6</v>
      </c>
      <c r="X30" s="4">
        <f t="shared" si="14"/>
        <v>0.81481481481481477</v>
      </c>
      <c r="Y30" s="11">
        <v>10</v>
      </c>
      <c r="Z30" s="44">
        <f t="shared" si="15"/>
        <v>1.0379444248967702</v>
      </c>
      <c r="AA30" s="45">
        <v>20840</v>
      </c>
      <c r="AB30" s="35">
        <f t="shared" si="6"/>
        <v>1894.5454545454545</v>
      </c>
      <c r="AC30" s="35">
        <f t="shared" si="7"/>
        <v>1966.4</v>
      </c>
      <c r="AD30" s="35">
        <f t="shared" si="8"/>
        <v>71.854545454545587</v>
      </c>
      <c r="AE30" s="35">
        <v>-22.1</v>
      </c>
      <c r="AF30" s="35">
        <f t="shared" si="9"/>
        <v>1944.3000000000002</v>
      </c>
      <c r="AG30" s="35"/>
      <c r="AH30" s="35">
        <f t="shared" si="10"/>
        <v>1944.3000000000002</v>
      </c>
      <c r="AI30" s="35">
        <v>1990.4</v>
      </c>
      <c r="AJ30" s="35">
        <f t="shared" si="11"/>
        <v>-46.1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7" customHeight="1">
      <c r="A31" s="13" t="s">
        <v>33</v>
      </c>
      <c r="B31" s="35">
        <v>216080</v>
      </c>
      <c r="C31" s="35">
        <v>164349</v>
      </c>
      <c r="D31" s="4">
        <f t="shared" si="1"/>
        <v>0.76059329877823023</v>
      </c>
      <c r="E31" s="11">
        <v>10</v>
      </c>
      <c r="F31" s="59">
        <v>108.7</v>
      </c>
      <c r="G31" s="59">
        <v>102</v>
      </c>
      <c r="H31" s="4">
        <f t="shared" si="2"/>
        <v>0.93836246550137992</v>
      </c>
      <c r="I31" s="11">
        <v>5</v>
      </c>
      <c r="J31" s="45">
        <v>220</v>
      </c>
      <c r="K31" s="45">
        <v>194</v>
      </c>
      <c r="L31" s="4">
        <f t="shared" si="3"/>
        <v>1.134020618556701</v>
      </c>
      <c r="M31" s="11">
        <v>10</v>
      </c>
      <c r="N31" s="35">
        <v>11500</v>
      </c>
      <c r="O31" s="35">
        <v>10255.299999999999</v>
      </c>
      <c r="P31" s="4">
        <f t="shared" si="4"/>
        <v>0.89176521739130432</v>
      </c>
      <c r="Q31" s="11">
        <v>20</v>
      </c>
      <c r="R31" s="35">
        <v>1582</v>
      </c>
      <c r="S31" s="35">
        <v>1617.3</v>
      </c>
      <c r="T31" s="4">
        <f t="shared" si="13"/>
        <v>1.0223135271807837</v>
      </c>
      <c r="U31" s="11">
        <v>10</v>
      </c>
      <c r="V31" s="35">
        <v>90</v>
      </c>
      <c r="W31" s="35">
        <v>101.6</v>
      </c>
      <c r="X31" s="4">
        <f t="shared" si="14"/>
        <v>1.1288888888888888</v>
      </c>
      <c r="Y31" s="11">
        <v>5</v>
      </c>
      <c r="Z31" s="44">
        <f t="shared" si="15"/>
        <v>0.95568059274890971</v>
      </c>
      <c r="AA31" s="45">
        <v>43021</v>
      </c>
      <c r="AB31" s="35">
        <f t="shared" si="6"/>
        <v>3911</v>
      </c>
      <c r="AC31" s="35">
        <f t="shared" si="7"/>
        <v>3737.7</v>
      </c>
      <c r="AD31" s="35">
        <f t="shared" si="8"/>
        <v>-173.30000000000018</v>
      </c>
      <c r="AE31" s="35">
        <v>-17</v>
      </c>
      <c r="AF31" s="35">
        <f t="shared" si="9"/>
        <v>3720.7</v>
      </c>
      <c r="AG31" s="35"/>
      <c r="AH31" s="35">
        <f t="shared" si="10"/>
        <v>3720.7</v>
      </c>
      <c r="AI31" s="35">
        <v>3726.8</v>
      </c>
      <c r="AJ31" s="35">
        <f t="shared" si="11"/>
        <v>-6.1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17" customHeight="1">
      <c r="A32" s="13" t="s">
        <v>34</v>
      </c>
      <c r="B32" s="35">
        <v>12903</v>
      </c>
      <c r="C32" s="35">
        <v>12858.2</v>
      </c>
      <c r="D32" s="4">
        <f t="shared" si="1"/>
        <v>0.99652793923893679</v>
      </c>
      <c r="E32" s="11">
        <v>10</v>
      </c>
      <c r="F32" s="59">
        <v>108.9</v>
      </c>
      <c r="G32" s="59">
        <v>95.4</v>
      </c>
      <c r="H32" s="4">
        <f t="shared" si="2"/>
        <v>0.87603305785123964</v>
      </c>
      <c r="I32" s="11">
        <v>5</v>
      </c>
      <c r="J32" s="45">
        <v>210</v>
      </c>
      <c r="K32" s="45">
        <v>205</v>
      </c>
      <c r="L32" s="4">
        <f t="shared" si="3"/>
        <v>1.024390243902439</v>
      </c>
      <c r="M32" s="11">
        <v>15</v>
      </c>
      <c r="N32" s="35">
        <v>10574.7</v>
      </c>
      <c r="O32" s="35">
        <v>12216.4</v>
      </c>
      <c r="P32" s="4">
        <f t="shared" si="4"/>
        <v>1.155247903013797</v>
      </c>
      <c r="Q32" s="11">
        <v>20</v>
      </c>
      <c r="R32" s="35">
        <v>290.10000000000002</v>
      </c>
      <c r="S32" s="35">
        <v>290.2</v>
      </c>
      <c r="T32" s="4">
        <f t="shared" si="13"/>
        <v>1.0003447087211306</v>
      </c>
      <c r="U32" s="11">
        <v>10</v>
      </c>
      <c r="V32" s="35">
        <v>24.2</v>
      </c>
      <c r="W32" s="35">
        <v>23.6</v>
      </c>
      <c r="X32" s="4">
        <f t="shared" si="14"/>
        <v>0.97520661157024802</v>
      </c>
      <c r="Y32" s="11">
        <v>10</v>
      </c>
      <c r="Z32" s="44">
        <f t="shared" si="15"/>
        <v>1.0367395657624554</v>
      </c>
      <c r="AA32" s="45">
        <v>31486</v>
      </c>
      <c r="AB32" s="35">
        <f t="shared" si="6"/>
        <v>2862.3636363636365</v>
      </c>
      <c r="AC32" s="35">
        <f t="shared" si="7"/>
        <v>2967.5</v>
      </c>
      <c r="AD32" s="35">
        <f t="shared" si="8"/>
        <v>105.13636363636351</v>
      </c>
      <c r="AE32" s="35">
        <v>-104</v>
      </c>
      <c r="AF32" s="35">
        <f t="shared" si="9"/>
        <v>2863.5</v>
      </c>
      <c r="AG32" s="35"/>
      <c r="AH32" s="35">
        <f t="shared" si="10"/>
        <v>2863.5</v>
      </c>
      <c r="AI32" s="35">
        <v>2898.9</v>
      </c>
      <c r="AJ32" s="35">
        <f t="shared" si="11"/>
        <v>-35.4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186" s="2" customFormat="1" ht="17" customHeight="1">
      <c r="A33" s="13" t="s">
        <v>1</v>
      </c>
      <c r="B33" s="35">
        <v>475297</v>
      </c>
      <c r="C33" s="35">
        <v>597555.5</v>
      </c>
      <c r="D33" s="4">
        <f t="shared" si="1"/>
        <v>1.20572254821722</v>
      </c>
      <c r="E33" s="11">
        <v>10</v>
      </c>
      <c r="F33" s="59">
        <v>105.1</v>
      </c>
      <c r="G33" s="59">
        <v>104</v>
      </c>
      <c r="H33" s="4">
        <f t="shared" si="2"/>
        <v>0.98953377735490011</v>
      </c>
      <c r="I33" s="11">
        <v>5</v>
      </c>
      <c r="J33" s="45">
        <v>315</v>
      </c>
      <c r="K33" s="45">
        <v>340</v>
      </c>
      <c r="L33" s="4">
        <f t="shared" si="3"/>
        <v>0.92647058823529416</v>
      </c>
      <c r="M33" s="11">
        <v>10</v>
      </c>
      <c r="N33" s="35">
        <v>47290.7</v>
      </c>
      <c r="O33" s="35">
        <v>42207.8</v>
      </c>
      <c r="P33" s="4">
        <f t="shared" si="4"/>
        <v>0.8925179792221305</v>
      </c>
      <c r="Q33" s="11">
        <v>20</v>
      </c>
      <c r="R33" s="35">
        <v>621.20000000000005</v>
      </c>
      <c r="S33" s="35">
        <v>543.29999999999995</v>
      </c>
      <c r="T33" s="4">
        <f t="shared" si="13"/>
        <v>0.87459755312298759</v>
      </c>
      <c r="U33" s="11">
        <v>5</v>
      </c>
      <c r="V33" s="35">
        <v>532.6</v>
      </c>
      <c r="W33" s="35">
        <v>467.3</v>
      </c>
      <c r="X33" s="4">
        <f t="shared" si="14"/>
        <v>0.87739391663537358</v>
      </c>
      <c r="Y33" s="11">
        <v>10</v>
      </c>
      <c r="Z33" s="44">
        <f t="shared" si="15"/>
        <v>0.95444811279518205</v>
      </c>
      <c r="AA33" s="45">
        <v>70238</v>
      </c>
      <c r="AB33" s="35">
        <f t="shared" si="6"/>
        <v>6385.272727272727</v>
      </c>
      <c r="AC33" s="35">
        <f t="shared" si="7"/>
        <v>6094.4</v>
      </c>
      <c r="AD33" s="35">
        <f t="shared" si="8"/>
        <v>-290.87272727272739</v>
      </c>
      <c r="AE33" s="35">
        <v>66.599999999999994</v>
      </c>
      <c r="AF33" s="35">
        <f t="shared" si="9"/>
        <v>6161</v>
      </c>
      <c r="AG33" s="35"/>
      <c r="AH33" s="35">
        <f t="shared" si="10"/>
        <v>6161</v>
      </c>
      <c r="AI33" s="35">
        <v>6140.6</v>
      </c>
      <c r="AJ33" s="35">
        <f t="shared" si="11"/>
        <v>20.399999999999999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186" s="2" customFormat="1" ht="17" customHeight="1">
      <c r="A34" s="13" t="s">
        <v>35</v>
      </c>
      <c r="B34" s="35">
        <v>1059250</v>
      </c>
      <c r="C34" s="35">
        <v>824350.2</v>
      </c>
      <c r="D34" s="4">
        <f t="shared" si="1"/>
        <v>0.77823950908661788</v>
      </c>
      <c r="E34" s="11">
        <v>10</v>
      </c>
      <c r="F34" s="59">
        <v>111.1</v>
      </c>
      <c r="G34" s="59">
        <v>78.3</v>
      </c>
      <c r="H34" s="4">
        <f t="shared" si="2"/>
        <v>0.70477047704770479</v>
      </c>
      <c r="I34" s="11">
        <v>5</v>
      </c>
      <c r="J34" s="45">
        <v>260</v>
      </c>
      <c r="K34" s="45">
        <v>275</v>
      </c>
      <c r="L34" s="4">
        <f t="shared" si="3"/>
        <v>0.94545454545454544</v>
      </c>
      <c r="M34" s="11">
        <v>10</v>
      </c>
      <c r="N34" s="35">
        <v>24351.5</v>
      </c>
      <c r="O34" s="35">
        <v>21452.7</v>
      </c>
      <c r="P34" s="4">
        <f t="shared" si="4"/>
        <v>0.8809601051269943</v>
      </c>
      <c r="Q34" s="11">
        <v>20</v>
      </c>
      <c r="R34" s="35">
        <v>224</v>
      </c>
      <c r="S34" s="35">
        <v>212.2</v>
      </c>
      <c r="T34" s="4">
        <f t="shared" si="13"/>
        <v>0.94732142857142854</v>
      </c>
      <c r="U34" s="11">
        <v>5</v>
      </c>
      <c r="V34" s="35">
        <v>22</v>
      </c>
      <c r="W34" s="35">
        <v>13.7</v>
      </c>
      <c r="X34" s="4">
        <f t="shared" si="14"/>
        <v>0.62272727272727268</v>
      </c>
      <c r="Y34" s="11">
        <v>5</v>
      </c>
      <c r="Z34" s="44">
        <f t="shared" si="15"/>
        <v>0.84054979163060983</v>
      </c>
      <c r="AA34" s="45">
        <v>30710</v>
      </c>
      <c r="AB34" s="35">
        <f t="shared" si="6"/>
        <v>2791.818181818182</v>
      </c>
      <c r="AC34" s="35">
        <f t="shared" si="7"/>
        <v>2346.6999999999998</v>
      </c>
      <c r="AD34" s="35">
        <f t="shared" si="8"/>
        <v>-445.11818181818217</v>
      </c>
      <c r="AE34" s="35">
        <v>12</v>
      </c>
      <c r="AF34" s="35">
        <f t="shared" si="9"/>
        <v>2358.6999999999998</v>
      </c>
      <c r="AG34" s="35"/>
      <c r="AH34" s="35">
        <f t="shared" si="10"/>
        <v>2358.6999999999998</v>
      </c>
      <c r="AI34" s="35">
        <v>2396.6</v>
      </c>
      <c r="AJ34" s="35">
        <f t="shared" si="11"/>
        <v>-37.9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186" s="2" customFormat="1" ht="17" customHeight="1">
      <c r="A35" s="13" t="s">
        <v>36</v>
      </c>
      <c r="B35" s="35">
        <v>116285</v>
      </c>
      <c r="C35" s="35">
        <v>114884</v>
      </c>
      <c r="D35" s="4">
        <f t="shared" si="1"/>
        <v>0.98795201444726322</v>
      </c>
      <c r="E35" s="11">
        <v>10</v>
      </c>
      <c r="F35" s="59">
        <v>107.8</v>
      </c>
      <c r="G35" s="59">
        <v>106.8</v>
      </c>
      <c r="H35" s="4">
        <f t="shared" si="2"/>
        <v>0.99072356215213353</v>
      </c>
      <c r="I35" s="11">
        <v>5</v>
      </c>
      <c r="J35" s="45">
        <v>300</v>
      </c>
      <c r="K35" s="45">
        <v>298</v>
      </c>
      <c r="L35" s="4">
        <f t="shared" si="3"/>
        <v>1.0067114093959733</v>
      </c>
      <c r="M35" s="11">
        <v>15</v>
      </c>
      <c r="N35" s="35">
        <v>8860.7999999999993</v>
      </c>
      <c r="O35" s="35">
        <v>8136.3</v>
      </c>
      <c r="P35" s="4">
        <f t="shared" si="4"/>
        <v>0.9182353737811485</v>
      </c>
      <c r="Q35" s="11">
        <v>20</v>
      </c>
      <c r="R35" s="35">
        <v>163</v>
      </c>
      <c r="S35" s="35">
        <v>173.6</v>
      </c>
      <c r="T35" s="4">
        <f t="shared" si="13"/>
        <v>1.0650306748466258</v>
      </c>
      <c r="U35" s="11">
        <v>10</v>
      </c>
      <c r="V35" s="35">
        <v>22</v>
      </c>
      <c r="W35" s="35">
        <v>29.7</v>
      </c>
      <c r="X35" s="4">
        <f t="shared" si="14"/>
        <v>1.2149999999999999</v>
      </c>
      <c r="Y35" s="11">
        <v>5</v>
      </c>
      <c r="Z35" s="44">
        <f t="shared" si="15"/>
        <v>1.0003665126194172</v>
      </c>
      <c r="AA35" s="45">
        <v>25286</v>
      </c>
      <c r="AB35" s="35">
        <f t="shared" si="6"/>
        <v>2298.7272727272725</v>
      </c>
      <c r="AC35" s="35">
        <f t="shared" si="7"/>
        <v>2299.6</v>
      </c>
      <c r="AD35" s="35">
        <f t="shared" si="8"/>
        <v>0.87272727272738848</v>
      </c>
      <c r="AE35" s="35">
        <f>-167.4-57.9</f>
        <v>-225.3</v>
      </c>
      <c r="AF35" s="35">
        <f t="shared" si="9"/>
        <v>2074.2999999999997</v>
      </c>
      <c r="AG35" s="35"/>
      <c r="AH35" s="35">
        <f t="shared" si="10"/>
        <v>2074.2999999999997</v>
      </c>
      <c r="AI35" s="35">
        <v>2076.1</v>
      </c>
      <c r="AJ35" s="35">
        <f t="shared" si="11"/>
        <v>-1.8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186" s="2" customFormat="1" ht="17" customHeight="1">
      <c r="A36" s="13" t="s">
        <v>37</v>
      </c>
      <c r="B36" s="35">
        <v>19648</v>
      </c>
      <c r="C36" s="35">
        <v>12580.2</v>
      </c>
      <c r="D36" s="4">
        <f t="shared" si="1"/>
        <v>0.64027890879478833</v>
      </c>
      <c r="E36" s="11">
        <v>10</v>
      </c>
      <c r="F36" s="59">
        <v>104.4</v>
      </c>
      <c r="G36" s="59">
        <v>107.4</v>
      </c>
      <c r="H36" s="4">
        <f t="shared" si="2"/>
        <v>1.0287356321839081</v>
      </c>
      <c r="I36" s="11">
        <v>5</v>
      </c>
      <c r="J36" s="45">
        <v>270</v>
      </c>
      <c r="K36" s="45">
        <v>264</v>
      </c>
      <c r="L36" s="4">
        <f t="shared" si="3"/>
        <v>1.0227272727272727</v>
      </c>
      <c r="M36" s="11">
        <v>15</v>
      </c>
      <c r="N36" s="35">
        <v>8641.2000000000007</v>
      </c>
      <c r="O36" s="35">
        <v>9883.4</v>
      </c>
      <c r="P36" s="4">
        <f t="shared" si="4"/>
        <v>1.1437531824283662</v>
      </c>
      <c r="Q36" s="11">
        <v>20</v>
      </c>
      <c r="R36" s="35">
        <v>1034.0999999999999</v>
      </c>
      <c r="S36" s="35">
        <v>1048.2</v>
      </c>
      <c r="T36" s="4">
        <f t="shared" si="13"/>
        <v>1.0136350449666378</v>
      </c>
      <c r="U36" s="11">
        <v>10</v>
      </c>
      <c r="V36" s="35">
        <v>460.4</v>
      </c>
      <c r="W36" s="35">
        <v>594.5</v>
      </c>
      <c r="X36" s="4">
        <f t="shared" si="14"/>
        <v>1.2091268462206777</v>
      </c>
      <c r="Y36" s="11">
        <v>10</v>
      </c>
      <c r="Z36" s="44">
        <f t="shared" si="15"/>
        <v>1.0284294128602425</v>
      </c>
      <c r="AA36" s="45">
        <v>67976</v>
      </c>
      <c r="AB36" s="35">
        <f t="shared" si="6"/>
        <v>6179.636363636364</v>
      </c>
      <c r="AC36" s="35">
        <f t="shared" si="7"/>
        <v>6355.3</v>
      </c>
      <c r="AD36" s="35">
        <f t="shared" si="8"/>
        <v>175.66363636363621</v>
      </c>
      <c r="AE36" s="35">
        <v>-34.1</v>
      </c>
      <c r="AF36" s="35">
        <f t="shared" si="9"/>
        <v>6321.2</v>
      </c>
      <c r="AG36" s="35"/>
      <c r="AH36" s="35">
        <f t="shared" si="10"/>
        <v>6321.2</v>
      </c>
      <c r="AI36" s="35">
        <v>6321.0999999999995</v>
      </c>
      <c r="AJ36" s="35">
        <f t="shared" si="11"/>
        <v>0.1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186" s="2" customFormat="1" ht="17" customHeight="1">
      <c r="A37" s="13" t="s">
        <v>38</v>
      </c>
      <c r="B37" s="35">
        <v>13159</v>
      </c>
      <c r="C37" s="35">
        <v>14741.4</v>
      </c>
      <c r="D37" s="4">
        <f t="shared" si="1"/>
        <v>1.1202522988069001</v>
      </c>
      <c r="E37" s="11">
        <v>10</v>
      </c>
      <c r="F37" s="59">
        <v>112.7</v>
      </c>
      <c r="G37" s="59">
        <v>101.8</v>
      </c>
      <c r="H37" s="4">
        <f t="shared" si="2"/>
        <v>0.90328305235137529</v>
      </c>
      <c r="I37" s="11">
        <v>5</v>
      </c>
      <c r="J37" s="45">
        <v>520</v>
      </c>
      <c r="K37" s="45">
        <v>509</v>
      </c>
      <c r="L37" s="4">
        <f t="shared" si="3"/>
        <v>1.0216110019646365</v>
      </c>
      <c r="M37" s="11">
        <v>15</v>
      </c>
      <c r="N37" s="35">
        <v>6685.8</v>
      </c>
      <c r="O37" s="35">
        <v>9801.1</v>
      </c>
      <c r="P37" s="4">
        <f t="shared" si="4"/>
        <v>1.226595770139699</v>
      </c>
      <c r="Q37" s="11">
        <v>20</v>
      </c>
      <c r="R37" s="35">
        <v>86.5</v>
      </c>
      <c r="S37" s="35">
        <v>95.4</v>
      </c>
      <c r="T37" s="4">
        <f t="shared" si="13"/>
        <v>1.1028901734104046</v>
      </c>
      <c r="U37" s="11">
        <v>10</v>
      </c>
      <c r="V37" s="35">
        <v>46</v>
      </c>
      <c r="W37" s="35">
        <v>49.9</v>
      </c>
      <c r="X37" s="4">
        <f t="shared" si="14"/>
        <v>1.0847826086956522</v>
      </c>
      <c r="Y37" s="11">
        <v>10</v>
      </c>
      <c r="Z37" s="44">
        <f t="shared" si="15"/>
        <v>1.1064535214735713</v>
      </c>
      <c r="AA37" s="45">
        <v>37174</v>
      </c>
      <c r="AB37" s="35">
        <f t="shared" si="6"/>
        <v>3379.4545454545455</v>
      </c>
      <c r="AC37" s="35">
        <f t="shared" si="7"/>
        <v>3739.2</v>
      </c>
      <c r="AD37" s="35">
        <f t="shared" si="8"/>
        <v>359.74545454545432</v>
      </c>
      <c r="AE37" s="35">
        <v>-55.9</v>
      </c>
      <c r="AF37" s="35">
        <f t="shared" si="9"/>
        <v>3683.2999999999997</v>
      </c>
      <c r="AG37" s="35"/>
      <c r="AH37" s="35">
        <f t="shared" si="10"/>
        <v>3683.2999999999997</v>
      </c>
      <c r="AI37" s="35">
        <v>3736.1</v>
      </c>
      <c r="AJ37" s="35">
        <f t="shared" si="11"/>
        <v>-52.8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86" s="2" customFormat="1" ht="17" customHeight="1">
      <c r="A38" s="13" t="s">
        <v>39</v>
      </c>
      <c r="B38" s="35">
        <v>121087</v>
      </c>
      <c r="C38" s="35">
        <v>102907.3</v>
      </c>
      <c r="D38" s="4">
        <f t="shared" si="1"/>
        <v>0.84986249556104287</v>
      </c>
      <c r="E38" s="11">
        <v>10</v>
      </c>
      <c r="F38" s="59">
        <v>109.8</v>
      </c>
      <c r="G38" s="59">
        <v>87.2</v>
      </c>
      <c r="H38" s="4">
        <f t="shared" si="2"/>
        <v>0.79417122040072863</v>
      </c>
      <c r="I38" s="11">
        <v>5</v>
      </c>
      <c r="J38" s="45">
        <v>340</v>
      </c>
      <c r="K38" s="45">
        <v>418</v>
      </c>
      <c r="L38" s="4">
        <f t="shared" si="3"/>
        <v>0.8133971291866029</v>
      </c>
      <c r="M38" s="11">
        <v>10</v>
      </c>
      <c r="N38" s="35">
        <v>30302.3</v>
      </c>
      <c r="O38" s="35">
        <v>32133.9</v>
      </c>
      <c r="P38" s="4">
        <f t="shared" si="4"/>
        <v>1.0604442567065866</v>
      </c>
      <c r="Q38" s="11">
        <v>20</v>
      </c>
      <c r="R38" s="35">
        <v>156</v>
      </c>
      <c r="S38" s="35">
        <v>165</v>
      </c>
      <c r="T38" s="4">
        <f t="shared" si="13"/>
        <v>1.0576923076923077</v>
      </c>
      <c r="U38" s="11">
        <v>5</v>
      </c>
      <c r="V38" s="35">
        <v>14.5</v>
      </c>
      <c r="W38" s="35">
        <v>14.6</v>
      </c>
      <c r="X38" s="4">
        <f t="shared" si="14"/>
        <v>1.0068965517241379</v>
      </c>
      <c r="Y38" s="11">
        <v>5</v>
      </c>
      <c r="Z38" s="44">
        <f t="shared" si="15"/>
        <v>0.94791421419443755</v>
      </c>
      <c r="AA38" s="45">
        <v>27847</v>
      </c>
      <c r="AB38" s="35">
        <f t="shared" si="6"/>
        <v>2531.5454545454545</v>
      </c>
      <c r="AC38" s="35">
        <f t="shared" si="7"/>
        <v>2399.6999999999998</v>
      </c>
      <c r="AD38" s="35">
        <f t="shared" si="8"/>
        <v>-131.84545454545469</v>
      </c>
      <c r="AE38" s="35">
        <v>38.700000000000003</v>
      </c>
      <c r="AF38" s="35">
        <f t="shared" si="9"/>
        <v>2438.3999999999996</v>
      </c>
      <c r="AG38" s="35"/>
      <c r="AH38" s="35">
        <f t="shared" si="10"/>
        <v>2438.3999999999996</v>
      </c>
      <c r="AI38" s="35">
        <v>2477.2999999999997</v>
      </c>
      <c r="AJ38" s="35">
        <f t="shared" si="11"/>
        <v>-38.9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186" s="2" customFormat="1" ht="17" customHeight="1">
      <c r="A39" s="13" t="s">
        <v>40</v>
      </c>
      <c r="B39" s="35">
        <v>997628</v>
      </c>
      <c r="C39" s="35">
        <v>1078032.2</v>
      </c>
      <c r="D39" s="4">
        <f t="shared" si="1"/>
        <v>1.0805953722229127</v>
      </c>
      <c r="E39" s="11">
        <v>10</v>
      </c>
      <c r="F39" s="59">
        <v>106.8</v>
      </c>
      <c r="G39" s="59">
        <v>96.6</v>
      </c>
      <c r="H39" s="4">
        <f t="shared" si="2"/>
        <v>0.9044943820224719</v>
      </c>
      <c r="I39" s="11">
        <v>5</v>
      </c>
      <c r="J39" s="45">
        <v>330</v>
      </c>
      <c r="K39" s="45">
        <v>539</v>
      </c>
      <c r="L39" s="4">
        <f t="shared" si="3"/>
        <v>0.61224489795918369</v>
      </c>
      <c r="M39" s="11">
        <v>5</v>
      </c>
      <c r="N39" s="35">
        <v>40529.9</v>
      </c>
      <c r="O39" s="35">
        <v>38866.199999999997</v>
      </c>
      <c r="P39" s="4">
        <f t="shared" si="4"/>
        <v>0.95895129274930346</v>
      </c>
      <c r="Q39" s="11">
        <v>20</v>
      </c>
      <c r="R39" s="35">
        <v>1379</v>
      </c>
      <c r="S39" s="35">
        <v>1387.2</v>
      </c>
      <c r="T39" s="4">
        <f t="shared" si="13"/>
        <v>1.0059463379260334</v>
      </c>
      <c r="U39" s="11">
        <v>10</v>
      </c>
      <c r="V39" s="35">
        <v>950</v>
      </c>
      <c r="W39" s="35">
        <v>746.8</v>
      </c>
      <c r="X39" s="4">
        <f t="shared" si="14"/>
        <v>0.78610526315789464</v>
      </c>
      <c r="Y39" s="11">
        <v>10</v>
      </c>
      <c r="Z39" s="44">
        <f t="shared" si="15"/>
        <v>0.92481986646604597</v>
      </c>
      <c r="AA39" s="45">
        <v>107390</v>
      </c>
      <c r="AB39" s="35">
        <f t="shared" si="6"/>
        <v>9762.7272727272721</v>
      </c>
      <c r="AC39" s="35">
        <f t="shared" si="7"/>
        <v>9028.7999999999993</v>
      </c>
      <c r="AD39" s="35">
        <f t="shared" si="8"/>
        <v>-733.92727272727279</v>
      </c>
      <c r="AE39" s="35">
        <v>-401.3</v>
      </c>
      <c r="AF39" s="35">
        <f t="shared" si="9"/>
        <v>8627.5</v>
      </c>
      <c r="AG39" s="35"/>
      <c r="AH39" s="35">
        <f t="shared" si="10"/>
        <v>8627.5</v>
      </c>
      <c r="AI39" s="35">
        <v>8645.5</v>
      </c>
      <c r="AJ39" s="35">
        <f t="shared" si="11"/>
        <v>-18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186" s="2" customFormat="1" ht="17" customHeight="1">
      <c r="A40" s="13" t="s">
        <v>41</v>
      </c>
      <c r="B40" s="35">
        <v>47193</v>
      </c>
      <c r="C40" s="35">
        <v>44963</v>
      </c>
      <c r="D40" s="4">
        <f t="shared" si="1"/>
        <v>0.95274722946199653</v>
      </c>
      <c r="E40" s="11">
        <v>10</v>
      </c>
      <c r="F40" s="59">
        <v>106.7</v>
      </c>
      <c r="G40" s="59">
        <v>86.6</v>
      </c>
      <c r="H40" s="4">
        <f t="shared" si="2"/>
        <v>0.81162136832239917</v>
      </c>
      <c r="I40" s="11">
        <v>5</v>
      </c>
      <c r="J40" s="45">
        <v>130</v>
      </c>
      <c r="K40" s="45">
        <v>122</v>
      </c>
      <c r="L40" s="4">
        <f t="shared" si="3"/>
        <v>1.0655737704918034</v>
      </c>
      <c r="M40" s="11">
        <v>5</v>
      </c>
      <c r="N40" s="35">
        <v>15599.8</v>
      </c>
      <c r="O40" s="35">
        <v>13894.8</v>
      </c>
      <c r="P40" s="4">
        <f t="shared" si="4"/>
        <v>0.89070372697085864</v>
      </c>
      <c r="Q40" s="11">
        <v>20</v>
      </c>
      <c r="R40" s="35">
        <v>599</v>
      </c>
      <c r="S40" s="35">
        <v>704.9</v>
      </c>
      <c r="T40" s="4">
        <f t="shared" si="13"/>
        <v>1.1767946577629382</v>
      </c>
      <c r="U40" s="11">
        <v>5</v>
      </c>
      <c r="V40" s="35">
        <v>20.6</v>
      </c>
      <c r="W40" s="35">
        <v>22.5</v>
      </c>
      <c r="X40" s="4">
        <f t="shared" si="14"/>
        <v>1.0922330097087378</v>
      </c>
      <c r="Y40" s="11">
        <v>5</v>
      </c>
      <c r="Z40" s="44">
        <f t="shared" si="15"/>
        <v>0.96145321730933075</v>
      </c>
      <c r="AA40" s="45">
        <v>37532</v>
      </c>
      <c r="AB40" s="35">
        <f t="shared" si="6"/>
        <v>3412</v>
      </c>
      <c r="AC40" s="35">
        <f t="shared" si="7"/>
        <v>3280.5</v>
      </c>
      <c r="AD40" s="35">
        <f t="shared" si="8"/>
        <v>-131.5</v>
      </c>
      <c r="AE40" s="35">
        <v>-24.1</v>
      </c>
      <c r="AF40" s="35">
        <f t="shared" si="9"/>
        <v>3256.4</v>
      </c>
      <c r="AG40" s="35"/>
      <c r="AH40" s="35">
        <f t="shared" si="10"/>
        <v>3256.4</v>
      </c>
      <c r="AI40" s="35">
        <v>3313.2000000000003</v>
      </c>
      <c r="AJ40" s="35">
        <f t="shared" si="11"/>
        <v>-56.8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186" s="2" customFormat="1" ht="17" customHeight="1">
      <c r="A41" s="13" t="s">
        <v>2</v>
      </c>
      <c r="B41" s="35">
        <v>12485</v>
      </c>
      <c r="C41" s="35">
        <v>11600.3</v>
      </c>
      <c r="D41" s="4">
        <f t="shared" si="1"/>
        <v>0.92913896676011209</v>
      </c>
      <c r="E41" s="11">
        <v>10</v>
      </c>
      <c r="F41" s="59">
        <v>107.4</v>
      </c>
      <c r="G41" s="59">
        <v>83.8</v>
      </c>
      <c r="H41" s="4">
        <f t="shared" si="2"/>
        <v>0.78026070763500921</v>
      </c>
      <c r="I41" s="11">
        <v>5</v>
      </c>
      <c r="J41" s="45">
        <v>250</v>
      </c>
      <c r="K41" s="45">
        <v>253</v>
      </c>
      <c r="L41" s="4">
        <f t="shared" si="3"/>
        <v>0.98814229249011853</v>
      </c>
      <c r="M41" s="11">
        <v>15</v>
      </c>
      <c r="N41" s="35">
        <v>5612.2</v>
      </c>
      <c r="O41" s="35">
        <v>4999.7</v>
      </c>
      <c r="P41" s="4">
        <f t="shared" si="4"/>
        <v>0.89086276326574254</v>
      </c>
      <c r="Q41" s="11">
        <v>20</v>
      </c>
      <c r="R41" s="35">
        <v>341</v>
      </c>
      <c r="S41" s="35">
        <v>380</v>
      </c>
      <c r="T41" s="4">
        <f t="shared" si="13"/>
        <v>1.1143695014662756</v>
      </c>
      <c r="U41" s="11">
        <v>5</v>
      </c>
      <c r="V41" s="35">
        <v>41</v>
      </c>
      <c r="W41" s="35">
        <v>43.4</v>
      </c>
      <c r="X41" s="4">
        <f t="shared" si="14"/>
        <v>1.0585365853658537</v>
      </c>
      <c r="Y41" s="11">
        <v>5</v>
      </c>
      <c r="Z41" s="44">
        <f t="shared" si="15"/>
        <v>0.9449435548767241</v>
      </c>
      <c r="AA41" s="45">
        <v>48371</v>
      </c>
      <c r="AB41" s="35">
        <f t="shared" si="6"/>
        <v>4397.363636363636</v>
      </c>
      <c r="AC41" s="35">
        <f t="shared" si="7"/>
        <v>4155.3</v>
      </c>
      <c r="AD41" s="35">
        <f t="shared" si="8"/>
        <v>-242.06363636363585</v>
      </c>
      <c r="AE41" s="35">
        <v>-127.6</v>
      </c>
      <c r="AF41" s="35">
        <f t="shared" si="9"/>
        <v>4027.7000000000003</v>
      </c>
      <c r="AG41" s="35"/>
      <c r="AH41" s="35">
        <f t="shared" si="10"/>
        <v>4027.7000000000003</v>
      </c>
      <c r="AI41" s="35">
        <v>4093.5000000000005</v>
      </c>
      <c r="AJ41" s="35">
        <f t="shared" si="11"/>
        <v>-65.8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186" s="2" customFormat="1" ht="17" customHeight="1">
      <c r="A42" s="13" t="s">
        <v>42</v>
      </c>
      <c r="B42" s="35">
        <v>34938</v>
      </c>
      <c r="C42" s="35">
        <v>28939.599999999999</v>
      </c>
      <c r="D42" s="4">
        <f t="shared" si="1"/>
        <v>0.82831301162058502</v>
      </c>
      <c r="E42" s="11">
        <v>10</v>
      </c>
      <c r="F42" s="59">
        <v>109.5</v>
      </c>
      <c r="G42" s="59">
        <v>106.6</v>
      </c>
      <c r="H42" s="4">
        <f t="shared" si="2"/>
        <v>0.97351598173515974</v>
      </c>
      <c r="I42" s="11">
        <v>5</v>
      </c>
      <c r="J42" s="45">
        <v>170</v>
      </c>
      <c r="K42" s="45">
        <v>153</v>
      </c>
      <c r="L42" s="4">
        <f t="shared" si="3"/>
        <v>1.1111111111111112</v>
      </c>
      <c r="M42" s="11">
        <v>10</v>
      </c>
      <c r="N42" s="35">
        <v>6782.2</v>
      </c>
      <c r="O42" s="35">
        <v>5946.8</v>
      </c>
      <c r="P42" s="4">
        <f t="shared" si="4"/>
        <v>0.87682462917637349</v>
      </c>
      <c r="Q42" s="11">
        <v>20</v>
      </c>
      <c r="R42" s="35">
        <v>223.5</v>
      </c>
      <c r="S42" s="35">
        <v>224</v>
      </c>
      <c r="T42" s="4">
        <f t="shared" si="13"/>
        <v>1.0022371364653244</v>
      </c>
      <c r="U42" s="11">
        <v>5</v>
      </c>
      <c r="V42" s="35">
        <v>28.5</v>
      </c>
      <c r="W42" s="35">
        <v>29.9</v>
      </c>
      <c r="X42" s="4">
        <f t="shared" si="14"/>
        <v>1.0491228070175438</v>
      </c>
      <c r="Y42" s="11">
        <v>5</v>
      </c>
      <c r="Z42" s="44">
        <f t="shared" si="15"/>
        <v>0.94645660794426489</v>
      </c>
      <c r="AA42" s="45">
        <v>25572</v>
      </c>
      <c r="AB42" s="35">
        <f t="shared" si="6"/>
        <v>2324.7272727272725</v>
      </c>
      <c r="AC42" s="35">
        <f t="shared" si="7"/>
        <v>2200.3000000000002</v>
      </c>
      <c r="AD42" s="35">
        <f t="shared" si="8"/>
        <v>-124.42727272727234</v>
      </c>
      <c r="AE42" s="35">
        <v>-44.1</v>
      </c>
      <c r="AF42" s="35">
        <f t="shared" si="9"/>
        <v>2156.2000000000003</v>
      </c>
      <c r="AG42" s="35"/>
      <c r="AH42" s="35">
        <f t="shared" si="10"/>
        <v>2156.2000000000003</v>
      </c>
      <c r="AI42" s="35">
        <v>2149.9</v>
      </c>
      <c r="AJ42" s="35">
        <f t="shared" si="11"/>
        <v>6.3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186" s="2" customFormat="1" ht="17" customHeight="1">
      <c r="A43" s="13" t="s">
        <v>3</v>
      </c>
      <c r="B43" s="35">
        <v>47422</v>
      </c>
      <c r="C43" s="35">
        <v>43622.8</v>
      </c>
      <c r="D43" s="4">
        <f t="shared" si="1"/>
        <v>0.91988528531061542</v>
      </c>
      <c r="E43" s="11">
        <v>10</v>
      </c>
      <c r="F43" s="59">
        <v>105.7</v>
      </c>
      <c r="G43" s="59">
        <v>107.4</v>
      </c>
      <c r="H43" s="4">
        <f t="shared" si="2"/>
        <v>1.0160832544938505</v>
      </c>
      <c r="I43" s="11">
        <v>5</v>
      </c>
      <c r="J43" s="45">
        <v>210</v>
      </c>
      <c r="K43" s="45">
        <v>177</v>
      </c>
      <c r="L43" s="4">
        <f t="shared" si="3"/>
        <v>1.1864406779661016</v>
      </c>
      <c r="M43" s="11">
        <v>10</v>
      </c>
      <c r="N43" s="35">
        <v>6873.1</v>
      </c>
      <c r="O43" s="35">
        <v>8477.9</v>
      </c>
      <c r="P43" s="4">
        <f t="shared" si="4"/>
        <v>1.2033489982686123</v>
      </c>
      <c r="Q43" s="11">
        <v>20</v>
      </c>
      <c r="R43" s="35">
        <v>404</v>
      </c>
      <c r="S43" s="35">
        <v>436.9</v>
      </c>
      <c r="T43" s="4">
        <f t="shared" si="13"/>
        <v>1.0814356435643564</v>
      </c>
      <c r="U43" s="11">
        <v>5</v>
      </c>
      <c r="V43" s="35">
        <v>16.3</v>
      </c>
      <c r="W43" s="35">
        <v>16.899999999999999</v>
      </c>
      <c r="X43" s="4">
        <f t="shared" si="14"/>
        <v>1.03680981595092</v>
      </c>
      <c r="Y43" s="11">
        <v>5</v>
      </c>
      <c r="Z43" s="44">
        <f t="shared" si="15"/>
        <v>1.1054887848760919</v>
      </c>
      <c r="AA43" s="45">
        <v>28537</v>
      </c>
      <c r="AB43" s="35">
        <f t="shared" si="6"/>
        <v>2594.2727272727275</v>
      </c>
      <c r="AC43" s="35">
        <f t="shared" si="7"/>
        <v>2867.9</v>
      </c>
      <c r="AD43" s="35">
        <f t="shared" si="8"/>
        <v>273.62727272727261</v>
      </c>
      <c r="AE43" s="35">
        <v>-67.599999999999994</v>
      </c>
      <c r="AF43" s="35">
        <f t="shared" si="9"/>
        <v>2800.3</v>
      </c>
      <c r="AG43" s="35"/>
      <c r="AH43" s="35">
        <f t="shared" si="10"/>
        <v>2800.3</v>
      </c>
      <c r="AI43" s="35">
        <v>2823.5</v>
      </c>
      <c r="AJ43" s="35">
        <f t="shared" si="11"/>
        <v>-23.2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186" s="2" customFormat="1" ht="17" customHeight="1">
      <c r="A44" s="13" t="s">
        <v>43</v>
      </c>
      <c r="B44" s="35">
        <v>14890</v>
      </c>
      <c r="C44" s="35">
        <v>14247.2</v>
      </c>
      <c r="D44" s="4">
        <f t="shared" si="1"/>
        <v>0.95683008730691743</v>
      </c>
      <c r="E44" s="11">
        <v>10</v>
      </c>
      <c r="F44" s="59">
        <v>103</v>
      </c>
      <c r="G44" s="59">
        <v>104.9</v>
      </c>
      <c r="H44" s="4">
        <f t="shared" si="2"/>
        <v>1.0184466019417475</v>
      </c>
      <c r="I44" s="11">
        <v>5</v>
      </c>
      <c r="J44" s="45">
        <v>160</v>
      </c>
      <c r="K44" s="45">
        <v>160</v>
      </c>
      <c r="L44" s="4">
        <f t="shared" si="3"/>
        <v>1</v>
      </c>
      <c r="M44" s="11">
        <v>10</v>
      </c>
      <c r="N44" s="35">
        <v>11485.4</v>
      </c>
      <c r="O44" s="35">
        <v>10254.4</v>
      </c>
      <c r="P44" s="4">
        <f t="shared" si="4"/>
        <v>0.89282045031082935</v>
      </c>
      <c r="Q44" s="11">
        <v>20</v>
      </c>
      <c r="R44" s="35">
        <v>40</v>
      </c>
      <c r="S44" s="35">
        <v>47.5</v>
      </c>
      <c r="T44" s="4">
        <f t="shared" si="13"/>
        <v>1.1875</v>
      </c>
      <c r="U44" s="11">
        <v>5</v>
      </c>
      <c r="V44" s="35">
        <v>32</v>
      </c>
      <c r="W44" s="35">
        <v>39.4</v>
      </c>
      <c r="X44" s="4">
        <f t="shared" si="14"/>
        <v>1.203125</v>
      </c>
      <c r="Y44" s="11">
        <v>5</v>
      </c>
      <c r="Z44" s="44">
        <f t="shared" si="15"/>
        <v>0.99036487070899093</v>
      </c>
      <c r="AA44" s="45">
        <v>37577</v>
      </c>
      <c r="AB44" s="35">
        <f t="shared" si="6"/>
        <v>3416.090909090909</v>
      </c>
      <c r="AC44" s="35">
        <f t="shared" si="7"/>
        <v>3383.2</v>
      </c>
      <c r="AD44" s="35">
        <f t="shared" si="8"/>
        <v>-32.89090909090919</v>
      </c>
      <c r="AE44" s="35">
        <v>-148.19999999999999</v>
      </c>
      <c r="AF44" s="35">
        <f t="shared" si="9"/>
        <v>3235</v>
      </c>
      <c r="AG44" s="35"/>
      <c r="AH44" s="35">
        <f t="shared" si="10"/>
        <v>3235</v>
      </c>
      <c r="AI44" s="35">
        <v>3225.4</v>
      </c>
      <c r="AJ44" s="35">
        <f t="shared" si="11"/>
        <v>9.6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186" s="2" customFormat="1" ht="17" customHeight="1">
      <c r="A45" s="17" t="s">
        <v>44</v>
      </c>
      <c r="B45" s="34">
        <f>SUM(B46:B368)</f>
        <v>7825351</v>
      </c>
      <c r="C45" s="34">
        <f>SUM(C46:C368)</f>
        <v>7679850.3999999994</v>
      </c>
      <c r="D45" s="6">
        <f>IF(C45/B45&gt;1.2,IF((C45/B45-1.2)*0.1+1.2&gt;1.3,1.3,(C45/B45-1.2)*0.1+1.2),C45/B45)</f>
        <v>0.98140650815535291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159025.90000000023</v>
      </c>
      <c r="O45" s="34">
        <f>SUM(O46:O368)</f>
        <v>153344.19999999998</v>
      </c>
      <c r="P45" s="6">
        <f>IF(O45/N45&gt;1.2,IF((O45/N45-1.2)*0.1+1.2&gt;1.3,1.3,(O45/N45-1.2)*0.1+1.2),O45/N45)</f>
        <v>0.96427185760306822</v>
      </c>
      <c r="Q45" s="16"/>
      <c r="R45" s="34">
        <f>SUM(R46:R368)</f>
        <v>13623.2</v>
      </c>
      <c r="S45" s="34">
        <f>SUM(S46:S368)</f>
        <v>14287.7</v>
      </c>
      <c r="T45" s="6">
        <f>IF(S45/R45&gt;1.2,IF((S45/R45-1.2)*0.1+1.2&gt;1.3,1.3,(S45/R45-1.2)*0.1+1.2),S45/R45)</f>
        <v>1.0487770861471608</v>
      </c>
      <c r="U45" s="16"/>
      <c r="V45" s="34">
        <f>SUM(V46:V368)</f>
        <v>5806.2000000000007</v>
      </c>
      <c r="W45" s="34">
        <f>SUM(W46:W368)</f>
        <v>6707.7000000000053</v>
      </c>
      <c r="X45" s="6">
        <f>IF(W45/V45&gt;1.2,IF((W45/V45-1.2)*0.1+1.2&gt;1.3,1.3,(W45/V45-1.2)*0.1+1.2),W45/V45)</f>
        <v>1.1552650614859985</v>
      </c>
      <c r="Y45" s="16"/>
      <c r="Z45" s="8"/>
      <c r="AA45" s="20">
        <f>SUM(AA46:AA368)</f>
        <v>350109</v>
      </c>
      <c r="AB45" s="34">
        <f t="shared" ref="AB45:AJ45" si="16">SUM(AB46:AB368)</f>
        <v>31828.09090909089</v>
      </c>
      <c r="AC45" s="34">
        <f t="shared" si="16"/>
        <v>31173.30000000001</v>
      </c>
      <c r="AD45" s="34">
        <f t="shared" si="16"/>
        <v>-654.79090909090894</v>
      </c>
      <c r="AE45" s="34">
        <f t="shared" si="16"/>
        <v>-384.79999999999995</v>
      </c>
      <c r="AF45" s="34">
        <f t="shared" si="16"/>
        <v>30788.500000000007</v>
      </c>
      <c r="AG45" s="34">
        <f>SUM(AG46:AG368)</f>
        <v>2731.2999999999997</v>
      </c>
      <c r="AH45" s="34">
        <f t="shared" si="16"/>
        <v>28057.199999999997</v>
      </c>
      <c r="AI45" s="34">
        <f>SUM(AI46:AI368)</f>
        <v>28057.199999999997</v>
      </c>
      <c r="AJ45" s="34">
        <f t="shared" si="16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186" s="2" customFormat="1" ht="17" customHeight="1">
      <c r="A46" s="18" t="s">
        <v>45</v>
      </c>
      <c r="B46" s="6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5"/>
      <c r="AF46" s="35"/>
      <c r="AG46" s="35"/>
      <c r="AH46" s="35"/>
      <c r="AI46" s="35"/>
      <c r="AJ46" s="35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186" s="2" customFormat="1" ht="17" customHeight="1">
      <c r="A47" s="14" t="s">
        <v>46</v>
      </c>
      <c r="B47" s="35">
        <v>65</v>
      </c>
      <c r="C47" s="35">
        <v>75</v>
      </c>
      <c r="D47" s="4">
        <f t="shared" ref="D47:D110" si="17">IF(E47=0,0,IF(B47=0,1,IF(C47&lt;0,0,IF(C47/B47&gt;1.2,IF((C47/B47-1.2)*0.1+1.2&gt;1.3,1.3,(C47/B47-1.2)*0.1+1.2),C47/B47))))</f>
        <v>1.1538461538461537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178.6</v>
      </c>
      <c r="O47" s="35">
        <v>304</v>
      </c>
      <c r="P47" s="4">
        <f t="shared" ref="P47:P110" si="18">IF(Q47=0,0,IF(N47=0,1,IF(O47&lt;0,0,IF(O47/N47&gt;1.2,IF((O47/N47-1.2)*0.1+1.2&gt;1.3,1.3,(O47/N47-1.2)*0.1+1.2),O47/N47))))</f>
        <v>1.2502127659574467</v>
      </c>
      <c r="Q47" s="11">
        <v>20</v>
      </c>
      <c r="R47" s="35">
        <v>22</v>
      </c>
      <c r="S47" s="35">
        <v>29.9</v>
      </c>
      <c r="T47" s="4">
        <f t="shared" ref="T47:T110" si="19">IF(U47=0,0,IF(R47=0,1,IF(S47&lt;0,0,IF(S47/R47&gt;1.2,IF((S47/R47-1.2)*0.1+1.2&gt;1.3,1.3,(S47/R47-1.2)*0.1+1.2),S47/R47))))</f>
        <v>1.2159090909090908</v>
      </c>
      <c r="U47" s="11">
        <v>30</v>
      </c>
      <c r="V47" s="35">
        <v>3</v>
      </c>
      <c r="W47" s="35">
        <v>3.4</v>
      </c>
      <c r="X47" s="4">
        <f t="shared" ref="X47:X110" si="20">IF(Y47=0,0,IF(V47=0,1,IF(W47&lt;0,0,IF(W47/V47&gt;1.2,IF((W47/V47-1.2)*0.1+1.2&gt;1.3,1.3,(W47/V47-1.2)*0.1+1.2),W47/V47))))</f>
        <v>1.1333333333333333</v>
      </c>
      <c r="Y47" s="11">
        <v>20</v>
      </c>
      <c r="Z47" s="44">
        <f>(D47*E47+P47*Q47+T47*U47+X47*Y47)/(E47+Q47+U47+Y47)</f>
        <v>1.1960832031443733</v>
      </c>
      <c r="AA47" s="45">
        <v>1010</v>
      </c>
      <c r="AB47" s="35">
        <f t="shared" ref="AB47:AB110" si="21">AA47/11</f>
        <v>91.818181818181813</v>
      </c>
      <c r="AC47" s="35">
        <f t="shared" ref="AC47:AC110" si="22">ROUND(Z47*AB47,1)</f>
        <v>109.8</v>
      </c>
      <c r="AD47" s="35">
        <f t="shared" ref="AD47:AD110" si="23">AC47-AB47</f>
        <v>17.981818181818184</v>
      </c>
      <c r="AE47" s="35">
        <v>1.5</v>
      </c>
      <c r="AF47" s="35">
        <f t="shared" ref="AF47:AF110" si="24">AC47+AE47</f>
        <v>111.3</v>
      </c>
      <c r="AG47" s="35">
        <f>MIN(AF47,18.2)</f>
        <v>18.2</v>
      </c>
      <c r="AH47" s="35">
        <f t="shared" ref="AH47:AH110" si="25">AF47-AG47</f>
        <v>93.1</v>
      </c>
      <c r="AI47" s="35">
        <v>93.1</v>
      </c>
      <c r="AJ47" s="35">
        <f t="shared" ref="AJ47:AJ110" si="26">ROUND(AH47-AI47,1)</f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0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0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10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10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10"/>
      <c r="GC47" s="9"/>
      <c r="GD47" s="9"/>
    </row>
    <row r="48" spans="1:186" s="2" customFormat="1" ht="17" customHeight="1">
      <c r="A48" s="14" t="s">
        <v>47</v>
      </c>
      <c r="B48" s="35">
        <v>4548</v>
      </c>
      <c r="C48" s="35">
        <v>5360.8</v>
      </c>
      <c r="D48" s="4">
        <f t="shared" si="17"/>
        <v>1.1787159190853123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730.6</v>
      </c>
      <c r="O48" s="35">
        <v>971.8</v>
      </c>
      <c r="P48" s="4">
        <f t="shared" si="18"/>
        <v>1.2130139611278401</v>
      </c>
      <c r="Q48" s="11">
        <v>20</v>
      </c>
      <c r="R48" s="35">
        <v>37</v>
      </c>
      <c r="S48" s="35">
        <v>44.1</v>
      </c>
      <c r="T48" s="4">
        <f t="shared" si="19"/>
        <v>1.1918918918918919</v>
      </c>
      <c r="U48" s="11">
        <v>25</v>
      </c>
      <c r="V48" s="35">
        <v>7</v>
      </c>
      <c r="W48" s="35">
        <v>7.1</v>
      </c>
      <c r="X48" s="4">
        <f t="shared" si="20"/>
        <v>1.0142857142857142</v>
      </c>
      <c r="Y48" s="11">
        <v>25</v>
      </c>
      <c r="Z48" s="44">
        <f t="shared" ref="Z48:Z111" si="27">(D48*E48+P48*Q48+T48*U48+X48*Y48)/(E48+Q48+U48+Y48)</f>
        <v>1.1400234820981261</v>
      </c>
      <c r="AA48" s="45">
        <v>1886</v>
      </c>
      <c r="AB48" s="35">
        <f t="shared" si="21"/>
        <v>171.45454545454547</v>
      </c>
      <c r="AC48" s="35">
        <f t="shared" si="22"/>
        <v>195.5</v>
      </c>
      <c r="AD48" s="35">
        <f t="shared" si="23"/>
        <v>24.045454545454533</v>
      </c>
      <c r="AE48" s="35">
        <v>-2.5</v>
      </c>
      <c r="AF48" s="35">
        <f t="shared" si="24"/>
        <v>193</v>
      </c>
      <c r="AG48" s="35"/>
      <c r="AH48" s="35">
        <f t="shared" si="25"/>
        <v>193</v>
      </c>
      <c r="AI48" s="35">
        <v>193</v>
      </c>
      <c r="AJ48" s="35">
        <f t="shared" si="26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0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10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10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10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10"/>
      <c r="GC48" s="9"/>
      <c r="GD48" s="9"/>
    </row>
    <row r="49" spans="1:186" s="2" customFormat="1" ht="17" customHeight="1">
      <c r="A49" s="14" t="s">
        <v>48</v>
      </c>
      <c r="B49" s="35">
        <v>600</v>
      </c>
      <c r="C49" s="35">
        <v>600.20000000000005</v>
      </c>
      <c r="D49" s="4">
        <f t="shared" si="17"/>
        <v>1.0003333333333335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100.4</v>
      </c>
      <c r="O49" s="35">
        <v>254.6</v>
      </c>
      <c r="P49" s="4">
        <f t="shared" si="18"/>
        <v>1.3</v>
      </c>
      <c r="Q49" s="11">
        <v>20</v>
      </c>
      <c r="R49" s="35">
        <v>19</v>
      </c>
      <c r="S49" s="35">
        <v>19</v>
      </c>
      <c r="T49" s="4">
        <f t="shared" si="19"/>
        <v>1</v>
      </c>
      <c r="U49" s="11">
        <v>30</v>
      </c>
      <c r="V49" s="35">
        <v>3</v>
      </c>
      <c r="W49" s="35">
        <v>3.2</v>
      </c>
      <c r="X49" s="4">
        <f t="shared" si="20"/>
        <v>1.0666666666666667</v>
      </c>
      <c r="Y49" s="11">
        <v>20</v>
      </c>
      <c r="Z49" s="44">
        <f t="shared" si="27"/>
        <v>1.0917083333333333</v>
      </c>
      <c r="AA49" s="45">
        <v>1402</v>
      </c>
      <c r="AB49" s="35">
        <f t="shared" si="21"/>
        <v>127.45454545454545</v>
      </c>
      <c r="AC49" s="35">
        <f t="shared" si="22"/>
        <v>139.1</v>
      </c>
      <c r="AD49" s="35">
        <f t="shared" si="23"/>
        <v>11.645454545454541</v>
      </c>
      <c r="AE49" s="35">
        <v>2.7</v>
      </c>
      <c r="AF49" s="35">
        <f t="shared" si="24"/>
        <v>141.79999999999998</v>
      </c>
      <c r="AG49" s="35"/>
      <c r="AH49" s="35">
        <f t="shared" si="25"/>
        <v>141.79999999999998</v>
      </c>
      <c r="AI49" s="35">
        <v>141.79999999999998</v>
      </c>
      <c r="AJ49" s="35">
        <f t="shared" si="26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10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10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10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10"/>
      <c r="GC49" s="9"/>
      <c r="GD49" s="9"/>
    </row>
    <row r="50" spans="1:186" s="2" customFormat="1" ht="17" customHeight="1">
      <c r="A50" s="14" t="s">
        <v>49</v>
      </c>
      <c r="B50" s="35">
        <v>0</v>
      </c>
      <c r="C50" s="35">
        <v>0</v>
      </c>
      <c r="D50" s="4">
        <f t="shared" si="17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66.400000000000006</v>
      </c>
      <c r="O50" s="35">
        <v>32.200000000000003</v>
      </c>
      <c r="P50" s="4">
        <f t="shared" si="18"/>
        <v>0.48493975903614456</v>
      </c>
      <c r="Q50" s="11">
        <v>20</v>
      </c>
      <c r="R50" s="35">
        <v>18</v>
      </c>
      <c r="S50" s="35">
        <v>18.899999999999999</v>
      </c>
      <c r="T50" s="4">
        <f t="shared" si="19"/>
        <v>1.0499999999999998</v>
      </c>
      <c r="U50" s="11">
        <v>25</v>
      </c>
      <c r="V50" s="35">
        <v>4</v>
      </c>
      <c r="W50" s="35">
        <v>4.2</v>
      </c>
      <c r="X50" s="4">
        <f t="shared" si="20"/>
        <v>1.05</v>
      </c>
      <c r="Y50" s="11">
        <v>25</v>
      </c>
      <c r="Z50" s="44">
        <f t="shared" si="27"/>
        <v>0.88855421686746983</v>
      </c>
      <c r="AA50" s="45">
        <v>826</v>
      </c>
      <c r="AB50" s="35">
        <f t="shared" si="21"/>
        <v>75.090909090909093</v>
      </c>
      <c r="AC50" s="35">
        <f t="shared" si="22"/>
        <v>66.7</v>
      </c>
      <c r="AD50" s="35">
        <f t="shared" si="23"/>
        <v>-8.3909090909090907</v>
      </c>
      <c r="AE50" s="35">
        <v>0.6</v>
      </c>
      <c r="AF50" s="35">
        <f t="shared" si="24"/>
        <v>67.3</v>
      </c>
      <c r="AG50" s="35"/>
      <c r="AH50" s="35">
        <f t="shared" si="25"/>
        <v>67.3</v>
      </c>
      <c r="AI50" s="35">
        <v>67.3</v>
      </c>
      <c r="AJ50" s="35">
        <f t="shared" si="26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0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10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10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10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10"/>
      <c r="GC50" s="9"/>
      <c r="GD50" s="9"/>
    </row>
    <row r="51" spans="1:186" s="2" customFormat="1" ht="17" customHeight="1">
      <c r="A51" s="14" t="s">
        <v>50</v>
      </c>
      <c r="B51" s="35">
        <v>165</v>
      </c>
      <c r="C51" s="35">
        <v>171</v>
      </c>
      <c r="D51" s="4">
        <f t="shared" si="17"/>
        <v>1.0363636363636364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71.599999999999994</v>
      </c>
      <c r="O51" s="35">
        <v>81.099999999999994</v>
      </c>
      <c r="P51" s="4">
        <f t="shared" si="18"/>
        <v>1.1326815642458101</v>
      </c>
      <c r="Q51" s="11">
        <v>20</v>
      </c>
      <c r="R51" s="35">
        <v>28</v>
      </c>
      <c r="S51" s="35">
        <v>32.200000000000003</v>
      </c>
      <c r="T51" s="4">
        <f t="shared" si="19"/>
        <v>1.1500000000000001</v>
      </c>
      <c r="U51" s="11">
        <v>30</v>
      </c>
      <c r="V51" s="35">
        <v>3</v>
      </c>
      <c r="W51" s="35">
        <v>3.2</v>
      </c>
      <c r="X51" s="4">
        <f t="shared" si="20"/>
        <v>1.0666666666666667</v>
      </c>
      <c r="Y51" s="11">
        <v>20</v>
      </c>
      <c r="Z51" s="44">
        <f t="shared" si="27"/>
        <v>1.1106325122735738</v>
      </c>
      <c r="AA51" s="45">
        <v>1803</v>
      </c>
      <c r="AB51" s="35">
        <f t="shared" si="21"/>
        <v>163.90909090909091</v>
      </c>
      <c r="AC51" s="35">
        <f t="shared" si="22"/>
        <v>182</v>
      </c>
      <c r="AD51" s="35">
        <f t="shared" si="23"/>
        <v>18.090909090909093</v>
      </c>
      <c r="AE51" s="35">
        <v>-0.8</v>
      </c>
      <c r="AF51" s="35">
        <f t="shared" si="24"/>
        <v>181.2</v>
      </c>
      <c r="AG51" s="35"/>
      <c r="AH51" s="35">
        <f t="shared" si="25"/>
        <v>181.2</v>
      </c>
      <c r="AI51" s="35">
        <v>181.2</v>
      </c>
      <c r="AJ51" s="35">
        <f t="shared" si="26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0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10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10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10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10"/>
      <c r="GC51" s="9"/>
      <c r="GD51" s="9"/>
    </row>
    <row r="52" spans="1:186" s="2" customFormat="1" ht="17" customHeight="1">
      <c r="A52" s="18" t="s">
        <v>51</v>
      </c>
      <c r="B52" s="6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  <c r="AF52" s="35"/>
      <c r="AG52" s="35"/>
      <c r="AH52" s="35"/>
      <c r="AI52" s="35"/>
      <c r="AJ52" s="35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10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10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0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10"/>
      <c r="GC52" s="9"/>
      <c r="GD52" s="9"/>
    </row>
    <row r="53" spans="1:186" s="2" customFormat="1" ht="17" customHeight="1">
      <c r="A53" s="14" t="s">
        <v>52</v>
      </c>
      <c r="B53" s="35">
        <v>970750</v>
      </c>
      <c r="C53" s="35">
        <v>809417.2</v>
      </c>
      <c r="D53" s="4">
        <f t="shared" si="17"/>
        <v>0.83380602626834921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2978</v>
      </c>
      <c r="O53" s="35">
        <v>3485</v>
      </c>
      <c r="P53" s="4">
        <f t="shared" si="18"/>
        <v>1.1702484889187375</v>
      </c>
      <c r="Q53" s="11">
        <v>20</v>
      </c>
      <c r="R53" s="35">
        <v>1</v>
      </c>
      <c r="S53" s="35">
        <v>1.1000000000000001</v>
      </c>
      <c r="T53" s="4">
        <f t="shared" si="19"/>
        <v>1.1000000000000001</v>
      </c>
      <c r="U53" s="11">
        <v>25</v>
      </c>
      <c r="V53" s="35">
        <v>6.7</v>
      </c>
      <c r="W53" s="35">
        <v>6.8</v>
      </c>
      <c r="X53" s="4">
        <f t="shared" si="20"/>
        <v>1.0149253731343284</v>
      </c>
      <c r="Y53" s="11">
        <v>25</v>
      </c>
      <c r="Z53" s="44">
        <f t="shared" si="27"/>
        <v>1.0577020546177056</v>
      </c>
      <c r="AA53" s="45">
        <v>46</v>
      </c>
      <c r="AB53" s="35">
        <f t="shared" si="21"/>
        <v>4.1818181818181817</v>
      </c>
      <c r="AC53" s="35">
        <f t="shared" si="22"/>
        <v>4.4000000000000004</v>
      </c>
      <c r="AD53" s="35">
        <f t="shared" si="23"/>
        <v>0.2181818181818187</v>
      </c>
      <c r="AE53" s="35">
        <v>0</v>
      </c>
      <c r="AF53" s="35">
        <f t="shared" si="24"/>
        <v>4.4000000000000004</v>
      </c>
      <c r="AG53" s="35">
        <f>MIN(AF53,2.1)</f>
        <v>2.1</v>
      </c>
      <c r="AH53" s="35">
        <f t="shared" si="25"/>
        <v>2.3000000000000003</v>
      </c>
      <c r="AI53" s="35">
        <v>2.3000000000000003</v>
      </c>
      <c r="AJ53" s="35">
        <f t="shared" si="26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10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10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0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10"/>
      <c r="GC53" s="9"/>
      <c r="GD53" s="9"/>
    </row>
    <row r="54" spans="1:186" s="2" customFormat="1" ht="17" customHeight="1">
      <c r="A54" s="14" t="s">
        <v>53</v>
      </c>
      <c r="B54" s="35">
        <v>20</v>
      </c>
      <c r="C54" s="35">
        <v>30</v>
      </c>
      <c r="D54" s="4">
        <f t="shared" si="17"/>
        <v>1.23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68.099999999999994</v>
      </c>
      <c r="O54" s="35">
        <v>39.4</v>
      </c>
      <c r="P54" s="4">
        <f t="shared" si="18"/>
        <v>0.57856093979442003</v>
      </c>
      <c r="Q54" s="11">
        <v>20</v>
      </c>
      <c r="R54" s="35">
        <v>0</v>
      </c>
      <c r="S54" s="35">
        <v>0</v>
      </c>
      <c r="T54" s="4">
        <f t="shared" si="19"/>
        <v>1</v>
      </c>
      <c r="U54" s="11">
        <v>20</v>
      </c>
      <c r="V54" s="35">
        <v>6.5</v>
      </c>
      <c r="W54" s="35">
        <v>6.6</v>
      </c>
      <c r="X54" s="4">
        <f t="shared" si="20"/>
        <v>1.0153846153846153</v>
      </c>
      <c r="Y54" s="11">
        <v>30</v>
      </c>
      <c r="Z54" s="44">
        <f t="shared" si="27"/>
        <v>0.92915946571783581</v>
      </c>
      <c r="AA54" s="45">
        <v>485</v>
      </c>
      <c r="AB54" s="35">
        <f t="shared" si="21"/>
        <v>44.090909090909093</v>
      </c>
      <c r="AC54" s="35">
        <f t="shared" si="22"/>
        <v>41</v>
      </c>
      <c r="AD54" s="35">
        <f t="shared" si="23"/>
        <v>-3.0909090909090935</v>
      </c>
      <c r="AE54" s="35">
        <v>-2.2999999999999998</v>
      </c>
      <c r="AF54" s="35">
        <f t="shared" si="24"/>
        <v>38.700000000000003</v>
      </c>
      <c r="AG54" s="35"/>
      <c r="AH54" s="35">
        <f t="shared" si="25"/>
        <v>38.700000000000003</v>
      </c>
      <c r="AI54" s="35">
        <v>38.700000000000003</v>
      </c>
      <c r="AJ54" s="35">
        <f t="shared" si="26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10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0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10"/>
      <c r="GC54" s="9"/>
      <c r="GD54" s="9"/>
    </row>
    <row r="55" spans="1:186" s="2" customFormat="1" ht="17" customHeight="1">
      <c r="A55" s="14" t="s">
        <v>54</v>
      </c>
      <c r="B55" s="35">
        <v>0</v>
      </c>
      <c r="C55" s="35">
        <v>0</v>
      </c>
      <c r="D55" s="4">
        <f t="shared" si="17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66.3</v>
      </c>
      <c r="O55" s="35">
        <v>317.2</v>
      </c>
      <c r="P55" s="4">
        <f t="shared" si="18"/>
        <v>1.3</v>
      </c>
      <c r="Q55" s="11">
        <v>20</v>
      </c>
      <c r="R55" s="35">
        <v>0</v>
      </c>
      <c r="S55" s="35">
        <v>0</v>
      </c>
      <c r="T55" s="4">
        <f t="shared" si="19"/>
        <v>1</v>
      </c>
      <c r="U55" s="11">
        <v>30</v>
      </c>
      <c r="V55" s="35">
        <v>2.8</v>
      </c>
      <c r="W55" s="35">
        <v>2.9</v>
      </c>
      <c r="X55" s="4">
        <f t="shared" si="20"/>
        <v>1.0357142857142858</v>
      </c>
      <c r="Y55" s="11">
        <v>20</v>
      </c>
      <c r="Z55" s="44">
        <f t="shared" si="27"/>
        <v>1.0959183673469388</v>
      </c>
      <c r="AA55" s="45">
        <v>521</v>
      </c>
      <c r="AB55" s="35">
        <f t="shared" si="21"/>
        <v>47.363636363636367</v>
      </c>
      <c r="AC55" s="35">
        <f t="shared" si="22"/>
        <v>51.9</v>
      </c>
      <c r="AD55" s="35">
        <f t="shared" si="23"/>
        <v>4.5363636363636317</v>
      </c>
      <c r="AE55" s="35">
        <v>-2.4</v>
      </c>
      <c r="AF55" s="35">
        <f t="shared" si="24"/>
        <v>49.5</v>
      </c>
      <c r="AG55" s="35"/>
      <c r="AH55" s="35">
        <f t="shared" si="25"/>
        <v>49.5</v>
      </c>
      <c r="AI55" s="35">
        <v>49.5</v>
      </c>
      <c r="AJ55" s="35">
        <f t="shared" si="26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0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10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10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0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10"/>
      <c r="GC55" s="9"/>
      <c r="GD55" s="9"/>
    </row>
    <row r="56" spans="1:186" s="2" customFormat="1" ht="17" customHeight="1">
      <c r="A56" s="14" t="s">
        <v>55</v>
      </c>
      <c r="B56" s="35">
        <v>0</v>
      </c>
      <c r="C56" s="35">
        <v>0</v>
      </c>
      <c r="D56" s="4">
        <f t="shared" si="17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92.3</v>
      </c>
      <c r="O56" s="35">
        <v>74.7</v>
      </c>
      <c r="P56" s="4">
        <f t="shared" si="18"/>
        <v>0.8093174431202601</v>
      </c>
      <c r="Q56" s="11">
        <v>20</v>
      </c>
      <c r="R56" s="35">
        <v>100</v>
      </c>
      <c r="S56" s="35">
        <v>100</v>
      </c>
      <c r="T56" s="4">
        <f t="shared" si="19"/>
        <v>1</v>
      </c>
      <c r="U56" s="11">
        <v>25</v>
      </c>
      <c r="V56" s="35">
        <v>7.1</v>
      </c>
      <c r="W56" s="35">
        <v>7.3</v>
      </c>
      <c r="X56" s="4">
        <f t="shared" si="20"/>
        <v>1.028169014084507</v>
      </c>
      <c r="Y56" s="11">
        <v>25</v>
      </c>
      <c r="Z56" s="44">
        <f t="shared" si="27"/>
        <v>0.95557963163596982</v>
      </c>
      <c r="AA56" s="45">
        <v>1046</v>
      </c>
      <c r="AB56" s="35">
        <f t="shared" si="21"/>
        <v>95.090909090909093</v>
      </c>
      <c r="AC56" s="35">
        <f t="shared" si="22"/>
        <v>90.9</v>
      </c>
      <c r="AD56" s="35">
        <f t="shared" si="23"/>
        <v>-4.1909090909090878</v>
      </c>
      <c r="AE56" s="35">
        <v>-4.7</v>
      </c>
      <c r="AF56" s="35">
        <f t="shared" si="24"/>
        <v>86.2</v>
      </c>
      <c r="AG56" s="35"/>
      <c r="AH56" s="35">
        <f t="shared" si="25"/>
        <v>86.2</v>
      </c>
      <c r="AI56" s="35">
        <v>86.2</v>
      </c>
      <c r="AJ56" s="35">
        <f t="shared" si="26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10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10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0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10"/>
      <c r="GC56" s="9"/>
      <c r="GD56" s="9"/>
    </row>
    <row r="57" spans="1:186" s="2" customFormat="1" ht="17" customHeight="1">
      <c r="A57" s="14" t="s">
        <v>56</v>
      </c>
      <c r="B57" s="35">
        <v>0</v>
      </c>
      <c r="C57" s="35">
        <v>0</v>
      </c>
      <c r="D57" s="4">
        <f t="shared" si="17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60.2</v>
      </c>
      <c r="O57" s="35">
        <v>60.1</v>
      </c>
      <c r="P57" s="4">
        <f t="shared" si="18"/>
        <v>0.99833887043189362</v>
      </c>
      <c r="Q57" s="11">
        <v>20</v>
      </c>
      <c r="R57" s="35">
        <v>300</v>
      </c>
      <c r="S57" s="35">
        <v>321.39999999999998</v>
      </c>
      <c r="T57" s="4">
        <f t="shared" si="19"/>
        <v>1.0713333333333332</v>
      </c>
      <c r="U57" s="11">
        <v>30</v>
      </c>
      <c r="V57" s="35">
        <v>10</v>
      </c>
      <c r="W57" s="35">
        <v>10.3</v>
      </c>
      <c r="X57" s="4">
        <f t="shared" si="20"/>
        <v>1.03</v>
      </c>
      <c r="Y57" s="11">
        <v>20</v>
      </c>
      <c r="Z57" s="44">
        <f t="shared" si="27"/>
        <v>1.0386682486948269</v>
      </c>
      <c r="AA57" s="45">
        <v>1073</v>
      </c>
      <c r="AB57" s="35">
        <f t="shared" si="21"/>
        <v>97.545454545454547</v>
      </c>
      <c r="AC57" s="35">
        <f t="shared" si="22"/>
        <v>101.3</v>
      </c>
      <c r="AD57" s="35">
        <f t="shared" si="23"/>
        <v>3.7545454545454504</v>
      </c>
      <c r="AE57" s="35">
        <v>3.3</v>
      </c>
      <c r="AF57" s="35">
        <f t="shared" si="24"/>
        <v>104.6</v>
      </c>
      <c r="AG57" s="35"/>
      <c r="AH57" s="35">
        <f t="shared" si="25"/>
        <v>104.6</v>
      </c>
      <c r="AI57" s="35">
        <v>104.6</v>
      </c>
      <c r="AJ57" s="35">
        <f t="shared" si="26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10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10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0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10"/>
      <c r="GC57" s="9"/>
      <c r="GD57" s="9"/>
    </row>
    <row r="58" spans="1:186" s="2" customFormat="1" ht="17" customHeight="1">
      <c r="A58" s="14" t="s">
        <v>57</v>
      </c>
      <c r="B58" s="35">
        <v>0</v>
      </c>
      <c r="C58" s="35">
        <v>0</v>
      </c>
      <c r="D58" s="4">
        <f t="shared" si="17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28</v>
      </c>
      <c r="O58" s="35">
        <v>33.6</v>
      </c>
      <c r="P58" s="4">
        <f t="shared" si="18"/>
        <v>1.2</v>
      </c>
      <c r="Q58" s="11">
        <v>20</v>
      </c>
      <c r="R58" s="35">
        <v>15</v>
      </c>
      <c r="S58" s="35">
        <v>15.2</v>
      </c>
      <c r="T58" s="4">
        <f t="shared" si="19"/>
        <v>1.0133333333333332</v>
      </c>
      <c r="U58" s="11">
        <v>30</v>
      </c>
      <c r="V58" s="35">
        <v>1.8</v>
      </c>
      <c r="W58" s="35">
        <v>1.9</v>
      </c>
      <c r="X58" s="4">
        <f t="shared" si="20"/>
        <v>1.0555555555555556</v>
      </c>
      <c r="Y58" s="11">
        <v>20</v>
      </c>
      <c r="Z58" s="44">
        <f t="shared" si="27"/>
        <v>1.0787301587301588</v>
      </c>
      <c r="AA58" s="45">
        <v>1155</v>
      </c>
      <c r="AB58" s="35">
        <f t="shared" si="21"/>
        <v>105</v>
      </c>
      <c r="AC58" s="35">
        <f t="shared" si="22"/>
        <v>113.3</v>
      </c>
      <c r="AD58" s="35">
        <f t="shared" si="23"/>
        <v>8.2999999999999972</v>
      </c>
      <c r="AE58" s="35">
        <v>2.4</v>
      </c>
      <c r="AF58" s="35">
        <f t="shared" si="24"/>
        <v>115.7</v>
      </c>
      <c r="AG58" s="35">
        <f>MIN(AF58,52.5)</f>
        <v>52.5</v>
      </c>
      <c r="AH58" s="35">
        <f t="shared" si="25"/>
        <v>63.2</v>
      </c>
      <c r="AI58" s="35">
        <v>63.2</v>
      </c>
      <c r="AJ58" s="35">
        <f t="shared" si="26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10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10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0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10"/>
      <c r="GC58" s="9"/>
      <c r="GD58" s="9"/>
    </row>
    <row r="59" spans="1:186" s="2" customFormat="1" ht="17" customHeight="1">
      <c r="A59" s="14" t="s">
        <v>58</v>
      </c>
      <c r="B59" s="35">
        <v>0</v>
      </c>
      <c r="C59" s="35">
        <v>0</v>
      </c>
      <c r="D59" s="4">
        <f t="shared" si="17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119.5</v>
      </c>
      <c r="O59" s="35">
        <v>52.2</v>
      </c>
      <c r="P59" s="4">
        <f t="shared" si="18"/>
        <v>0.43682008368200836</v>
      </c>
      <c r="Q59" s="11">
        <v>20</v>
      </c>
      <c r="R59" s="35">
        <v>10</v>
      </c>
      <c r="S59" s="35">
        <v>10.3</v>
      </c>
      <c r="T59" s="4">
        <f t="shared" si="19"/>
        <v>1.03</v>
      </c>
      <c r="U59" s="11">
        <v>30</v>
      </c>
      <c r="V59" s="35">
        <v>3.6</v>
      </c>
      <c r="W59" s="35">
        <v>3.7</v>
      </c>
      <c r="X59" s="4">
        <f t="shared" si="20"/>
        <v>1.0277777777777779</v>
      </c>
      <c r="Y59" s="11">
        <v>20</v>
      </c>
      <c r="Z59" s="44">
        <f t="shared" si="27"/>
        <v>0.85988510327422463</v>
      </c>
      <c r="AA59" s="45">
        <v>1171</v>
      </c>
      <c r="AB59" s="35">
        <f t="shared" si="21"/>
        <v>106.45454545454545</v>
      </c>
      <c r="AC59" s="35">
        <f t="shared" si="22"/>
        <v>91.5</v>
      </c>
      <c r="AD59" s="35">
        <f t="shared" si="23"/>
        <v>-14.954545454545453</v>
      </c>
      <c r="AE59" s="35">
        <v>0</v>
      </c>
      <c r="AF59" s="35">
        <f t="shared" si="24"/>
        <v>91.5</v>
      </c>
      <c r="AG59" s="35"/>
      <c r="AH59" s="35">
        <f t="shared" si="25"/>
        <v>91.5</v>
      </c>
      <c r="AI59" s="35">
        <v>91.5</v>
      </c>
      <c r="AJ59" s="35">
        <f t="shared" si="26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10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10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0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10"/>
      <c r="GC59" s="9"/>
      <c r="GD59" s="9"/>
    </row>
    <row r="60" spans="1:186" s="2" customFormat="1" ht="17" customHeight="1">
      <c r="A60" s="14" t="s">
        <v>59</v>
      </c>
      <c r="B60" s="35">
        <v>8500</v>
      </c>
      <c r="C60" s="35">
        <v>9487.4</v>
      </c>
      <c r="D60" s="4">
        <f t="shared" si="17"/>
        <v>1.1161647058823529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937.4</v>
      </c>
      <c r="O60" s="35">
        <v>911.5</v>
      </c>
      <c r="P60" s="4">
        <f t="shared" si="18"/>
        <v>0.97237038617452531</v>
      </c>
      <c r="Q60" s="11">
        <v>20</v>
      </c>
      <c r="R60" s="35">
        <v>10</v>
      </c>
      <c r="S60" s="35">
        <v>10.4</v>
      </c>
      <c r="T60" s="4">
        <f t="shared" si="19"/>
        <v>1.04</v>
      </c>
      <c r="U60" s="11">
        <v>30</v>
      </c>
      <c r="V60" s="35">
        <v>3</v>
      </c>
      <c r="W60" s="35">
        <v>3.2</v>
      </c>
      <c r="X60" s="4">
        <f t="shared" si="20"/>
        <v>1.0666666666666667</v>
      </c>
      <c r="Y60" s="11">
        <v>20</v>
      </c>
      <c r="Z60" s="44">
        <f t="shared" si="27"/>
        <v>1.0392798514455921</v>
      </c>
      <c r="AA60" s="45">
        <v>145</v>
      </c>
      <c r="AB60" s="35">
        <f t="shared" si="21"/>
        <v>13.181818181818182</v>
      </c>
      <c r="AC60" s="35">
        <f t="shared" si="22"/>
        <v>13.7</v>
      </c>
      <c r="AD60" s="35">
        <f t="shared" si="23"/>
        <v>0.51818181818181763</v>
      </c>
      <c r="AE60" s="35">
        <v>0</v>
      </c>
      <c r="AF60" s="35">
        <f t="shared" si="24"/>
        <v>13.7</v>
      </c>
      <c r="AG60" s="35"/>
      <c r="AH60" s="35">
        <f t="shared" si="25"/>
        <v>13.7</v>
      </c>
      <c r="AI60" s="35">
        <v>13.7</v>
      </c>
      <c r="AJ60" s="35">
        <f t="shared" si="26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0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10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10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0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10"/>
      <c r="GC60" s="9"/>
      <c r="GD60" s="9"/>
    </row>
    <row r="61" spans="1:186" s="2" customFormat="1" ht="17" customHeight="1">
      <c r="A61" s="14" t="s">
        <v>60</v>
      </c>
      <c r="B61" s="35">
        <v>0</v>
      </c>
      <c r="C61" s="35">
        <v>0</v>
      </c>
      <c r="D61" s="4">
        <f t="shared" si="17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300</v>
      </c>
      <c r="O61" s="35">
        <v>155.19999999999999</v>
      </c>
      <c r="P61" s="4">
        <f t="shared" si="18"/>
        <v>0.51733333333333331</v>
      </c>
      <c r="Q61" s="11">
        <v>20</v>
      </c>
      <c r="R61" s="35">
        <v>125</v>
      </c>
      <c r="S61" s="35">
        <v>102.2</v>
      </c>
      <c r="T61" s="4">
        <f t="shared" si="19"/>
        <v>0.81759999999999999</v>
      </c>
      <c r="U61" s="11">
        <v>30</v>
      </c>
      <c r="V61" s="35">
        <v>6</v>
      </c>
      <c r="W61" s="35">
        <v>6.2</v>
      </c>
      <c r="X61" s="4">
        <f t="shared" si="20"/>
        <v>1.0333333333333334</v>
      </c>
      <c r="Y61" s="11">
        <v>20</v>
      </c>
      <c r="Z61" s="44">
        <f t="shared" si="27"/>
        <v>0.79344761904761896</v>
      </c>
      <c r="AA61" s="45">
        <v>641</v>
      </c>
      <c r="AB61" s="35">
        <f t="shared" si="21"/>
        <v>58.272727272727273</v>
      </c>
      <c r="AC61" s="35">
        <f t="shared" si="22"/>
        <v>46.2</v>
      </c>
      <c r="AD61" s="35">
        <f t="shared" si="23"/>
        <v>-12.072727272727271</v>
      </c>
      <c r="AE61" s="35">
        <v>-0.1</v>
      </c>
      <c r="AF61" s="35">
        <f t="shared" si="24"/>
        <v>46.1</v>
      </c>
      <c r="AG61" s="35"/>
      <c r="AH61" s="35">
        <f t="shared" si="25"/>
        <v>46.1</v>
      </c>
      <c r="AI61" s="35">
        <v>46.1</v>
      </c>
      <c r="AJ61" s="35">
        <f t="shared" si="26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0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10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10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0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10"/>
      <c r="GC61" s="9"/>
      <c r="GD61" s="9"/>
    </row>
    <row r="62" spans="1:186" s="2" customFormat="1" ht="17" customHeight="1">
      <c r="A62" s="14" t="s">
        <v>61</v>
      </c>
      <c r="B62" s="35">
        <v>0</v>
      </c>
      <c r="C62" s="35">
        <v>0</v>
      </c>
      <c r="D62" s="4">
        <f t="shared" si="17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140.30000000000001</v>
      </c>
      <c r="O62" s="35">
        <v>24.1</v>
      </c>
      <c r="P62" s="4">
        <f t="shared" si="18"/>
        <v>0.17177476835352815</v>
      </c>
      <c r="Q62" s="11">
        <v>20</v>
      </c>
      <c r="R62" s="35">
        <v>10</v>
      </c>
      <c r="S62" s="35">
        <v>10.3</v>
      </c>
      <c r="T62" s="4">
        <f t="shared" si="19"/>
        <v>1.03</v>
      </c>
      <c r="U62" s="11">
        <v>30</v>
      </c>
      <c r="V62" s="35">
        <v>4</v>
      </c>
      <c r="W62" s="35">
        <v>4.0999999999999996</v>
      </c>
      <c r="X62" s="4">
        <f t="shared" si="20"/>
        <v>1.0249999999999999</v>
      </c>
      <c r="Y62" s="11">
        <v>20</v>
      </c>
      <c r="Z62" s="44">
        <f t="shared" si="27"/>
        <v>0.81044369208838207</v>
      </c>
      <c r="AA62" s="45">
        <v>466</v>
      </c>
      <c r="AB62" s="35">
        <f t="shared" si="21"/>
        <v>42.363636363636367</v>
      </c>
      <c r="AC62" s="35">
        <f t="shared" si="22"/>
        <v>34.299999999999997</v>
      </c>
      <c r="AD62" s="35">
        <f t="shared" si="23"/>
        <v>-8.0636363636363697</v>
      </c>
      <c r="AE62" s="35">
        <v>-2.6</v>
      </c>
      <c r="AF62" s="35">
        <f t="shared" si="24"/>
        <v>31.699999999999996</v>
      </c>
      <c r="AG62" s="35">
        <f>MIN(AF62,0.1)</f>
        <v>0.1</v>
      </c>
      <c r="AH62" s="35">
        <f t="shared" si="25"/>
        <v>31.599999999999994</v>
      </c>
      <c r="AI62" s="35">
        <v>31.599999999999994</v>
      </c>
      <c r="AJ62" s="35">
        <f t="shared" si="26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0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10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10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10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10"/>
      <c r="GC62" s="9"/>
      <c r="GD62" s="9"/>
    </row>
    <row r="63" spans="1:186" s="2" customFormat="1" ht="17" customHeight="1">
      <c r="A63" s="14" t="s">
        <v>62</v>
      </c>
      <c r="B63" s="35">
        <v>0</v>
      </c>
      <c r="C63" s="35">
        <v>0</v>
      </c>
      <c r="D63" s="4">
        <f t="shared" si="17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84.4</v>
      </c>
      <c r="O63" s="35">
        <v>46.3</v>
      </c>
      <c r="P63" s="4">
        <f t="shared" si="18"/>
        <v>0.54857819905213268</v>
      </c>
      <c r="Q63" s="11">
        <v>20</v>
      </c>
      <c r="R63" s="35">
        <v>0</v>
      </c>
      <c r="S63" s="35">
        <v>0</v>
      </c>
      <c r="T63" s="4">
        <f t="shared" si="19"/>
        <v>1</v>
      </c>
      <c r="U63" s="11">
        <v>35</v>
      </c>
      <c r="V63" s="35">
        <v>1.5</v>
      </c>
      <c r="W63" s="35">
        <v>1.6</v>
      </c>
      <c r="X63" s="4">
        <f t="shared" si="20"/>
        <v>1.0666666666666667</v>
      </c>
      <c r="Y63" s="11">
        <v>15</v>
      </c>
      <c r="Z63" s="44">
        <f t="shared" si="27"/>
        <v>0.88530805687203784</v>
      </c>
      <c r="AA63" s="45">
        <v>775</v>
      </c>
      <c r="AB63" s="35">
        <f t="shared" si="21"/>
        <v>70.454545454545453</v>
      </c>
      <c r="AC63" s="35">
        <f t="shared" si="22"/>
        <v>62.4</v>
      </c>
      <c r="AD63" s="35">
        <f t="shared" si="23"/>
        <v>-8.0545454545454547</v>
      </c>
      <c r="AE63" s="35">
        <v>-0.7</v>
      </c>
      <c r="AF63" s="35">
        <f t="shared" si="24"/>
        <v>61.699999999999996</v>
      </c>
      <c r="AG63" s="35"/>
      <c r="AH63" s="35">
        <f t="shared" si="25"/>
        <v>61.699999999999996</v>
      </c>
      <c r="AI63" s="35">
        <v>61.699999999999996</v>
      </c>
      <c r="AJ63" s="35">
        <f t="shared" si="26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0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10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10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10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10"/>
      <c r="GC63" s="9"/>
      <c r="GD63" s="9"/>
    </row>
    <row r="64" spans="1:186" s="2" customFormat="1" ht="17" customHeight="1">
      <c r="A64" s="14" t="s">
        <v>63</v>
      </c>
      <c r="B64" s="35">
        <v>500</v>
      </c>
      <c r="C64" s="35">
        <v>0</v>
      </c>
      <c r="D64" s="4">
        <f t="shared" si="17"/>
        <v>0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157.5</v>
      </c>
      <c r="O64" s="35">
        <v>46.7</v>
      </c>
      <c r="P64" s="4">
        <f t="shared" si="18"/>
        <v>0.29650793650793655</v>
      </c>
      <c r="Q64" s="11">
        <v>20</v>
      </c>
      <c r="R64" s="35">
        <v>12</v>
      </c>
      <c r="S64" s="35">
        <v>12.5</v>
      </c>
      <c r="T64" s="4">
        <f t="shared" si="19"/>
        <v>1.0416666666666667</v>
      </c>
      <c r="U64" s="11">
        <v>25</v>
      </c>
      <c r="V64" s="35">
        <v>9</v>
      </c>
      <c r="W64" s="35">
        <v>9.1999999999999993</v>
      </c>
      <c r="X64" s="4">
        <f t="shared" si="20"/>
        <v>1.0222222222222221</v>
      </c>
      <c r="Y64" s="11">
        <v>25</v>
      </c>
      <c r="Z64" s="44">
        <f t="shared" si="27"/>
        <v>0.71909226190476194</v>
      </c>
      <c r="AA64" s="45">
        <v>847</v>
      </c>
      <c r="AB64" s="35">
        <f t="shared" si="21"/>
        <v>77</v>
      </c>
      <c r="AC64" s="35">
        <f t="shared" si="22"/>
        <v>55.4</v>
      </c>
      <c r="AD64" s="35">
        <f t="shared" si="23"/>
        <v>-21.6</v>
      </c>
      <c r="AE64" s="35">
        <v>1.3</v>
      </c>
      <c r="AF64" s="35">
        <f t="shared" si="24"/>
        <v>56.699999999999996</v>
      </c>
      <c r="AG64" s="35">
        <f>MIN(AF64,38.5)</f>
        <v>38.5</v>
      </c>
      <c r="AH64" s="35">
        <f t="shared" si="25"/>
        <v>18.199999999999996</v>
      </c>
      <c r="AI64" s="35">
        <v>18.199999999999996</v>
      </c>
      <c r="AJ64" s="35">
        <f t="shared" si="26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10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10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10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10"/>
      <c r="GC64" s="9"/>
      <c r="GD64" s="9"/>
    </row>
    <row r="65" spans="1:186" s="2" customFormat="1" ht="17" customHeight="1">
      <c r="A65" s="18" t="s">
        <v>64</v>
      </c>
      <c r="B65" s="6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  <c r="AF65" s="35"/>
      <c r="AG65" s="35"/>
      <c r="AH65" s="35"/>
      <c r="AI65" s="35"/>
      <c r="AJ65" s="35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0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10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10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10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10"/>
      <c r="GC65" s="9"/>
      <c r="GD65" s="9"/>
    </row>
    <row r="66" spans="1:186" s="2" customFormat="1" ht="17" customHeight="1">
      <c r="A66" s="14" t="s">
        <v>65</v>
      </c>
      <c r="B66" s="35">
        <v>0</v>
      </c>
      <c r="C66" s="35">
        <v>0</v>
      </c>
      <c r="D66" s="4">
        <f t="shared" si="17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133</v>
      </c>
      <c r="O66" s="35">
        <v>522.70000000000005</v>
      </c>
      <c r="P66" s="4">
        <f t="shared" si="18"/>
        <v>1.3</v>
      </c>
      <c r="Q66" s="11">
        <v>20</v>
      </c>
      <c r="R66" s="35">
        <v>882.9</v>
      </c>
      <c r="S66" s="35">
        <v>903.5</v>
      </c>
      <c r="T66" s="4">
        <f t="shared" si="19"/>
        <v>1.0233322007022314</v>
      </c>
      <c r="U66" s="11">
        <v>30</v>
      </c>
      <c r="V66" s="35">
        <v>2.7</v>
      </c>
      <c r="W66" s="35">
        <v>2.7</v>
      </c>
      <c r="X66" s="4">
        <f t="shared" si="20"/>
        <v>1</v>
      </c>
      <c r="Y66" s="11">
        <v>20</v>
      </c>
      <c r="Z66" s="44">
        <f t="shared" si="27"/>
        <v>1.0837495752633368</v>
      </c>
      <c r="AA66" s="45">
        <v>2206</v>
      </c>
      <c r="AB66" s="35">
        <f t="shared" si="21"/>
        <v>200.54545454545453</v>
      </c>
      <c r="AC66" s="35">
        <f t="shared" si="22"/>
        <v>217.3</v>
      </c>
      <c r="AD66" s="35">
        <f t="shared" si="23"/>
        <v>16.754545454545479</v>
      </c>
      <c r="AE66" s="35">
        <v>8.1999999999999993</v>
      </c>
      <c r="AF66" s="35">
        <f t="shared" si="24"/>
        <v>225.5</v>
      </c>
      <c r="AG66" s="35"/>
      <c r="AH66" s="35">
        <f t="shared" si="25"/>
        <v>225.5</v>
      </c>
      <c r="AI66" s="35">
        <v>225.5</v>
      </c>
      <c r="AJ66" s="35">
        <f t="shared" si="26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10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10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10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10"/>
      <c r="GC66" s="9"/>
      <c r="GD66" s="9"/>
    </row>
    <row r="67" spans="1:186" s="2" customFormat="1" ht="17" customHeight="1">
      <c r="A67" s="14" t="s">
        <v>66</v>
      </c>
      <c r="B67" s="35">
        <v>15149</v>
      </c>
      <c r="C67" s="35">
        <v>10116.1</v>
      </c>
      <c r="D67" s="4">
        <f t="shared" si="17"/>
        <v>0.66777345039276526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1073.9000000000001</v>
      </c>
      <c r="O67" s="35">
        <v>1078.7</v>
      </c>
      <c r="P67" s="4">
        <f t="shared" si="18"/>
        <v>1.0044696899152621</v>
      </c>
      <c r="Q67" s="11">
        <v>20</v>
      </c>
      <c r="R67" s="35">
        <v>4.8</v>
      </c>
      <c r="S67" s="35">
        <v>5.2</v>
      </c>
      <c r="T67" s="4">
        <f t="shared" si="19"/>
        <v>1.0833333333333335</v>
      </c>
      <c r="U67" s="11">
        <v>5</v>
      </c>
      <c r="V67" s="35">
        <v>256</v>
      </c>
      <c r="W67" s="35">
        <v>133.4</v>
      </c>
      <c r="X67" s="4">
        <f t="shared" si="20"/>
        <v>0.52109375000000002</v>
      </c>
      <c r="Y67" s="11">
        <v>45</v>
      </c>
      <c r="Z67" s="44">
        <f t="shared" si="27"/>
        <v>0.69541267148624453</v>
      </c>
      <c r="AA67" s="45">
        <v>2564</v>
      </c>
      <c r="AB67" s="35">
        <f t="shared" si="21"/>
        <v>233.09090909090909</v>
      </c>
      <c r="AC67" s="35">
        <f t="shared" si="22"/>
        <v>162.1</v>
      </c>
      <c r="AD67" s="35">
        <f t="shared" si="23"/>
        <v>-70.990909090909099</v>
      </c>
      <c r="AE67" s="35">
        <v>0.7</v>
      </c>
      <c r="AF67" s="35">
        <f t="shared" si="24"/>
        <v>162.79999999999998</v>
      </c>
      <c r="AG67" s="35">
        <f>MIN(AF67,116.5)</f>
        <v>116.5</v>
      </c>
      <c r="AH67" s="35">
        <f t="shared" si="25"/>
        <v>46.299999999999983</v>
      </c>
      <c r="AI67" s="35">
        <v>46.299999999999983</v>
      </c>
      <c r="AJ67" s="35">
        <f t="shared" si="26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10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10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10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10"/>
      <c r="GC67" s="9"/>
      <c r="GD67" s="9"/>
    </row>
    <row r="68" spans="1:186" s="2" customFormat="1" ht="17" customHeight="1">
      <c r="A68" s="14" t="s">
        <v>67</v>
      </c>
      <c r="B68" s="35">
        <v>130</v>
      </c>
      <c r="C68" s="35">
        <v>992.4</v>
      </c>
      <c r="D68" s="4">
        <f t="shared" si="17"/>
        <v>1.3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50.9</v>
      </c>
      <c r="O68" s="35">
        <v>121.7</v>
      </c>
      <c r="P68" s="4">
        <f t="shared" si="18"/>
        <v>1.3</v>
      </c>
      <c r="Q68" s="11">
        <v>20</v>
      </c>
      <c r="R68" s="35">
        <v>30</v>
      </c>
      <c r="S68" s="35">
        <v>30.6</v>
      </c>
      <c r="T68" s="4">
        <f t="shared" si="19"/>
        <v>1.02</v>
      </c>
      <c r="U68" s="11">
        <v>20</v>
      </c>
      <c r="V68" s="35">
        <v>13.7</v>
      </c>
      <c r="W68" s="35">
        <v>14.9</v>
      </c>
      <c r="X68" s="4">
        <f t="shared" si="20"/>
        <v>1.0875912408759125</v>
      </c>
      <c r="Y68" s="11">
        <v>30</v>
      </c>
      <c r="Z68" s="44">
        <f t="shared" si="27"/>
        <v>1.150346715328467</v>
      </c>
      <c r="AA68" s="45">
        <v>1012</v>
      </c>
      <c r="AB68" s="35">
        <f t="shared" si="21"/>
        <v>92</v>
      </c>
      <c r="AC68" s="35">
        <f t="shared" si="22"/>
        <v>105.8</v>
      </c>
      <c r="AD68" s="35">
        <f t="shared" si="23"/>
        <v>13.799999999999997</v>
      </c>
      <c r="AE68" s="35">
        <v>-1.5</v>
      </c>
      <c r="AF68" s="35">
        <f t="shared" si="24"/>
        <v>104.3</v>
      </c>
      <c r="AG68" s="35"/>
      <c r="AH68" s="35">
        <f t="shared" si="25"/>
        <v>104.3</v>
      </c>
      <c r="AI68" s="35">
        <v>104.3</v>
      </c>
      <c r="AJ68" s="35">
        <f t="shared" si="26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0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10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10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10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10"/>
      <c r="GC68" s="9"/>
      <c r="GD68" s="9"/>
    </row>
    <row r="69" spans="1:186" s="2" customFormat="1" ht="17" customHeight="1">
      <c r="A69" s="14" t="s">
        <v>68</v>
      </c>
      <c r="B69" s="35">
        <v>182463</v>
      </c>
      <c r="C69" s="35">
        <v>163434</v>
      </c>
      <c r="D69" s="4">
        <f t="shared" si="17"/>
        <v>0.8957103631969221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624.6</v>
      </c>
      <c r="O69" s="35">
        <v>417.9</v>
      </c>
      <c r="P69" s="4">
        <f t="shared" si="18"/>
        <v>0.66906820365033615</v>
      </c>
      <c r="Q69" s="11">
        <v>20</v>
      </c>
      <c r="R69" s="35">
        <v>3.8</v>
      </c>
      <c r="S69" s="35">
        <v>7.7</v>
      </c>
      <c r="T69" s="4">
        <f t="shared" si="19"/>
        <v>1.2826315789473683</v>
      </c>
      <c r="U69" s="11">
        <v>10</v>
      </c>
      <c r="V69" s="35">
        <v>3.8</v>
      </c>
      <c r="W69" s="35">
        <v>47.8</v>
      </c>
      <c r="X69" s="4">
        <f t="shared" si="20"/>
        <v>1.3</v>
      </c>
      <c r="Y69" s="11">
        <v>40</v>
      </c>
      <c r="Z69" s="44">
        <f t="shared" si="27"/>
        <v>1.0895597936806205</v>
      </c>
      <c r="AA69" s="45">
        <v>1599</v>
      </c>
      <c r="AB69" s="35">
        <f t="shared" si="21"/>
        <v>145.36363636363637</v>
      </c>
      <c r="AC69" s="35">
        <f t="shared" si="22"/>
        <v>158.4</v>
      </c>
      <c r="AD69" s="35">
        <f t="shared" si="23"/>
        <v>13.036363636363632</v>
      </c>
      <c r="AE69" s="35">
        <v>-0.1</v>
      </c>
      <c r="AF69" s="35">
        <f t="shared" si="24"/>
        <v>158.30000000000001</v>
      </c>
      <c r="AG69" s="35"/>
      <c r="AH69" s="35">
        <f t="shared" si="25"/>
        <v>158.30000000000001</v>
      </c>
      <c r="AI69" s="35">
        <v>158.30000000000001</v>
      </c>
      <c r="AJ69" s="35">
        <f t="shared" si="26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10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10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10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10"/>
      <c r="GC69" s="9"/>
      <c r="GD69" s="9"/>
    </row>
    <row r="70" spans="1:186" s="2" customFormat="1" ht="17" customHeight="1">
      <c r="A70" s="14" t="s">
        <v>69</v>
      </c>
      <c r="B70" s="35">
        <v>0</v>
      </c>
      <c r="C70" s="35">
        <v>0</v>
      </c>
      <c r="D70" s="4">
        <f t="shared" si="17"/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93.4</v>
      </c>
      <c r="O70" s="35">
        <v>131.5</v>
      </c>
      <c r="P70" s="4">
        <f t="shared" si="18"/>
        <v>1.2207922912205567</v>
      </c>
      <c r="Q70" s="11">
        <v>20</v>
      </c>
      <c r="R70" s="35">
        <v>43.6</v>
      </c>
      <c r="S70" s="35">
        <v>43.9</v>
      </c>
      <c r="T70" s="4">
        <f t="shared" si="19"/>
        <v>1.0068807339449541</v>
      </c>
      <c r="U70" s="11">
        <v>20</v>
      </c>
      <c r="V70" s="35">
        <v>17.3</v>
      </c>
      <c r="W70" s="35">
        <v>17.399999999999999</v>
      </c>
      <c r="X70" s="4">
        <f t="shared" si="20"/>
        <v>1.0057803468208091</v>
      </c>
      <c r="Y70" s="11">
        <v>30</v>
      </c>
      <c r="Z70" s="44">
        <f t="shared" si="27"/>
        <v>1.067526727256207</v>
      </c>
      <c r="AA70" s="45">
        <v>1641</v>
      </c>
      <c r="AB70" s="35">
        <f t="shared" si="21"/>
        <v>149.18181818181819</v>
      </c>
      <c r="AC70" s="35">
        <f t="shared" si="22"/>
        <v>159.30000000000001</v>
      </c>
      <c r="AD70" s="35">
        <f t="shared" si="23"/>
        <v>10.118181818181824</v>
      </c>
      <c r="AE70" s="35">
        <v>6.2</v>
      </c>
      <c r="AF70" s="35">
        <f t="shared" si="24"/>
        <v>165.5</v>
      </c>
      <c r="AG70" s="35"/>
      <c r="AH70" s="35">
        <f t="shared" si="25"/>
        <v>165.5</v>
      </c>
      <c r="AI70" s="35">
        <v>165.5</v>
      </c>
      <c r="AJ70" s="35">
        <f t="shared" si="26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0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10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10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10"/>
      <c r="GC70" s="9"/>
      <c r="GD70" s="9"/>
    </row>
    <row r="71" spans="1:186" s="2" customFormat="1" ht="17" customHeight="1">
      <c r="A71" s="18" t="s">
        <v>70</v>
      </c>
      <c r="B71" s="6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5"/>
      <c r="AF71" s="35"/>
      <c r="AG71" s="35"/>
      <c r="AH71" s="35"/>
      <c r="AI71" s="35"/>
      <c r="AJ71" s="35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0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10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10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10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10"/>
      <c r="GC71" s="9"/>
      <c r="GD71" s="9"/>
    </row>
    <row r="72" spans="1:186" s="2" customFormat="1" ht="17" customHeight="1">
      <c r="A72" s="14" t="s">
        <v>71</v>
      </c>
      <c r="B72" s="35">
        <v>955</v>
      </c>
      <c r="C72" s="35">
        <v>882.8</v>
      </c>
      <c r="D72" s="4">
        <f t="shared" si="17"/>
        <v>0.92439790575916225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143.19999999999999</v>
      </c>
      <c r="O72" s="35">
        <v>845.9</v>
      </c>
      <c r="P72" s="4">
        <f t="shared" si="18"/>
        <v>1.3</v>
      </c>
      <c r="Q72" s="11">
        <v>20</v>
      </c>
      <c r="R72" s="35">
        <v>55</v>
      </c>
      <c r="S72" s="35">
        <v>55.1</v>
      </c>
      <c r="T72" s="4">
        <f t="shared" si="19"/>
        <v>1.0018181818181819</v>
      </c>
      <c r="U72" s="11">
        <v>30</v>
      </c>
      <c r="V72" s="35">
        <v>1</v>
      </c>
      <c r="W72" s="35">
        <v>1</v>
      </c>
      <c r="X72" s="4">
        <f t="shared" si="20"/>
        <v>1</v>
      </c>
      <c r="Y72" s="11">
        <v>20</v>
      </c>
      <c r="Z72" s="44">
        <f t="shared" si="27"/>
        <v>1.0662315564017135</v>
      </c>
      <c r="AA72" s="45">
        <v>447</v>
      </c>
      <c r="AB72" s="35">
        <f t="shared" si="21"/>
        <v>40.636363636363633</v>
      </c>
      <c r="AC72" s="35">
        <f t="shared" si="22"/>
        <v>43.3</v>
      </c>
      <c r="AD72" s="35">
        <f t="shared" si="23"/>
        <v>2.663636363636364</v>
      </c>
      <c r="AE72" s="35">
        <v>0.1</v>
      </c>
      <c r="AF72" s="35">
        <f t="shared" si="24"/>
        <v>43.4</v>
      </c>
      <c r="AG72" s="35"/>
      <c r="AH72" s="35">
        <f t="shared" si="25"/>
        <v>43.4</v>
      </c>
      <c r="AI72" s="35">
        <v>43.4</v>
      </c>
      <c r="AJ72" s="35">
        <f t="shared" si="26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0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10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10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10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10"/>
      <c r="GC72" s="9"/>
      <c r="GD72" s="9"/>
    </row>
    <row r="73" spans="1:186" s="2" customFormat="1" ht="17" customHeight="1">
      <c r="A73" s="14" t="s">
        <v>72</v>
      </c>
      <c r="B73" s="35">
        <v>16499</v>
      </c>
      <c r="C73" s="35">
        <v>13530.1</v>
      </c>
      <c r="D73" s="4">
        <f t="shared" si="17"/>
        <v>0.82005576095520938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1648.7</v>
      </c>
      <c r="O73" s="35">
        <v>1703.4</v>
      </c>
      <c r="P73" s="4">
        <f t="shared" si="18"/>
        <v>1.0331776551222176</v>
      </c>
      <c r="Q73" s="11">
        <v>20</v>
      </c>
      <c r="R73" s="35">
        <v>35</v>
      </c>
      <c r="S73" s="35">
        <v>35.1</v>
      </c>
      <c r="T73" s="4">
        <f t="shared" si="19"/>
        <v>1.0028571428571429</v>
      </c>
      <c r="U73" s="11">
        <v>20</v>
      </c>
      <c r="V73" s="35">
        <v>23</v>
      </c>
      <c r="W73" s="35">
        <v>24.8</v>
      </c>
      <c r="X73" s="4">
        <f t="shared" si="20"/>
        <v>1.0782608695652174</v>
      </c>
      <c r="Y73" s="11">
        <v>30</v>
      </c>
      <c r="Z73" s="44">
        <f t="shared" si="27"/>
        <v>1.0158634957011978</v>
      </c>
      <c r="AA73" s="45">
        <v>937</v>
      </c>
      <c r="AB73" s="35">
        <f t="shared" si="21"/>
        <v>85.181818181818187</v>
      </c>
      <c r="AC73" s="35">
        <f t="shared" si="22"/>
        <v>86.5</v>
      </c>
      <c r="AD73" s="35">
        <f t="shared" si="23"/>
        <v>1.318181818181813</v>
      </c>
      <c r="AE73" s="35">
        <v>-1.7</v>
      </c>
      <c r="AF73" s="35">
        <f t="shared" si="24"/>
        <v>84.8</v>
      </c>
      <c r="AG73" s="35">
        <f>MIN(AF73,42.6)</f>
        <v>42.6</v>
      </c>
      <c r="AH73" s="35">
        <f t="shared" si="25"/>
        <v>42.199999999999996</v>
      </c>
      <c r="AI73" s="35">
        <v>42.199999999999996</v>
      </c>
      <c r="AJ73" s="35">
        <f t="shared" si="26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0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10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10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10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10"/>
      <c r="GC73" s="9"/>
      <c r="GD73" s="9"/>
    </row>
    <row r="74" spans="1:186" s="2" customFormat="1" ht="17" customHeight="1">
      <c r="A74" s="14" t="s">
        <v>73</v>
      </c>
      <c r="B74" s="35">
        <v>127</v>
      </c>
      <c r="C74" s="35">
        <v>130.1</v>
      </c>
      <c r="D74" s="4">
        <f t="shared" si="17"/>
        <v>1.0244094488188975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93.1</v>
      </c>
      <c r="O74" s="35">
        <v>319.60000000000002</v>
      </c>
      <c r="P74" s="4">
        <f t="shared" si="18"/>
        <v>1.3</v>
      </c>
      <c r="Q74" s="11">
        <v>20</v>
      </c>
      <c r="R74" s="35">
        <v>28</v>
      </c>
      <c r="S74" s="35">
        <v>29.7</v>
      </c>
      <c r="T74" s="4">
        <f t="shared" si="19"/>
        <v>1.0607142857142857</v>
      </c>
      <c r="U74" s="11">
        <v>25</v>
      </c>
      <c r="V74" s="35">
        <v>1</v>
      </c>
      <c r="W74" s="35">
        <v>1.2</v>
      </c>
      <c r="X74" s="4">
        <f t="shared" si="20"/>
        <v>1.2</v>
      </c>
      <c r="Y74" s="11">
        <v>25</v>
      </c>
      <c r="Z74" s="44">
        <f t="shared" si="27"/>
        <v>1.1595243953880765</v>
      </c>
      <c r="AA74" s="45">
        <v>302</v>
      </c>
      <c r="AB74" s="35">
        <f t="shared" si="21"/>
        <v>27.454545454545453</v>
      </c>
      <c r="AC74" s="35">
        <f t="shared" si="22"/>
        <v>31.8</v>
      </c>
      <c r="AD74" s="35">
        <f t="shared" si="23"/>
        <v>4.3454545454545475</v>
      </c>
      <c r="AE74" s="35">
        <v>-0.6</v>
      </c>
      <c r="AF74" s="35">
        <f t="shared" si="24"/>
        <v>31.2</v>
      </c>
      <c r="AG74" s="35">
        <f>MIN(AF74,10.2)</f>
        <v>10.199999999999999</v>
      </c>
      <c r="AH74" s="35">
        <f t="shared" si="25"/>
        <v>21</v>
      </c>
      <c r="AI74" s="35">
        <v>21</v>
      </c>
      <c r="AJ74" s="35">
        <f t="shared" si="26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0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10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10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10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10"/>
      <c r="GC74" s="9"/>
      <c r="GD74" s="9"/>
    </row>
    <row r="75" spans="1:186" s="2" customFormat="1" ht="17" customHeight="1">
      <c r="A75" s="14" t="s">
        <v>74</v>
      </c>
      <c r="B75" s="35">
        <v>600</v>
      </c>
      <c r="C75" s="35">
        <v>588</v>
      </c>
      <c r="D75" s="4">
        <f t="shared" si="17"/>
        <v>0.98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201.3</v>
      </c>
      <c r="O75" s="35">
        <v>75.7</v>
      </c>
      <c r="P75" s="4">
        <f t="shared" si="18"/>
        <v>0.37605563835072031</v>
      </c>
      <c r="Q75" s="11">
        <v>20</v>
      </c>
      <c r="R75" s="35">
        <v>54</v>
      </c>
      <c r="S75" s="35">
        <v>54.1</v>
      </c>
      <c r="T75" s="4">
        <f t="shared" si="19"/>
        <v>1.0018518518518518</v>
      </c>
      <c r="U75" s="11">
        <v>30</v>
      </c>
      <c r="V75" s="35">
        <v>3</v>
      </c>
      <c r="W75" s="35">
        <v>3.8</v>
      </c>
      <c r="X75" s="4">
        <f t="shared" si="20"/>
        <v>1.2066666666666666</v>
      </c>
      <c r="Y75" s="11">
        <v>20</v>
      </c>
      <c r="Z75" s="44">
        <f t="shared" si="27"/>
        <v>0.89387502069879121</v>
      </c>
      <c r="AA75" s="45">
        <v>790</v>
      </c>
      <c r="AB75" s="35">
        <f t="shared" si="21"/>
        <v>71.818181818181813</v>
      </c>
      <c r="AC75" s="35">
        <f t="shared" si="22"/>
        <v>64.2</v>
      </c>
      <c r="AD75" s="35">
        <f t="shared" si="23"/>
        <v>-7.6181818181818102</v>
      </c>
      <c r="AE75" s="35">
        <v>-3.2</v>
      </c>
      <c r="AF75" s="35">
        <f t="shared" si="24"/>
        <v>61</v>
      </c>
      <c r="AG75" s="35"/>
      <c r="AH75" s="35">
        <f t="shared" si="25"/>
        <v>61</v>
      </c>
      <c r="AI75" s="35">
        <v>61</v>
      </c>
      <c r="AJ75" s="35">
        <f t="shared" si="26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0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10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10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10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10"/>
      <c r="GC75" s="9"/>
      <c r="GD75" s="9"/>
    </row>
    <row r="76" spans="1:186" s="2" customFormat="1" ht="17" customHeight="1">
      <c r="A76" s="14" t="s">
        <v>75</v>
      </c>
      <c r="B76" s="35">
        <v>255</v>
      </c>
      <c r="C76" s="35">
        <v>260.39999999999998</v>
      </c>
      <c r="D76" s="4">
        <f t="shared" si="17"/>
        <v>1.0211764705882351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170.6</v>
      </c>
      <c r="O76" s="35">
        <v>107.3</v>
      </c>
      <c r="P76" s="4">
        <f t="shared" si="18"/>
        <v>0.62895662368112548</v>
      </c>
      <c r="Q76" s="11">
        <v>20</v>
      </c>
      <c r="R76" s="35">
        <v>17</v>
      </c>
      <c r="S76" s="35">
        <v>17.100000000000001</v>
      </c>
      <c r="T76" s="4">
        <f t="shared" si="19"/>
        <v>1.0058823529411764</v>
      </c>
      <c r="U76" s="11">
        <v>30</v>
      </c>
      <c r="V76" s="35">
        <v>1</v>
      </c>
      <c r="W76" s="35">
        <v>1.2</v>
      </c>
      <c r="X76" s="4">
        <f t="shared" si="20"/>
        <v>1.2</v>
      </c>
      <c r="Y76" s="11">
        <v>20</v>
      </c>
      <c r="Z76" s="44">
        <f t="shared" si="27"/>
        <v>0.96209209709675192</v>
      </c>
      <c r="AA76" s="45">
        <v>498</v>
      </c>
      <c r="AB76" s="35">
        <f t="shared" si="21"/>
        <v>45.272727272727273</v>
      </c>
      <c r="AC76" s="35">
        <f t="shared" si="22"/>
        <v>43.6</v>
      </c>
      <c r="AD76" s="35">
        <f t="shared" si="23"/>
        <v>-1.672727272727272</v>
      </c>
      <c r="AE76" s="35">
        <v>-4.3</v>
      </c>
      <c r="AF76" s="35">
        <f t="shared" si="24"/>
        <v>39.300000000000004</v>
      </c>
      <c r="AG76" s="35"/>
      <c r="AH76" s="35">
        <f t="shared" si="25"/>
        <v>39.300000000000004</v>
      </c>
      <c r="AI76" s="35">
        <v>39.300000000000004</v>
      </c>
      <c r="AJ76" s="35">
        <f t="shared" si="26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0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10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10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10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10"/>
      <c r="GC76" s="9"/>
      <c r="GD76" s="9"/>
    </row>
    <row r="77" spans="1:186" s="2" customFormat="1" ht="17" customHeight="1">
      <c r="A77" s="14" t="s">
        <v>76</v>
      </c>
      <c r="B77" s="35">
        <v>145</v>
      </c>
      <c r="C77" s="35">
        <v>155</v>
      </c>
      <c r="D77" s="4">
        <f t="shared" si="17"/>
        <v>1.0689655172413792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42.4</v>
      </c>
      <c r="O77" s="35">
        <v>90.1</v>
      </c>
      <c r="P77" s="4">
        <f t="shared" si="18"/>
        <v>1.2925</v>
      </c>
      <c r="Q77" s="11">
        <v>20</v>
      </c>
      <c r="R77" s="35">
        <v>125</v>
      </c>
      <c r="S77" s="35">
        <v>125.1</v>
      </c>
      <c r="T77" s="4">
        <f t="shared" si="19"/>
        <v>1.0007999999999999</v>
      </c>
      <c r="U77" s="11">
        <v>30</v>
      </c>
      <c r="V77" s="35">
        <v>1</v>
      </c>
      <c r="W77" s="35">
        <v>1.2</v>
      </c>
      <c r="X77" s="4">
        <f t="shared" si="20"/>
        <v>1.2</v>
      </c>
      <c r="Y77" s="11">
        <v>20</v>
      </c>
      <c r="Z77" s="44">
        <f t="shared" si="27"/>
        <v>1.1320456896551723</v>
      </c>
      <c r="AA77" s="45">
        <v>1035</v>
      </c>
      <c r="AB77" s="35">
        <f t="shared" si="21"/>
        <v>94.090909090909093</v>
      </c>
      <c r="AC77" s="35">
        <f t="shared" si="22"/>
        <v>106.5</v>
      </c>
      <c r="AD77" s="35">
        <f t="shared" si="23"/>
        <v>12.409090909090907</v>
      </c>
      <c r="AE77" s="35">
        <v>-3.4</v>
      </c>
      <c r="AF77" s="35">
        <f t="shared" si="24"/>
        <v>103.1</v>
      </c>
      <c r="AG77" s="35"/>
      <c r="AH77" s="35">
        <f t="shared" si="25"/>
        <v>103.1</v>
      </c>
      <c r="AI77" s="35">
        <v>103.1</v>
      </c>
      <c r="AJ77" s="35">
        <f t="shared" si="26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0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10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10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10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10"/>
      <c r="GC77" s="9"/>
      <c r="GD77" s="9"/>
    </row>
    <row r="78" spans="1:186" s="2" customFormat="1" ht="17" customHeight="1">
      <c r="A78" s="14" t="s">
        <v>77</v>
      </c>
      <c r="B78" s="35">
        <v>930</v>
      </c>
      <c r="C78" s="35">
        <v>905</v>
      </c>
      <c r="D78" s="4">
        <f t="shared" si="17"/>
        <v>0.9731182795698925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169.2</v>
      </c>
      <c r="O78" s="35">
        <v>182</v>
      </c>
      <c r="P78" s="4">
        <f t="shared" si="18"/>
        <v>1.0756501182033098</v>
      </c>
      <c r="Q78" s="11">
        <v>20</v>
      </c>
      <c r="R78" s="35">
        <v>23</v>
      </c>
      <c r="S78" s="35">
        <v>23.1</v>
      </c>
      <c r="T78" s="4">
        <f t="shared" si="19"/>
        <v>1.0043478260869565</v>
      </c>
      <c r="U78" s="11">
        <v>25</v>
      </c>
      <c r="V78" s="35">
        <v>1</v>
      </c>
      <c r="W78" s="35">
        <v>1</v>
      </c>
      <c r="X78" s="4">
        <f t="shared" si="20"/>
        <v>1</v>
      </c>
      <c r="Y78" s="11">
        <v>25</v>
      </c>
      <c r="Z78" s="44">
        <f t="shared" si="27"/>
        <v>1.0169110101492378</v>
      </c>
      <c r="AA78" s="45">
        <v>1040</v>
      </c>
      <c r="AB78" s="35">
        <f t="shared" si="21"/>
        <v>94.545454545454547</v>
      </c>
      <c r="AC78" s="35">
        <f t="shared" si="22"/>
        <v>96.1</v>
      </c>
      <c r="AD78" s="35">
        <f t="shared" si="23"/>
        <v>1.5545454545454476</v>
      </c>
      <c r="AE78" s="35">
        <v>-1.3</v>
      </c>
      <c r="AF78" s="35">
        <f t="shared" si="24"/>
        <v>94.8</v>
      </c>
      <c r="AG78" s="35"/>
      <c r="AH78" s="35">
        <f t="shared" si="25"/>
        <v>94.8</v>
      </c>
      <c r="AI78" s="35">
        <v>94.8</v>
      </c>
      <c r="AJ78" s="35">
        <f t="shared" si="26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0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10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10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10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10"/>
      <c r="GC78" s="9"/>
      <c r="GD78" s="9"/>
    </row>
    <row r="79" spans="1:186" s="2" customFormat="1" ht="17" customHeight="1">
      <c r="A79" s="14" t="s">
        <v>78</v>
      </c>
      <c r="B79" s="35">
        <v>744</v>
      </c>
      <c r="C79" s="35">
        <v>743</v>
      </c>
      <c r="D79" s="4">
        <f t="shared" si="17"/>
        <v>0.99865591397849462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183.6</v>
      </c>
      <c r="O79" s="35">
        <v>554.1</v>
      </c>
      <c r="P79" s="4">
        <f t="shared" si="18"/>
        <v>1.3</v>
      </c>
      <c r="Q79" s="11">
        <v>20</v>
      </c>
      <c r="R79" s="35">
        <v>20</v>
      </c>
      <c r="S79" s="35">
        <v>20.2</v>
      </c>
      <c r="T79" s="4">
        <f t="shared" si="19"/>
        <v>1.01</v>
      </c>
      <c r="U79" s="11">
        <v>20</v>
      </c>
      <c r="V79" s="35">
        <v>19</v>
      </c>
      <c r="W79" s="35">
        <v>19.100000000000001</v>
      </c>
      <c r="X79" s="4">
        <f t="shared" si="20"/>
        <v>1.0052631578947369</v>
      </c>
      <c r="Y79" s="11">
        <v>30</v>
      </c>
      <c r="Z79" s="44">
        <f t="shared" si="27"/>
        <v>1.0793056734578381</v>
      </c>
      <c r="AA79" s="45">
        <v>782</v>
      </c>
      <c r="AB79" s="35">
        <f t="shared" si="21"/>
        <v>71.090909090909093</v>
      </c>
      <c r="AC79" s="35">
        <f t="shared" si="22"/>
        <v>76.7</v>
      </c>
      <c r="AD79" s="35">
        <f t="shared" si="23"/>
        <v>5.6090909090909093</v>
      </c>
      <c r="AE79" s="35">
        <v>-6.6</v>
      </c>
      <c r="AF79" s="35">
        <f t="shared" si="24"/>
        <v>70.100000000000009</v>
      </c>
      <c r="AG79" s="35"/>
      <c r="AH79" s="35">
        <f t="shared" si="25"/>
        <v>70.100000000000009</v>
      </c>
      <c r="AI79" s="35">
        <v>70.100000000000009</v>
      </c>
      <c r="AJ79" s="35">
        <f t="shared" si="26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10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10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10"/>
      <c r="GC79" s="9"/>
      <c r="GD79" s="9"/>
    </row>
    <row r="80" spans="1:186" s="2" customFormat="1" ht="17" customHeight="1">
      <c r="A80" s="18" t="s">
        <v>79</v>
      </c>
      <c r="B80" s="6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  <c r="AF80" s="35"/>
      <c r="AG80" s="35"/>
      <c r="AH80" s="35"/>
      <c r="AI80" s="35"/>
      <c r="AJ80" s="35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0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10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10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10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10"/>
      <c r="GC80" s="9"/>
      <c r="GD80" s="9"/>
    </row>
    <row r="81" spans="1:186" s="2" customFormat="1" ht="17" customHeight="1">
      <c r="A81" s="14" t="s">
        <v>80</v>
      </c>
      <c r="B81" s="35">
        <v>8549</v>
      </c>
      <c r="C81" s="35">
        <v>10300</v>
      </c>
      <c r="D81" s="4">
        <f t="shared" si="17"/>
        <v>1.2004819277108434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280.3</v>
      </c>
      <c r="O81" s="35">
        <v>113.8</v>
      </c>
      <c r="P81" s="4">
        <f t="shared" si="18"/>
        <v>0.40599357830895466</v>
      </c>
      <c r="Q81" s="11">
        <v>20</v>
      </c>
      <c r="R81" s="35">
        <v>23</v>
      </c>
      <c r="S81" s="35">
        <v>30.1</v>
      </c>
      <c r="T81" s="4">
        <f t="shared" si="19"/>
        <v>1.2108695652173913</v>
      </c>
      <c r="U81" s="11">
        <v>15</v>
      </c>
      <c r="V81" s="35">
        <v>10</v>
      </c>
      <c r="W81" s="35">
        <v>13</v>
      </c>
      <c r="X81" s="4">
        <f t="shared" si="20"/>
        <v>1.21</v>
      </c>
      <c r="Y81" s="11">
        <v>35</v>
      </c>
      <c r="Z81" s="44">
        <f t="shared" si="27"/>
        <v>1.0079716790193551</v>
      </c>
      <c r="AA81" s="45">
        <v>1881</v>
      </c>
      <c r="AB81" s="35">
        <f t="shared" si="21"/>
        <v>171</v>
      </c>
      <c r="AC81" s="35">
        <f t="shared" si="22"/>
        <v>172.4</v>
      </c>
      <c r="AD81" s="35">
        <f t="shared" si="23"/>
        <v>1.4000000000000057</v>
      </c>
      <c r="AE81" s="35">
        <v>2.9</v>
      </c>
      <c r="AF81" s="35">
        <f t="shared" si="24"/>
        <v>175.3</v>
      </c>
      <c r="AG81" s="35"/>
      <c r="AH81" s="35">
        <f t="shared" si="25"/>
        <v>175.3</v>
      </c>
      <c r="AI81" s="35">
        <v>175.3</v>
      </c>
      <c r="AJ81" s="35">
        <f t="shared" si="26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0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10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10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10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10"/>
      <c r="GC81" s="9"/>
      <c r="GD81" s="9"/>
    </row>
    <row r="82" spans="1:186" s="2" customFormat="1" ht="17" customHeight="1">
      <c r="A82" s="46" t="s">
        <v>81</v>
      </c>
      <c r="B82" s="35">
        <v>13552</v>
      </c>
      <c r="C82" s="35">
        <v>13588</v>
      </c>
      <c r="D82" s="4">
        <f t="shared" si="17"/>
        <v>1.0026564344746163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1055.9000000000001</v>
      </c>
      <c r="O82" s="35">
        <v>850.5</v>
      </c>
      <c r="P82" s="4">
        <f t="shared" si="18"/>
        <v>0.80547400322000184</v>
      </c>
      <c r="Q82" s="11">
        <v>20</v>
      </c>
      <c r="R82" s="35">
        <v>93</v>
      </c>
      <c r="S82" s="35">
        <v>113.6</v>
      </c>
      <c r="T82" s="4">
        <f t="shared" si="19"/>
        <v>1.2021505376344086</v>
      </c>
      <c r="U82" s="11">
        <v>25</v>
      </c>
      <c r="V82" s="35">
        <v>7</v>
      </c>
      <c r="W82" s="35">
        <v>8.6999999999999993</v>
      </c>
      <c r="X82" s="4">
        <f t="shared" si="20"/>
        <v>1.2042857142857142</v>
      </c>
      <c r="Y82" s="11">
        <v>25</v>
      </c>
      <c r="Z82" s="44">
        <f t="shared" si="27"/>
        <v>1.0787118838393659</v>
      </c>
      <c r="AA82" s="45">
        <v>2006</v>
      </c>
      <c r="AB82" s="35">
        <f t="shared" si="21"/>
        <v>182.36363636363637</v>
      </c>
      <c r="AC82" s="35">
        <f t="shared" si="22"/>
        <v>196.7</v>
      </c>
      <c r="AD82" s="35">
        <f t="shared" si="23"/>
        <v>14.336363636363615</v>
      </c>
      <c r="AE82" s="35">
        <v>7.5</v>
      </c>
      <c r="AF82" s="35">
        <f t="shared" si="24"/>
        <v>204.2</v>
      </c>
      <c r="AG82" s="35"/>
      <c r="AH82" s="35">
        <f t="shared" si="25"/>
        <v>204.2</v>
      </c>
      <c r="AI82" s="35">
        <v>204.2</v>
      </c>
      <c r="AJ82" s="35">
        <f t="shared" si="26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0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10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10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10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10"/>
      <c r="GC82" s="9"/>
      <c r="GD82" s="9"/>
    </row>
    <row r="83" spans="1:186" s="2" customFormat="1" ht="17" customHeight="1">
      <c r="A83" s="14" t="s">
        <v>82</v>
      </c>
      <c r="B83" s="35">
        <v>43</v>
      </c>
      <c r="C83" s="35">
        <v>44</v>
      </c>
      <c r="D83" s="4">
        <f t="shared" si="17"/>
        <v>1.0232558139534884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52.2</v>
      </c>
      <c r="O83" s="35">
        <v>22.7</v>
      </c>
      <c r="P83" s="4">
        <f t="shared" si="18"/>
        <v>0.43486590038314171</v>
      </c>
      <c r="Q83" s="11">
        <v>20</v>
      </c>
      <c r="R83" s="35">
        <v>21</v>
      </c>
      <c r="S83" s="35">
        <v>26.5</v>
      </c>
      <c r="T83" s="4">
        <f t="shared" si="19"/>
        <v>1.2061904761904763</v>
      </c>
      <c r="U83" s="11">
        <v>20</v>
      </c>
      <c r="V83" s="35">
        <v>10</v>
      </c>
      <c r="W83" s="35">
        <v>12.4</v>
      </c>
      <c r="X83" s="4">
        <f t="shared" si="20"/>
        <v>1.204</v>
      </c>
      <c r="Y83" s="11">
        <v>30</v>
      </c>
      <c r="Z83" s="44">
        <f t="shared" si="27"/>
        <v>0.98967107088759043</v>
      </c>
      <c r="AA83" s="45">
        <v>2718</v>
      </c>
      <c r="AB83" s="35">
        <f t="shared" si="21"/>
        <v>247.09090909090909</v>
      </c>
      <c r="AC83" s="35">
        <f t="shared" si="22"/>
        <v>244.5</v>
      </c>
      <c r="AD83" s="35">
        <f t="shared" si="23"/>
        <v>-2.5909090909090935</v>
      </c>
      <c r="AE83" s="35">
        <v>3.1</v>
      </c>
      <c r="AF83" s="35">
        <f t="shared" si="24"/>
        <v>247.6</v>
      </c>
      <c r="AG83" s="35"/>
      <c r="AH83" s="35">
        <f t="shared" si="25"/>
        <v>247.6</v>
      </c>
      <c r="AI83" s="35">
        <v>247.6</v>
      </c>
      <c r="AJ83" s="35">
        <f t="shared" si="26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10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10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10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10"/>
      <c r="GC83" s="9"/>
      <c r="GD83" s="9"/>
    </row>
    <row r="84" spans="1:186" s="2" customFormat="1" ht="17" customHeight="1">
      <c r="A84" s="14" t="s">
        <v>83</v>
      </c>
      <c r="B84" s="35">
        <v>657</v>
      </c>
      <c r="C84" s="35">
        <v>658</v>
      </c>
      <c r="D84" s="4">
        <f t="shared" si="17"/>
        <v>1.0015220700152208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125.5</v>
      </c>
      <c r="O84" s="35">
        <v>40.4</v>
      </c>
      <c r="P84" s="4">
        <f t="shared" si="18"/>
        <v>0.32191235059760953</v>
      </c>
      <c r="Q84" s="11">
        <v>20</v>
      </c>
      <c r="R84" s="35">
        <v>107</v>
      </c>
      <c r="S84" s="35">
        <v>130.19999999999999</v>
      </c>
      <c r="T84" s="4">
        <f t="shared" si="19"/>
        <v>1.2016822429906542</v>
      </c>
      <c r="U84" s="11">
        <v>25</v>
      </c>
      <c r="V84" s="35">
        <v>8</v>
      </c>
      <c r="W84" s="35">
        <v>10.1</v>
      </c>
      <c r="X84" s="4">
        <f t="shared" si="20"/>
        <v>1.20625</v>
      </c>
      <c r="Y84" s="11">
        <v>25</v>
      </c>
      <c r="Z84" s="44">
        <f t="shared" si="27"/>
        <v>0.95814717233588431</v>
      </c>
      <c r="AA84" s="45">
        <v>2749</v>
      </c>
      <c r="AB84" s="35">
        <f t="shared" si="21"/>
        <v>249.90909090909091</v>
      </c>
      <c r="AC84" s="35">
        <f t="shared" si="22"/>
        <v>239.4</v>
      </c>
      <c r="AD84" s="35">
        <f t="shared" si="23"/>
        <v>-10.509090909090901</v>
      </c>
      <c r="AE84" s="35">
        <v>-3</v>
      </c>
      <c r="AF84" s="35">
        <f t="shared" si="24"/>
        <v>236.4</v>
      </c>
      <c r="AG84" s="35"/>
      <c r="AH84" s="35">
        <f t="shared" si="25"/>
        <v>236.4</v>
      </c>
      <c r="AI84" s="35">
        <v>236.4</v>
      </c>
      <c r="AJ84" s="35">
        <f t="shared" si="26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0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10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10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10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10"/>
      <c r="GC84" s="9"/>
      <c r="GD84" s="9"/>
    </row>
    <row r="85" spans="1:186" s="2" customFormat="1" ht="17" customHeight="1">
      <c r="A85" s="14" t="s">
        <v>84</v>
      </c>
      <c r="B85" s="35">
        <v>47</v>
      </c>
      <c r="C85" s="35">
        <v>48</v>
      </c>
      <c r="D85" s="4">
        <f t="shared" si="17"/>
        <v>1.0212765957446808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51</v>
      </c>
      <c r="O85" s="35">
        <v>27.2</v>
      </c>
      <c r="P85" s="4">
        <f t="shared" si="18"/>
        <v>0.53333333333333333</v>
      </c>
      <c r="Q85" s="11">
        <v>20</v>
      </c>
      <c r="R85" s="35">
        <v>19</v>
      </c>
      <c r="S85" s="35">
        <v>23.8</v>
      </c>
      <c r="T85" s="4">
        <f t="shared" si="19"/>
        <v>1.2052631578947368</v>
      </c>
      <c r="U85" s="11">
        <v>20</v>
      </c>
      <c r="V85" s="35">
        <v>8</v>
      </c>
      <c r="W85" s="35">
        <v>9.8000000000000007</v>
      </c>
      <c r="X85" s="4">
        <f t="shared" si="20"/>
        <v>1.2024999999999999</v>
      </c>
      <c r="Y85" s="11">
        <v>30</v>
      </c>
      <c r="Z85" s="44">
        <f t="shared" si="27"/>
        <v>1.0132461972751026</v>
      </c>
      <c r="AA85" s="45">
        <v>1944</v>
      </c>
      <c r="AB85" s="35">
        <f t="shared" si="21"/>
        <v>176.72727272727272</v>
      </c>
      <c r="AC85" s="35">
        <f t="shared" si="22"/>
        <v>179.1</v>
      </c>
      <c r="AD85" s="35">
        <f t="shared" si="23"/>
        <v>2.3727272727272748</v>
      </c>
      <c r="AE85" s="35">
        <v>2.2999999999999998</v>
      </c>
      <c r="AF85" s="35">
        <f t="shared" si="24"/>
        <v>181.4</v>
      </c>
      <c r="AG85" s="35">
        <f>MIN(AF85,65.3)</f>
        <v>65.3</v>
      </c>
      <c r="AH85" s="35">
        <f t="shared" si="25"/>
        <v>116.10000000000001</v>
      </c>
      <c r="AI85" s="35">
        <v>116.10000000000001</v>
      </c>
      <c r="AJ85" s="35">
        <f t="shared" si="26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0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10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10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10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10"/>
      <c r="GC85" s="9"/>
      <c r="GD85" s="9"/>
    </row>
    <row r="86" spans="1:186" s="2" customFormat="1" ht="17" customHeight="1">
      <c r="A86" s="14" t="s">
        <v>85</v>
      </c>
      <c r="B86" s="35">
        <v>43</v>
      </c>
      <c r="C86" s="35">
        <v>44</v>
      </c>
      <c r="D86" s="4">
        <f t="shared" si="17"/>
        <v>1.0232558139534884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361.5</v>
      </c>
      <c r="O86" s="35">
        <v>1821.1</v>
      </c>
      <c r="P86" s="4">
        <f t="shared" si="18"/>
        <v>1.3</v>
      </c>
      <c r="Q86" s="11">
        <v>20</v>
      </c>
      <c r="R86" s="35">
        <v>99</v>
      </c>
      <c r="S86" s="35">
        <v>124.4</v>
      </c>
      <c r="T86" s="4">
        <f t="shared" si="19"/>
        <v>1.2056565656565656</v>
      </c>
      <c r="U86" s="11">
        <v>30</v>
      </c>
      <c r="V86" s="35">
        <v>8</v>
      </c>
      <c r="W86" s="35">
        <v>9.9</v>
      </c>
      <c r="X86" s="4">
        <f t="shared" si="20"/>
        <v>1.2037499999999999</v>
      </c>
      <c r="Y86" s="11">
        <v>20</v>
      </c>
      <c r="Z86" s="44">
        <f t="shared" si="27"/>
        <v>1.2059656888653982</v>
      </c>
      <c r="AA86" s="45">
        <v>1465</v>
      </c>
      <c r="AB86" s="35">
        <f t="shared" si="21"/>
        <v>133.18181818181819</v>
      </c>
      <c r="AC86" s="35">
        <f t="shared" si="22"/>
        <v>160.6</v>
      </c>
      <c r="AD86" s="35">
        <f t="shared" si="23"/>
        <v>27.418181818181807</v>
      </c>
      <c r="AE86" s="35">
        <v>-1</v>
      </c>
      <c r="AF86" s="35">
        <f t="shared" si="24"/>
        <v>159.6</v>
      </c>
      <c r="AG86" s="35">
        <f>MIN(AF86,53)</f>
        <v>53</v>
      </c>
      <c r="AH86" s="35">
        <f t="shared" si="25"/>
        <v>106.6</v>
      </c>
      <c r="AI86" s="35">
        <v>106.6</v>
      </c>
      <c r="AJ86" s="35">
        <f t="shared" si="26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0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10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10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10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10"/>
      <c r="GC86" s="9"/>
      <c r="GD86" s="9"/>
    </row>
    <row r="87" spans="1:186" s="2" customFormat="1" ht="17" customHeight="1">
      <c r="A87" s="14" t="s">
        <v>86</v>
      </c>
      <c r="B87" s="35">
        <v>21</v>
      </c>
      <c r="C87" s="35">
        <v>22</v>
      </c>
      <c r="D87" s="4">
        <f t="shared" si="17"/>
        <v>1.0476190476190477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31.5</v>
      </c>
      <c r="O87" s="35">
        <v>86.9</v>
      </c>
      <c r="P87" s="4">
        <f t="shared" si="18"/>
        <v>1.3</v>
      </c>
      <c r="Q87" s="11">
        <v>20</v>
      </c>
      <c r="R87" s="35">
        <v>9</v>
      </c>
      <c r="S87" s="35">
        <v>11.8</v>
      </c>
      <c r="T87" s="4">
        <f t="shared" si="19"/>
        <v>1.211111111111111</v>
      </c>
      <c r="U87" s="11">
        <v>25</v>
      </c>
      <c r="V87" s="35">
        <v>3</v>
      </c>
      <c r="W87" s="35">
        <v>3.9</v>
      </c>
      <c r="X87" s="4">
        <f t="shared" si="20"/>
        <v>1.21</v>
      </c>
      <c r="Y87" s="11">
        <v>25</v>
      </c>
      <c r="Z87" s="44">
        <f t="shared" si="27"/>
        <v>1.2125496031746033</v>
      </c>
      <c r="AA87" s="45">
        <v>1667</v>
      </c>
      <c r="AB87" s="35">
        <f t="shared" si="21"/>
        <v>151.54545454545453</v>
      </c>
      <c r="AC87" s="35">
        <f t="shared" si="22"/>
        <v>183.8</v>
      </c>
      <c r="AD87" s="35">
        <f t="shared" si="23"/>
        <v>32.254545454545479</v>
      </c>
      <c r="AE87" s="35">
        <v>-0.2</v>
      </c>
      <c r="AF87" s="35">
        <f t="shared" si="24"/>
        <v>183.60000000000002</v>
      </c>
      <c r="AG87" s="35">
        <f>MIN(AF87,0.3)</f>
        <v>0.3</v>
      </c>
      <c r="AH87" s="35">
        <f t="shared" si="25"/>
        <v>183.3</v>
      </c>
      <c r="AI87" s="35">
        <v>183.3</v>
      </c>
      <c r="AJ87" s="35">
        <f t="shared" si="26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0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0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10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10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0"/>
      <c r="GC87" s="9"/>
      <c r="GD87" s="9"/>
    </row>
    <row r="88" spans="1:186" s="2" customFormat="1" ht="17" customHeight="1">
      <c r="A88" s="14" t="s">
        <v>87</v>
      </c>
      <c r="B88" s="35">
        <v>39</v>
      </c>
      <c r="C88" s="35">
        <v>40</v>
      </c>
      <c r="D88" s="4">
        <f t="shared" si="17"/>
        <v>1.0256410256410255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56.7</v>
      </c>
      <c r="O88" s="35">
        <v>16.399999999999999</v>
      </c>
      <c r="P88" s="4">
        <f t="shared" si="18"/>
        <v>0.28924162257495589</v>
      </c>
      <c r="Q88" s="11">
        <v>20</v>
      </c>
      <c r="R88" s="35">
        <v>20</v>
      </c>
      <c r="S88" s="35">
        <v>24.5</v>
      </c>
      <c r="T88" s="4">
        <f t="shared" si="19"/>
        <v>1.2024999999999999</v>
      </c>
      <c r="U88" s="11">
        <v>25</v>
      </c>
      <c r="V88" s="35">
        <v>4</v>
      </c>
      <c r="W88" s="35">
        <v>4.9000000000000004</v>
      </c>
      <c r="X88" s="4">
        <f t="shared" si="20"/>
        <v>1.2024999999999999</v>
      </c>
      <c r="Y88" s="11">
        <v>25</v>
      </c>
      <c r="Z88" s="44">
        <f t="shared" si="27"/>
        <v>0.95207803384886702</v>
      </c>
      <c r="AA88" s="45">
        <v>1467</v>
      </c>
      <c r="AB88" s="35">
        <f t="shared" si="21"/>
        <v>133.36363636363637</v>
      </c>
      <c r="AC88" s="35">
        <f t="shared" si="22"/>
        <v>127</v>
      </c>
      <c r="AD88" s="35">
        <f t="shared" si="23"/>
        <v>-6.363636363636374</v>
      </c>
      <c r="AE88" s="35">
        <v>3.3</v>
      </c>
      <c r="AF88" s="35">
        <f t="shared" si="24"/>
        <v>130.30000000000001</v>
      </c>
      <c r="AG88" s="35"/>
      <c r="AH88" s="35">
        <f t="shared" si="25"/>
        <v>130.30000000000001</v>
      </c>
      <c r="AI88" s="35">
        <v>130.30000000000001</v>
      </c>
      <c r="AJ88" s="35">
        <f t="shared" si="26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0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10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10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10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0"/>
      <c r="GC88" s="9"/>
      <c r="GD88" s="9"/>
    </row>
    <row r="89" spans="1:186" s="2" customFormat="1" ht="17" customHeight="1">
      <c r="A89" s="14" t="s">
        <v>88</v>
      </c>
      <c r="B89" s="35">
        <v>553</v>
      </c>
      <c r="C89" s="35">
        <v>554</v>
      </c>
      <c r="D89" s="4">
        <f t="shared" si="17"/>
        <v>1.0018083182640145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50.1</v>
      </c>
      <c r="O89" s="35">
        <v>172.1</v>
      </c>
      <c r="P89" s="4">
        <f t="shared" si="18"/>
        <v>1.3</v>
      </c>
      <c r="Q89" s="11">
        <v>20</v>
      </c>
      <c r="R89" s="35">
        <v>24</v>
      </c>
      <c r="S89" s="35">
        <v>30.2</v>
      </c>
      <c r="T89" s="4">
        <f t="shared" si="19"/>
        <v>1.2058333333333333</v>
      </c>
      <c r="U89" s="11">
        <v>30</v>
      </c>
      <c r="V89" s="35">
        <v>4</v>
      </c>
      <c r="W89" s="35">
        <v>5</v>
      </c>
      <c r="X89" s="4">
        <f t="shared" si="20"/>
        <v>1.2050000000000001</v>
      </c>
      <c r="Y89" s="11">
        <v>20</v>
      </c>
      <c r="Z89" s="44">
        <f t="shared" si="27"/>
        <v>1.2036635397830018</v>
      </c>
      <c r="AA89" s="45">
        <v>1901</v>
      </c>
      <c r="AB89" s="35">
        <f t="shared" si="21"/>
        <v>172.81818181818181</v>
      </c>
      <c r="AC89" s="35">
        <f t="shared" si="22"/>
        <v>208</v>
      </c>
      <c r="AD89" s="35">
        <f t="shared" si="23"/>
        <v>35.181818181818187</v>
      </c>
      <c r="AE89" s="35">
        <v>-1.9</v>
      </c>
      <c r="AF89" s="35">
        <f t="shared" si="24"/>
        <v>206.1</v>
      </c>
      <c r="AG89" s="35">
        <f>MIN(AF89,38.8)</f>
        <v>38.799999999999997</v>
      </c>
      <c r="AH89" s="35">
        <f t="shared" si="25"/>
        <v>167.3</v>
      </c>
      <c r="AI89" s="35">
        <v>167.3</v>
      </c>
      <c r="AJ89" s="35">
        <f t="shared" si="26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0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10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10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10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10"/>
      <c r="GC89" s="9"/>
      <c r="GD89" s="9"/>
    </row>
    <row r="90" spans="1:186" s="2" customFormat="1" ht="17" customHeight="1">
      <c r="A90" s="18" t="s">
        <v>89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  <c r="AF90" s="35"/>
      <c r="AG90" s="35"/>
      <c r="AH90" s="35"/>
      <c r="AI90" s="35"/>
      <c r="AJ90" s="35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10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10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10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10"/>
      <c r="GC90" s="9"/>
      <c r="GD90" s="9"/>
    </row>
    <row r="91" spans="1:186" s="2" customFormat="1" ht="17" customHeight="1">
      <c r="A91" s="14" t="s">
        <v>90</v>
      </c>
      <c r="B91" s="35">
        <v>0</v>
      </c>
      <c r="C91" s="35">
        <v>0</v>
      </c>
      <c r="D91" s="4">
        <f t="shared" si="17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17.8</v>
      </c>
      <c r="O91" s="35">
        <v>6.5</v>
      </c>
      <c r="P91" s="4">
        <f t="shared" si="18"/>
        <v>0.3651685393258427</v>
      </c>
      <c r="Q91" s="11">
        <v>20</v>
      </c>
      <c r="R91" s="35">
        <v>5</v>
      </c>
      <c r="S91" s="35">
        <v>5.7</v>
      </c>
      <c r="T91" s="4">
        <f t="shared" si="19"/>
        <v>1.1400000000000001</v>
      </c>
      <c r="U91" s="11">
        <v>20</v>
      </c>
      <c r="V91" s="35">
        <v>0.4</v>
      </c>
      <c r="W91" s="35">
        <v>0.5</v>
      </c>
      <c r="X91" s="4">
        <f t="shared" si="20"/>
        <v>1.2050000000000001</v>
      </c>
      <c r="Y91" s="11">
        <v>30</v>
      </c>
      <c r="Z91" s="44">
        <f t="shared" si="27"/>
        <v>0.9464767255216695</v>
      </c>
      <c r="AA91" s="45">
        <v>543</v>
      </c>
      <c r="AB91" s="35">
        <f t="shared" si="21"/>
        <v>49.363636363636367</v>
      </c>
      <c r="AC91" s="35">
        <f t="shared" si="22"/>
        <v>46.7</v>
      </c>
      <c r="AD91" s="35">
        <f t="shared" si="23"/>
        <v>-2.663636363636364</v>
      </c>
      <c r="AE91" s="35">
        <v>-0.7</v>
      </c>
      <c r="AF91" s="35">
        <f t="shared" si="24"/>
        <v>46</v>
      </c>
      <c r="AG91" s="35"/>
      <c r="AH91" s="35">
        <f t="shared" si="25"/>
        <v>46</v>
      </c>
      <c r="AI91" s="35">
        <v>46</v>
      </c>
      <c r="AJ91" s="35">
        <f t="shared" si="26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0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10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10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10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10"/>
      <c r="GC91" s="9"/>
      <c r="GD91" s="9"/>
    </row>
    <row r="92" spans="1:186" s="2" customFormat="1" ht="17" customHeight="1">
      <c r="A92" s="14" t="s">
        <v>91</v>
      </c>
      <c r="B92" s="35">
        <v>26165</v>
      </c>
      <c r="C92" s="35">
        <v>28834.6</v>
      </c>
      <c r="D92" s="4">
        <f t="shared" si="17"/>
        <v>1.102029428626027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1190.9000000000001</v>
      </c>
      <c r="O92" s="35">
        <v>1134.3</v>
      </c>
      <c r="P92" s="4">
        <f t="shared" si="18"/>
        <v>0.95247291964060787</v>
      </c>
      <c r="Q92" s="11">
        <v>20</v>
      </c>
      <c r="R92" s="35">
        <v>13</v>
      </c>
      <c r="S92" s="35">
        <v>15.2</v>
      </c>
      <c r="T92" s="4">
        <f t="shared" si="19"/>
        <v>1.1692307692307691</v>
      </c>
      <c r="U92" s="11">
        <v>20</v>
      </c>
      <c r="V92" s="35">
        <v>3.7</v>
      </c>
      <c r="W92" s="35">
        <v>4.2</v>
      </c>
      <c r="X92" s="4">
        <f t="shared" si="20"/>
        <v>1.1351351351351351</v>
      </c>
      <c r="Y92" s="11">
        <v>30</v>
      </c>
      <c r="Z92" s="44">
        <f t="shared" si="27"/>
        <v>1.0938552764717733</v>
      </c>
      <c r="AA92" s="45">
        <v>1582</v>
      </c>
      <c r="AB92" s="35">
        <f t="shared" si="21"/>
        <v>143.81818181818181</v>
      </c>
      <c r="AC92" s="35">
        <f t="shared" si="22"/>
        <v>157.30000000000001</v>
      </c>
      <c r="AD92" s="35">
        <f t="shared" si="23"/>
        <v>13.481818181818198</v>
      </c>
      <c r="AE92" s="35">
        <v>-2.2000000000000002</v>
      </c>
      <c r="AF92" s="35">
        <f t="shared" si="24"/>
        <v>155.10000000000002</v>
      </c>
      <c r="AG92" s="35">
        <f>MIN(AF92,5.6)</f>
        <v>5.6</v>
      </c>
      <c r="AH92" s="35">
        <f t="shared" si="25"/>
        <v>149.50000000000003</v>
      </c>
      <c r="AI92" s="35">
        <v>149.50000000000003</v>
      </c>
      <c r="AJ92" s="35">
        <f t="shared" si="26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0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10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10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10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10"/>
      <c r="GC92" s="9"/>
      <c r="GD92" s="9"/>
    </row>
    <row r="93" spans="1:186" s="2" customFormat="1" ht="17" customHeight="1">
      <c r="A93" s="14" t="s">
        <v>92</v>
      </c>
      <c r="B93" s="35">
        <v>0</v>
      </c>
      <c r="C93" s="35">
        <v>0</v>
      </c>
      <c r="D93" s="4">
        <f t="shared" si="17"/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248.9</v>
      </c>
      <c r="O93" s="35">
        <v>151.80000000000001</v>
      </c>
      <c r="P93" s="4">
        <f t="shared" si="18"/>
        <v>0.60988348734431497</v>
      </c>
      <c r="Q93" s="11">
        <v>20</v>
      </c>
      <c r="R93" s="35">
        <v>24.4</v>
      </c>
      <c r="S93" s="35">
        <v>28.3</v>
      </c>
      <c r="T93" s="4">
        <f t="shared" si="19"/>
        <v>1.1598360655737705</v>
      </c>
      <c r="U93" s="11">
        <v>20</v>
      </c>
      <c r="V93" s="35">
        <v>2</v>
      </c>
      <c r="W93" s="35">
        <v>2.1</v>
      </c>
      <c r="X93" s="4">
        <f t="shared" si="20"/>
        <v>1.05</v>
      </c>
      <c r="Y93" s="11">
        <v>30</v>
      </c>
      <c r="Z93" s="44">
        <f t="shared" si="27"/>
        <v>0.95563415797659601</v>
      </c>
      <c r="AA93" s="45">
        <v>1281</v>
      </c>
      <c r="AB93" s="35">
        <f t="shared" si="21"/>
        <v>116.45454545454545</v>
      </c>
      <c r="AC93" s="35">
        <f t="shared" si="22"/>
        <v>111.3</v>
      </c>
      <c r="AD93" s="35">
        <f t="shared" si="23"/>
        <v>-5.1545454545454561</v>
      </c>
      <c r="AE93" s="35">
        <v>2.1</v>
      </c>
      <c r="AF93" s="35">
        <f t="shared" si="24"/>
        <v>113.39999999999999</v>
      </c>
      <c r="AG93" s="35"/>
      <c r="AH93" s="35">
        <f t="shared" si="25"/>
        <v>113.39999999999999</v>
      </c>
      <c r="AI93" s="35">
        <v>113.39999999999999</v>
      </c>
      <c r="AJ93" s="35">
        <f t="shared" si="26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10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10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10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10"/>
      <c r="GC93" s="9"/>
      <c r="GD93" s="9"/>
    </row>
    <row r="94" spans="1:186" s="2" customFormat="1" ht="17" customHeight="1">
      <c r="A94" s="14" t="s">
        <v>93</v>
      </c>
      <c r="B94" s="35">
        <v>0</v>
      </c>
      <c r="C94" s="35">
        <v>0</v>
      </c>
      <c r="D94" s="4">
        <f t="shared" si="17"/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20.7</v>
      </c>
      <c r="O94" s="35">
        <v>12</v>
      </c>
      <c r="P94" s="4">
        <f t="shared" si="18"/>
        <v>0.57971014492753625</v>
      </c>
      <c r="Q94" s="11">
        <v>20</v>
      </c>
      <c r="R94" s="35">
        <v>14.9</v>
      </c>
      <c r="S94" s="35">
        <v>17.100000000000001</v>
      </c>
      <c r="T94" s="4">
        <f t="shared" si="19"/>
        <v>1.1476510067114094</v>
      </c>
      <c r="U94" s="11">
        <v>20</v>
      </c>
      <c r="V94" s="35">
        <v>1.3</v>
      </c>
      <c r="W94" s="35">
        <v>1.5</v>
      </c>
      <c r="X94" s="4">
        <f t="shared" si="20"/>
        <v>1.1538461538461537</v>
      </c>
      <c r="Y94" s="11">
        <v>30</v>
      </c>
      <c r="Z94" s="44">
        <f t="shared" si="27"/>
        <v>0.98803725211662186</v>
      </c>
      <c r="AA94" s="45">
        <v>553</v>
      </c>
      <c r="AB94" s="35">
        <f t="shared" si="21"/>
        <v>50.272727272727273</v>
      </c>
      <c r="AC94" s="35">
        <f t="shared" si="22"/>
        <v>49.7</v>
      </c>
      <c r="AD94" s="35">
        <f t="shared" si="23"/>
        <v>-0.57272727272727053</v>
      </c>
      <c r="AE94" s="35">
        <v>-0.9</v>
      </c>
      <c r="AF94" s="35">
        <f t="shared" si="24"/>
        <v>48.800000000000004</v>
      </c>
      <c r="AG94" s="35"/>
      <c r="AH94" s="35">
        <f t="shared" si="25"/>
        <v>48.800000000000004</v>
      </c>
      <c r="AI94" s="35">
        <v>48.800000000000004</v>
      </c>
      <c r="AJ94" s="35">
        <f t="shared" si="26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0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10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10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10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10"/>
      <c r="GC94" s="9"/>
      <c r="GD94" s="9"/>
    </row>
    <row r="95" spans="1:186" s="2" customFormat="1" ht="17" customHeight="1">
      <c r="A95" s="14" t="s">
        <v>94</v>
      </c>
      <c r="B95" s="35">
        <v>157</v>
      </c>
      <c r="C95" s="35">
        <v>291</v>
      </c>
      <c r="D95" s="4">
        <f t="shared" si="17"/>
        <v>1.2653503184713375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260.2</v>
      </c>
      <c r="O95" s="35">
        <v>0</v>
      </c>
      <c r="P95" s="4">
        <f t="shared" si="18"/>
        <v>0</v>
      </c>
      <c r="Q95" s="11">
        <v>20</v>
      </c>
      <c r="R95" s="35">
        <v>44.5</v>
      </c>
      <c r="S95" s="35">
        <v>52.5</v>
      </c>
      <c r="T95" s="4">
        <f t="shared" si="19"/>
        <v>1.1797752808988764</v>
      </c>
      <c r="U95" s="11">
        <v>25</v>
      </c>
      <c r="V95" s="35">
        <v>2.8</v>
      </c>
      <c r="W95" s="35">
        <v>3.3</v>
      </c>
      <c r="X95" s="4">
        <f t="shared" si="20"/>
        <v>1.1785714285714286</v>
      </c>
      <c r="Y95" s="11">
        <v>25</v>
      </c>
      <c r="Z95" s="44">
        <f t="shared" si="27"/>
        <v>0.89515213651838754</v>
      </c>
      <c r="AA95" s="45">
        <v>1261</v>
      </c>
      <c r="AB95" s="35">
        <f t="shared" si="21"/>
        <v>114.63636363636364</v>
      </c>
      <c r="AC95" s="35">
        <f t="shared" si="22"/>
        <v>102.6</v>
      </c>
      <c r="AD95" s="35">
        <f t="shared" si="23"/>
        <v>-12.036363636363646</v>
      </c>
      <c r="AE95" s="35">
        <v>-3.8</v>
      </c>
      <c r="AF95" s="35">
        <f t="shared" si="24"/>
        <v>98.8</v>
      </c>
      <c r="AG95" s="35"/>
      <c r="AH95" s="35">
        <f t="shared" si="25"/>
        <v>98.8</v>
      </c>
      <c r="AI95" s="35">
        <v>98.8</v>
      </c>
      <c r="AJ95" s="35">
        <f t="shared" si="26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0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10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10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10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10"/>
      <c r="GC95" s="9"/>
      <c r="GD95" s="9"/>
    </row>
    <row r="96" spans="1:186" s="2" customFormat="1" ht="17" customHeight="1">
      <c r="A96" s="14" t="s">
        <v>95</v>
      </c>
      <c r="B96" s="35">
        <v>0</v>
      </c>
      <c r="C96" s="35">
        <v>0</v>
      </c>
      <c r="D96" s="4">
        <f t="shared" si="17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22.4</v>
      </c>
      <c r="O96" s="35">
        <v>23.6</v>
      </c>
      <c r="P96" s="4">
        <f t="shared" si="18"/>
        <v>1.0535714285714286</v>
      </c>
      <c r="Q96" s="11">
        <v>20</v>
      </c>
      <c r="R96" s="35">
        <v>41</v>
      </c>
      <c r="S96" s="35">
        <v>47.5</v>
      </c>
      <c r="T96" s="4">
        <f t="shared" si="19"/>
        <v>1.1585365853658536</v>
      </c>
      <c r="U96" s="11">
        <v>25</v>
      </c>
      <c r="V96" s="35">
        <v>3.9</v>
      </c>
      <c r="W96" s="35">
        <v>4.4000000000000004</v>
      </c>
      <c r="X96" s="4">
        <f t="shared" si="20"/>
        <v>1.1282051282051284</v>
      </c>
      <c r="Y96" s="11">
        <v>25</v>
      </c>
      <c r="Z96" s="44">
        <f t="shared" si="27"/>
        <v>1.1177138772957591</v>
      </c>
      <c r="AA96" s="45">
        <v>686</v>
      </c>
      <c r="AB96" s="35">
        <f t="shared" si="21"/>
        <v>62.363636363636367</v>
      </c>
      <c r="AC96" s="35">
        <f t="shared" si="22"/>
        <v>69.7</v>
      </c>
      <c r="AD96" s="35">
        <f t="shared" si="23"/>
        <v>7.336363636363636</v>
      </c>
      <c r="AE96" s="35">
        <v>-1.6</v>
      </c>
      <c r="AF96" s="35">
        <f t="shared" si="24"/>
        <v>68.100000000000009</v>
      </c>
      <c r="AG96" s="35"/>
      <c r="AH96" s="35">
        <f t="shared" si="25"/>
        <v>68.100000000000009</v>
      </c>
      <c r="AI96" s="35">
        <v>68.100000000000009</v>
      </c>
      <c r="AJ96" s="35">
        <f t="shared" si="26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0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10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10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10"/>
      <c r="GC96" s="9"/>
      <c r="GD96" s="9"/>
    </row>
    <row r="97" spans="1:186" s="2" customFormat="1" ht="17" customHeight="1">
      <c r="A97" s="14" t="s">
        <v>96</v>
      </c>
      <c r="B97" s="35">
        <v>1639</v>
      </c>
      <c r="C97" s="35">
        <v>1448</v>
      </c>
      <c r="D97" s="4">
        <f t="shared" si="17"/>
        <v>0.88346552776082976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98.6</v>
      </c>
      <c r="O97" s="35">
        <v>38.1</v>
      </c>
      <c r="P97" s="4">
        <f t="shared" si="18"/>
        <v>0.38640973630831649</v>
      </c>
      <c r="Q97" s="11">
        <v>20</v>
      </c>
      <c r="R97" s="35">
        <v>3.3</v>
      </c>
      <c r="S97" s="35">
        <v>3.9</v>
      </c>
      <c r="T97" s="4">
        <f t="shared" si="19"/>
        <v>1.1818181818181819</v>
      </c>
      <c r="U97" s="11">
        <v>20</v>
      </c>
      <c r="V97" s="35">
        <v>0.6</v>
      </c>
      <c r="W97" s="35">
        <v>0.7</v>
      </c>
      <c r="X97" s="4">
        <f t="shared" si="20"/>
        <v>1.1666666666666667</v>
      </c>
      <c r="Y97" s="11">
        <v>30</v>
      </c>
      <c r="Z97" s="44">
        <f t="shared" si="27"/>
        <v>0.93999017050172839</v>
      </c>
      <c r="AA97" s="45">
        <v>1000</v>
      </c>
      <c r="AB97" s="35">
        <f t="shared" si="21"/>
        <v>90.909090909090907</v>
      </c>
      <c r="AC97" s="35">
        <f t="shared" si="22"/>
        <v>85.5</v>
      </c>
      <c r="AD97" s="35">
        <f t="shared" si="23"/>
        <v>-5.4090909090909065</v>
      </c>
      <c r="AE97" s="35">
        <v>-10.3</v>
      </c>
      <c r="AF97" s="35">
        <f t="shared" si="24"/>
        <v>75.2</v>
      </c>
      <c r="AG97" s="35">
        <f>MIN(AF97,45.5)</f>
        <v>45.5</v>
      </c>
      <c r="AH97" s="35">
        <f t="shared" si="25"/>
        <v>29.700000000000003</v>
      </c>
      <c r="AI97" s="35">
        <v>29.700000000000003</v>
      </c>
      <c r="AJ97" s="35">
        <f t="shared" si="26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0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10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10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10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10"/>
      <c r="GC97" s="9"/>
      <c r="GD97" s="9"/>
    </row>
    <row r="98" spans="1:186" s="2" customFormat="1" ht="17" customHeight="1">
      <c r="A98" s="14" t="s">
        <v>97</v>
      </c>
      <c r="B98" s="35">
        <v>72</v>
      </c>
      <c r="C98" s="35">
        <v>72</v>
      </c>
      <c r="D98" s="4">
        <f t="shared" si="17"/>
        <v>1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279.3</v>
      </c>
      <c r="O98" s="35">
        <v>149.69999999999999</v>
      </c>
      <c r="P98" s="4">
        <f t="shared" si="18"/>
        <v>0.53598281417830285</v>
      </c>
      <c r="Q98" s="11">
        <v>20</v>
      </c>
      <c r="R98" s="35">
        <v>9.6</v>
      </c>
      <c r="S98" s="35">
        <v>11.3</v>
      </c>
      <c r="T98" s="4">
        <f t="shared" si="19"/>
        <v>1.1770833333333335</v>
      </c>
      <c r="U98" s="11">
        <v>25</v>
      </c>
      <c r="V98" s="35">
        <v>0.6</v>
      </c>
      <c r="W98" s="35">
        <v>0.7</v>
      </c>
      <c r="X98" s="4">
        <f t="shared" si="20"/>
        <v>1.1666666666666667</v>
      </c>
      <c r="Y98" s="11">
        <v>25</v>
      </c>
      <c r="Z98" s="44">
        <f t="shared" si="27"/>
        <v>0.99141757854457579</v>
      </c>
      <c r="AA98" s="45">
        <v>955</v>
      </c>
      <c r="AB98" s="35">
        <f t="shared" si="21"/>
        <v>86.818181818181813</v>
      </c>
      <c r="AC98" s="35">
        <f t="shared" si="22"/>
        <v>86.1</v>
      </c>
      <c r="AD98" s="35">
        <f t="shared" si="23"/>
        <v>-0.7181818181818187</v>
      </c>
      <c r="AE98" s="35">
        <v>-2.2000000000000002</v>
      </c>
      <c r="AF98" s="35">
        <f t="shared" si="24"/>
        <v>83.899999999999991</v>
      </c>
      <c r="AG98" s="35"/>
      <c r="AH98" s="35">
        <f t="shared" si="25"/>
        <v>83.899999999999991</v>
      </c>
      <c r="AI98" s="35">
        <v>83.899999999999991</v>
      </c>
      <c r="AJ98" s="35">
        <f t="shared" si="26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0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10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10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10"/>
      <c r="GC98" s="9"/>
      <c r="GD98" s="9"/>
    </row>
    <row r="99" spans="1:186" s="2" customFormat="1" ht="17" customHeight="1">
      <c r="A99" s="14" t="s">
        <v>98</v>
      </c>
      <c r="B99" s="35">
        <v>261</v>
      </c>
      <c r="C99" s="35">
        <v>215</v>
      </c>
      <c r="D99" s="4">
        <f t="shared" si="17"/>
        <v>0.82375478927203061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312.8</v>
      </c>
      <c r="O99" s="35">
        <v>572.70000000000005</v>
      </c>
      <c r="P99" s="4">
        <f t="shared" si="18"/>
        <v>1.2630882352941177</v>
      </c>
      <c r="Q99" s="11">
        <v>20</v>
      </c>
      <c r="R99" s="35">
        <v>157.9</v>
      </c>
      <c r="S99" s="35">
        <v>183.1</v>
      </c>
      <c r="T99" s="4">
        <f t="shared" si="19"/>
        <v>1.1595946801773274</v>
      </c>
      <c r="U99" s="11">
        <v>25</v>
      </c>
      <c r="V99" s="35">
        <v>8.5</v>
      </c>
      <c r="W99" s="35">
        <v>9.9</v>
      </c>
      <c r="X99" s="4">
        <f t="shared" si="20"/>
        <v>1.1647058823529413</v>
      </c>
      <c r="Y99" s="11">
        <v>25</v>
      </c>
      <c r="Z99" s="44">
        <f t="shared" si="27"/>
        <v>1.1450853332732422</v>
      </c>
      <c r="AA99" s="45">
        <v>633</v>
      </c>
      <c r="AB99" s="35">
        <f t="shared" si="21"/>
        <v>57.545454545454547</v>
      </c>
      <c r="AC99" s="35">
        <f t="shared" si="22"/>
        <v>65.900000000000006</v>
      </c>
      <c r="AD99" s="35">
        <f t="shared" si="23"/>
        <v>8.3545454545454589</v>
      </c>
      <c r="AE99" s="35">
        <v>-1.2</v>
      </c>
      <c r="AF99" s="35">
        <f t="shared" si="24"/>
        <v>64.7</v>
      </c>
      <c r="AG99" s="35"/>
      <c r="AH99" s="35">
        <f t="shared" si="25"/>
        <v>64.7</v>
      </c>
      <c r="AI99" s="35">
        <v>64.7</v>
      </c>
      <c r="AJ99" s="35">
        <f t="shared" si="26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10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10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10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10"/>
      <c r="GC99" s="9"/>
      <c r="GD99" s="9"/>
    </row>
    <row r="100" spans="1:186" s="2" customFormat="1" ht="17" customHeight="1">
      <c r="A100" s="14" t="s">
        <v>99</v>
      </c>
      <c r="B100" s="35">
        <v>0</v>
      </c>
      <c r="C100" s="35">
        <v>0</v>
      </c>
      <c r="D100" s="4">
        <f t="shared" si="17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60.7</v>
      </c>
      <c r="O100" s="35">
        <v>35.799999999999997</v>
      </c>
      <c r="P100" s="4">
        <f t="shared" si="18"/>
        <v>0.58978583196046119</v>
      </c>
      <c r="Q100" s="11">
        <v>20</v>
      </c>
      <c r="R100" s="35">
        <v>21.6</v>
      </c>
      <c r="S100" s="35">
        <v>25.3</v>
      </c>
      <c r="T100" s="4">
        <f t="shared" si="19"/>
        <v>1.1712962962962963</v>
      </c>
      <c r="U100" s="11">
        <v>15</v>
      </c>
      <c r="V100" s="35">
        <v>1.4</v>
      </c>
      <c r="W100" s="35">
        <v>1.6</v>
      </c>
      <c r="X100" s="4">
        <f t="shared" si="20"/>
        <v>1.142857142857143</v>
      </c>
      <c r="Y100" s="11">
        <v>35</v>
      </c>
      <c r="Z100" s="44">
        <f t="shared" si="27"/>
        <v>0.99093087262362389</v>
      </c>
      <c r="AA100" s="45">
        <v>1299</v>
      </c>
      <c r="AB100" s="35">
        <f t="shared" si="21"/>
        <v>118.09090909090909</v>
      </c>
      <c r="AC100" s="35">
        <f t="shared" si="22"/>
        <v>117</v>
      </c>
      <c r="AD100" s="35">
        <f t="shared" si="23"/>
        <v>-1.0909090909090935</v>
      </c>
      <c r="AE100" s="35">
        <v>3.9</v>
      </c>
      <c r="AF100" s="35">
        <f t="shared" si="24"/>
        <v>120.9</v>
      </c>
      <c r="AG100" s="35">
        <f>MIN(AF100,16.5)</f>
        <v>16.5</v>
      </c>
      <c r="AH100" s="35">
        <f t="shared" si="25"/>
        <v>104.4</v>
      </c>
      <c r="AI100" s="35">
        <v>104.4</v>
      </c>
      <c r="AJ100" s="35">
        <f t="shared" si="26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0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10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10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10"/>
      <c r="GC100" s="9"/>
      <c r="GD100" s="9"/>
    </row>
    <row r="101" spans="1:186" s="2" customFormat="1" ht="17" customHeight="1">
      <c r="A101" s="46" t="s">
        <v>100</v>
      </c>
      <c r="B101" s="35">
        <v>0</v>
      </c>
      <c r="C101" s="35">
        <v>0</v>
      </c>
      <c r="D101" s="4">
        <f t="shared" si="17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94.7</v>
      </c>
      <c r="O101" s="35">
        <v>147.6</v>
      </c>
      <c r="P101" s="4">
        <f t="shared" si="18"/>
        <v>1.2358606124604012</v>
      </c>
      <c r="Q101" s="11">
        <v>20</v>
      </c>
      <c r="R101" s="35">
        <v>107.8</v>
      </c>
      <c r="S101" s="35">
        <v>115.3</v>
      </c>
      <c r="T101" s="4">
        <f t="shared" si="19"/>
        <v>1.0695732838589982</v>
      </c>
      <c r="U101" s="11">
        <v>30</v>
      </c>
      <c r="V101" s="35">
        <v>5.4</v>
      </c>
      <c r="W101" s="35">
        <v>5.4</v>
      </c>
      <c r="X101" s="4">
        <f t="shared" si="20"/>
        <v>1</v>
      </c>
      <c r="Y101" s="11">
        <v>20</v>
      </c>
      <c r="Z101" s="44">
        <f t="shared" si="27"/>
        <v>1.0972058680711139</v>
      </c>
      <c r="AA101" s="45">
        <v>81</v>
      </c>
      <c r="AB101" s="35">
        <f t="shared" si="21"/>
        <v>7.3636363636363633</v>
      </c>
      <c r="AC101" s="35">
        <f t="shared" si="22"/>
        <v>8.1</v>
      </c>
      <c r="AD101" s="35">
        <f t="shared" si="23"/>
        <v>0.73636363636363633</v>
      </c>
      <c r="AE101" s="35">
        <v>-0.4</v>
      </c>
      <c r="AF101" s="35">
        <f t="shared" si="24"/>
        <v>7.6999999999999993</v>
      </c>
      <c r="AG101" s="35">
        <f>MIN(AF101,3.7)</f>
        <v>3.7</v>
      </c>
      <c r="AH101" s="35">
        <f t="shared" si="25"/>
        <v>3.9999999999999991</v>
      </c>
      <c r="AI101" s="35">
        <v>3.9999999999999991</v>
      </c>
      <c r="AJ101" s="35">
        <f t="shared" si="26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10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10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10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10"/>
      <c r="GC101" s="9"/>
      <c r="GD101" s="9"/>
    </row>
    <row r="102" spans="1:186" s="2" customFormat="1" ht="17" customHeight="1">
      <c r="A102" s="14" t="s">
        <v>101</v>
      </c>
      <c r="B102" s="35">
        <v>0</v>
      </c>
      <c r="C102" s="35">
        <v>0</v>
      </c>
      <c r="D102" s="4">
        <f t="shared" si="17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25.1</v>
      </c>
      <c r="O102" s="35">
        <v>153.6</v>
      </c>
      <c r="P102" s="4">
        <f t="shared" si="18"/>
        <v>1.3</v>
      </c>
      <c r="Q102" s="11">
        <v>20</v>
      </c>
      <c r="R102" s="35">
        <v>20.8</v>
      </c>
      <c r="S102" s="35">
        <v>24.3</v>
      </c>
      <c r="T102" s="4">
        <f t="shared" si="19"/>
        <v>1.1682692307692308</v>
      </c>
      <c r="U102" s="11">
        <v>20</v>
      </c>
      <c r="V102" s="35">
        <v>2</v>
      </c>
      <c r="W102" s="35">
        <v>2.2999999999999998</v>
      </c>
      <c r="X102" s="4">
        <f t="shared" si="20"/>
        <v>1.1499999999999999</v>
      </c>
      <c r="Y102" s="11">
        <v>30</v>
      </c>
      <c r="Z102" s="44">
        <f t="shared" si="27"/>
        <v>1.198076923076923</v>
      </c>
      <c r="AA102" s="45">
        <v>842</v>
      </c>
      <c r="AB102" s="35">
        <f t="shared" si="21"/>
        <v>76.545454545454547</v>
      </c>
      <c r="AC102" s="35">
        <f t="shared" si="22"/>
        <v>91.7</v>
      </c>
      <c r="AD102" s="35">
        <f t="shared" si="23"/>
        <v>15.154545454545456</v>
      </c>
      <c r="AE102" s="35">
        <v>-3.2</v>
      </c>
      <c r="AF102" s="35">
        <f t="shared" si="24"/>
        <v>88.5</v>
      </c>
      <c r="AG102" s="35"/>
      <c r="AH102" s="35">
        <f t="shared" si="25"/>
        <v>88.5</v>
      </c>
      <c r="AI102" s="35">
        <v>88.5</v>
      </c>
      <c r="AJ102" s="35">
        <f t="shared" si="26"/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0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10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10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10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10"/>
      <c r="GC102" s="9"/>
      <c r="GD102" s="9"/>
    </row>
    <row r="103" spans="1:186" s="2" customFormat="1" ht="17" customHeight="1">
      <c r="A103" s="14" t="s">
        <v>102</v>
      </c>
      <c r="B103" s="35">
        <v>0</v>
      </c>
      <c r="C103" s="35">
        <v>0</v>
      </c>
      <c r="D103" s="4">
        <f t="shared" si="17"/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30</v>
      </c>
      <c r="O103" s="35">
        <v>85.4</v>
      </c>
      <c r="P103" s="4">
        <f t="shared" si="18"/>
        <v>1.3</v>
      </c>
      <c r="Q103" s="11">
        <v>20</v>
      </c>
      <c r="R103" s="35">
        <v>15.1</v>
      </c>
      <c r="S103" s="35">
        <v>17.5</v>
      </c>
      <c r="T103" s="4">
        <f t="shared" si="19"/>
        <v>1.1589403973509933</v>
      </c>
      <c r="U103" s="11">
        <v>15</v>
      </c>
      <c r="V103" s="35">
        <v>1.1000000000000001</v>
      </c>
      <c r="W103" s="35">
        <v>1.3</v>
      </c>
      <c r="X103" s="4">
        <f t="shared" si="20"/>
        <v>1.1818181818181817</v>
      </c>
      <c r="Y103" s="11">
        <v>35</v>
      </c>
      <c r="Z103" s="44">
        <f t="shared" si="27"/>
        <v>1.2106820331985895</v>
      </c>
      <c r="AA103" s="45">
        <v>542</v>
      </c>
      <c r="AB103" s="35">
        <f t="shared" si="21"/>
        <v>49.272727272727273</v>
      </c>
      <c r="AC103" s="35">
        <f t="shared" si="22"/>
        <v>59.7</v>
      </c>
      <c r="AD103" s="35">
        <f t="shared" si="23"/>
        <v>10.427272727272729</v>
      </c>
      <c r="AE103" s="35">
        <v>-6.5</v>
      </c>
      <c r="AF103" s="35">
        <f t="shared" si="24"/>
        <v>53.2</v>
      </c>
      <c r="AG103" s="35"/>
      <c r="AH103" s="35">
        <f t="shared" si="25"/>
        <v>53.2</v>
      </c>
      <c r="AI103" s="35">
        <v>53.2</v>
      </c>
      <c r="AJ103" s="35">
        <f t="shared" si="26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0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10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10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10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10"/>
      <c r="GC103" s="9"/>
      <c r="GD103" s="9"/>
    </row>
    <row r="104" spans="1:186" s="2" customFormat="1" ht="17" customHeight="1">
      <c r="A104" s="18" t="s">
        <v>103</v>
      </c>
      <c r="B104" s="6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  <c r="AF104" s="35"/>
      <c r="AG104" s="35"/>
      <c r="AH104" s="35"/>
      <c r="AI104" s="35"/>
      <c r="AJ104" s="35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0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10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10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10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10"/>
      <c r="GC104" s="9"/>
      <c r="GD104" s="9"/>
    </row>
    <row r="105" spans="1:186" s="2" customFormat="1" ht="15.55" customHeight="1">
      <c r="A105" s="14" t="s">
        <v>104</v>
      </c>
      <c r="B105" s="35">
        <v>141803</v>
      </c>
      <c r="C105" s="35">
        <v>266125.7</v>
      </c>
      <c r="D105" s="4">
        <f t="shared" si="17"/>
        <v>1.267672827796309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2028.1</v>
      </c>
      <c r="O105" s="35">
        <v>2216.8000000000002</v>
      </c>
      <c r="P105" s="4">
        <f t="shared" si="18"/>
        <v>1.0930427493713328</v>
      </c>
      <c r="Q105" s="11">
        <v>20</v>
      </c>
      <c r="R105" s="35">
        <v>8</v>
      </c>
      <c r="S105" s="35">
        <v>14.6</v>
      </c>
      <c r="T105" s="4">
        <f t="shared" si="19"/>
        <v>1.2625</v>
      </c>
      <c r="U105" s="11">
        <v>30</v>
      </c>
      <c r="V105" s="35">
        <v>15</v>
      </c>
      <c r="W105" s="35">
        <v>17.7</v>
      </c>
      <c r="X105" s="4">
        <f t="shared" si="20"/>
        <v>1.18</v>
      </c>
      <c r="Y105" s="11">
        <v>20</v>
      </c>
      <c r="Z105" s="44">
        <f t="shared" si="27"/>
        <v>1.2001572908173717</v>
      </c>
      <c r="AA105" s="45">
        <v>1514</v>
      </c>
      <c r="AB105" s="35">
        <f t="shared" si="21"/>
        <v>137.63636363636363</v>
      </c>
      <c r="AC105" s="35">
        <f t="shared" si="22"/>
        <v>165.2</v>
      </c>
      <c r="AD105" s="35">
        <f t="shared" si="23"/>
        <v>27.563636363636363</v>
      </c>
      <c r="AE105" s="35">
        <v>-20.8</v>
      </c>
      <c r="AF105" s="35">
        <f t="shared" si="24"/>
        <v>144.39999999999998</v>
      </c>
      <c r="AG105" s="35"/>
      <c r="AH105" s="35">
        <f t="shared" si="25"/>
        <v>144.39999999999998</v>
      </c>
      <c r="AI105" s="35">
        <v>144.39999999999998</v>
      </c>
      <c r="AJ105" s="35">
        <f t="shared" si="26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10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10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10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10"/>
      <c r="GC105" s="9"/>
      <c r="GD105" s="9"/>
    </row>
    <row r="106" spans="1:186" s="2" customFormat="1" ht="17" customHeight="1">
      <c r="A106" s="14" t="s">
        <v>105</v>
      </c>
      <c r="B106" s="35">
        <v>0</v>
      </c>
      <c r="C106" s="35">
        <v>449.8</v>
      </c>
      <c r="D106" s="4">
        <f t="shared" si="17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1682.9</v>
      </c>
      <c r="O106" s="35">
        <v>978.3</v>
      </c>
      <c r="P106" s="4">
        <f t="shared" si="18"/>
        <v>0.58131796303999039</v>
      </c>
      <c r="Q106" s="11">
        <v>20</v>
      </c>
      <c r="R106" s="35">
        <v>60</v>
      </c>
      <c r="S106" s="35">
        <v>58.1</v>
      </c>
      <c r="T106" s="4">
        <f t="shared" si="19"/>
        <v>0.96833333333333338</v>
      </c>
      <c r="U106" s="11">
        <v>25</v>
      </c>
      <c r="V106" s="35">
        <v>38</v>
      </c>
      <c r="W106" s="35">
        <v>42.8</v>
      </c>
      <c r="X106" s="4">
        <f t="shared" si="20"/>
        <v>1.1263157894736842</v>
      </c>
      <c r="Y106" s="11">
        <v>25</v>
      </c>
      <c r="Z106" s="44">
        <f t="shared" si="27"/>
        <v>0.91417981901393208</v>
      </c>
      <c r="AA106" s="45">
        <v>1297</v>
      </c>
      <c r="AB106" s="35">
        <f t="shared" si="21"/>
        <v>117.90909090909091</v>
      </c>
      <c r="AC106" s="35">
        <f t="shared" si="22"/>
        <v>107.8</v>
      </c>
      <c r="AD106" s="35">
        <f t="shared" si="23"/>
        <v>-10.109090909090909</v>
      </c>
      <c r="AE106" s="35">
        <v>-32.6</v>
      </c>
      <c r="AF106" s="35">
        <f t="shared" si="24"/>
        <v>75.199999999999989</v>
      </c>
      <c r="AG106" s="35"/>
      <c r="AH106" s="35">
        <f t="shared" si="25"/>
        <v>75.199999999999989</v>
      </c>
      <c r="AI106" s="35">
        <v>75.199999999999989</v>
      </c>
      <c r="AJ106" s="35">
        <f t="shared" si="26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0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10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10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10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10"/>
      <c r="GC106" s="9"/>
      <c r="GD106" s="9"/>
    </row>
    <row r="107" spans="1:186" s="2" customFormat="1" ht="17" customHeight="1">
      <c r="A107" s="14" t="s">
        <v>106</v>
      </c>
      <c r="B107" s="35">
        <v>956</v>
      </c>
      <c r="C107" s="35">
        <v>1960.4</v>
      </c>
      <c r="D107" s="4">
        <f t="shared" si="17"/>
        <v>1.2850627615062762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2417.8000000000002</v>
      </c>
      <c r="O107" s="35">
        <v>2981.5</v>
      </c>
      <c r="P107" s="4">
        <f t="shared" si="18"/>
        <v>1.2033145835056662</v>
      </c>
      <c r="Q107" s="11">
        <v>20</v>
      </c>
      <c r="R107" s="35">
        <v>1</v>
      </c>
      <c r="S107" s="35">
        <v>1.4</v>
      </c>
      <c r="T107" s="4">
        <f t="shared" si="19"/>
        <v>1.22</v>
      </c>
      <c r="U107" s="11">
        <v>25</v>
      </c>
      <c r="V107" s="35">
        <v>5</v>
      </c>
      <c r="W107" s="35">
        <v>12.7</v>
      </c>
      <c r="X107" s="4">
        <f t="shared" si="20"/>
        <v>1.3</v>
      </c>
      <c r="Y107" s="11">
        <v>25</v>
      </c>
      <c r="Z107" s="44">
        <f t="shared" si="27"/>
        <v>1.2489614910647009</v>
      </c>
      <c r="AA107" s="45">
        <v>2238</v>
      </c>
      <c r="AB107" s="35">
        <f t="shared" si="21"/>
        <v>203.45454545454547</v>
      </c>
      <c r="AC107" s="35">
        <f t="shared" si="22"/>
        <v>254.1</v>
      </c>
      <c r="AD107" s="35">
        <f t="shared" si="23"/>
        <v>50.645454545454527</v>
      </c>
      <c r="AE107" s="35">
        <v>-3.5</v>
      </c>
      <c r="AF107" s="35">
        <f t="shared" si="24"/>
        <v>250.6</v>
      </c>
      <c r="AG107" s="35">
        <f>MIN(AF107,101.7)</f>
        <v>101.7</v>
      </c>
      <c r="AH107" s="35">
        <f t="shared" si="25"/>
        <v>148.89999999999998</v>
      </c>
      <c r="AI107" s="35">
        <v>148.89999999999998</v>
      </c>
      <c r="AJ107" s="35">
        <f t="shared" si="26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0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10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10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10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10"/>
      <c r="GC107" s="9"/>
      <c r="GD107" s="9"/>
    </row>
    <row r="108" spans="1:186" s="2" customFormat="1" ht="17" customHeight="1">
      <c r="A108" s="14" t="s">
        <v>107</v>
      </c>
      <c r="B108" s="35">
        <v>76230</v>
      </c>
      <c r="C108" s="35">
        <v>31116</v>
      </c>
      <c r="D108" s="4">
        <f t="shared" si="17"/>
        <v>0.40818575364029908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3477.5</v>
      </c>
      <c r="O108" s="35">
        <v>2990.4</v>
      </c>
      <c r="P108" s="4">
        <f t="shared" si="18"/>
        <v>0.85992810927390373</v>
      </c>
      <c r="Q108" s="11">
        <v>20</v>
      </c>
      <c r="R108" s="35">
        <v>1</v>
      </c>
      <c r="S108" s="35">
        <v>1</v>
      </c>
      <c r="T108" s="4">
        <f t="shared" si="19"/>
        <v>1</v>
      </c>
      <c r="U108" s="11">
        <v>20</v>
      </c>
      <c r="V108" s="35">
        <v>2</v>
      </c>
      <c r="W108" s="35">
        <v>3.4</v>
      </c>
      <c r="X108" s="4">
        <f t="shared" si="20"/>
        <v>1.25</v>
      </c>
      <c r="Y108" s="11">
        <v>30</v>
      </c>
      <c r="Z108" s="44">
        <f t="shared" si="27"/>
        <v>0.98475524652351321</v>
      </c>
      <c r="AA108" s="45">
        <v>1455</v>
      </c>
      <c r="AB108" s="35">
        <f t="shared" si="21"/>
        <v>132.27272727272728</v>
      </c>
      <c r="AC108" s="35">
        <f t="shared" si="22"/>
        <v>130.30000000000001</v>
      </c>
      <c r="AD108" s="35">
        <f t="shared" si="23"/>
        <v>-1.9727272727272691</v>
      </c>
      <c r="AE108" s="35">
        <v>-5.9</v>
      </c>
      <c r="AF108" s="35">
        <f t="shared" si="24"/>
        <v>124.4</v>
      </c>
      <c r="AG108" s="35">
        <f>MIN(AF108,39.9)</f>
        <v>39.9</v>
      </c>
      <c r="AH108" s="35">
        <f t="shared" si="25"/>
        <v>84.5</v>
      </c>
      <c r="AI108" s="35">
        <v>84.5</v>
      </c>
      <c r="AJ108" s="35">
        <f t="shared" si="26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0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10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10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10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10"/>
      <c r="GC108" s="9"/>
      <c r="GD108" s="9"/>
    </row>
    <row r="109" spans="1:186" s="2" customFormat="1" ht="17" customHeight="1">
      <c r="A109" s="14" t="s">
        <v>108</v>
      </c>
      <c r="B109" s="35">
        <v>3765</v>
      </c>
      <c r="C109" s="35">
        <v>2340</v>
      </c>
      <c r="D109" s="4">
        <f t="shared" si="17"/>
        <v>0.62151394422310757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5736.6</v>
      </c>
      <c r="O109" s="35">
        <v>4331.7</v>
      </c>
      <c r="P109" s="4">
        <f t="shared" si="18"/>
        <v>0.75509883903357378</v>
      </c>
      <c r="Q109" s="11">
        <v>20</v>
      </c>
      <c r="R109" s="35">
        <v>155</v>
      </c>
      <c r="S109" s="35">
        <v>200.1</v>
      </c>
      <c r="T109" s="4">
        <f t="shared" si="19"/>
        <v>1.2090967741935483</v>
      </c>
      <c r="U109" s="11">
        <v>25</v>
      </c>
      <c r="V109" s="35">
        <v>0</v>
      </c>
      <c r="W109" s="35">
        <v>0</v>
      </c>
      <c r="X109" s="4">
        <f t="shared" si="20"/>
        <v>1</v>
      </c>
      <c r="Y109" s="11">
        <v>25</v>
      </c>
      <c r="Z109" s="44">
        <f t="shared" si="27"/>
        <v>0.95680669472176572</v>
      </c>
      <c r="AA109" s="45">
        <v>1663</v>
      </c>
      <c r="AB109" s="35">
        <f t="shared" si="21"/>
        <v>151.18181818181819</v>
      </c>
      <c r="AC109" s="35">
        <f t="shared" si="22"/>
        <v>144.69999999999999</v>
      </c>
      <c r="AD109" s="35">
        <f t="shared" si="23"/>
        <v>-6.4818181818181984</v>
      </c>
      <c r="AE109" s="35">
        <v>6.8</v>
      </c>
      <c r="AF109" s="35">
        <f t="shared" si="24"/>
        <v>151.5</v>
      </c>
      <c r="AG109" s="35"/>
      <c r="AH109" s="35">
        <f t="shared" si="25"/>
        <v>151.5</v>
      </c>
      <c r="AI109" s="35">
        <v>151.5</v>
      </c>
      <c r="AJ109" s="35">
        <f t="shared" si="26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10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10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10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10"/>
      <c r="GC109" s="9"/>
      <c r="GD109" s="9"/>
    </row>
    <row r="110" spans="1:186" s="2" customFormat="1" ht="17" customHeight="1">
      <c r="A110" s="14" t="s">
        <v>109</v>
      </c>
      <c r="B110" s="35">
        <v>81187</v>
      </c>
      <c r="C110" s="35">
        <v>93778</v>
      </c>
      <c r="D110" s="4">
        <f t="shared" si="17"/>
        <v>1.155086405459002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1203.2</v>
      </c>
      <c r="O110" s="35">
        <v>2965.9</v>
      </c>
      <c r="P110" s="4">
        <f t="shared" si="18"/>
        <v>1.3</v>
      </c>
      <c r="Q110" s="11">
        <v>20</v>
      </c>
      <c r="R110" s="35">
        <v>1</v>
      </c>
      <c r="S110" s="35">
        <v>3.5</v>
      </c>
      <c r="T110" s="4">
        <f t="shared" si="19"/>
        <v>1.3</v>
      </c>
      <c r="U110" s="11">
        <v>30</v>
      </c>
      <c r="V110" s="35">
        <v>0.2</v>
      </c>
      <c r="W110" s="35">
        <v>1.2</v>
      </c>
      <c r="X110" s="4">
        <f t="shared" si="20"/>
        <v>1.3</v>
      </c>
      <c r="Y110" s="11">
        <v>20</v>
      </c>
      <c r="Z110" s="44">
        <f t="shared" si="27"/>
        <v>1.2818858006823752</v>
      </c>
      <c r="AA110" s="45">
        <v>1917</v>
      </c>
      <c r="AB110" s="35">
        <f t="shared" si="21"/>
        <v>174.27272727272728</v>
      </c>
      <c r="AC110" s="35">
        <f t="shared" si="22"/>
        <v>223.4</v>
      </c>
      <c r="AD110" s="35">
        <f t="shared" si="23"/>
        <v>49.127272727272725</v>
      </c>
      <c r="AE110" s="35">
        <v>13.3</v>
      </c>
      <c r="AF110" s="35">
        <f t="shared" si="24"/>
        <v>236.70000000000002</v>
      </c>
      <c r="AG110" s="35">
        <f>MIN(AF110,87.1)</f>
        <v>87.1</v>
      </c>
      <c r="AH110" s="35">
        <f t="shared" si="25"/>
        <v>149.60000000000002</v>
      </c>
      <c r="AI110" s="35">
        <v>149.60000000000002</v>
      </c>
      <c r="AJ110" s="35">
        <f t="shared" si="26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0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10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10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10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10"/>
      <c r="GC110" s="9"/>
      <c r="GD110" s="9"/>
    </row>
    <row r="111" spans="1:186" s="2" customFormat="1" ht="17" customHeight="1">
      <c r="A111" s="14" t="s">
        <v>110</v>
      </c>
      <c r="B111" s="35">
        <v>0</v>
      </c>
      <c r="C111" s="35">
        <v>372</v>
      </c>
      <c r="D111" s="4">
        <f t="shared" ref="D111:D174" si="28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510.8</v>
      </c>
      <c r="O111" s="35">
        <v>257.7</v>
      </c>
      <c r="P111" s="4">
        <f t="shared" ref="P111:P174" si="29">IF(Q111=0,0,IF(N111=0,1,IF(O111&lt;0,0,IF(O111/N111&gt;1.2,IF((O111/N111-1.2)*0.1+1.2&gt;1.3,1.3,(O111/N111-1.2)*0.1+1.2),O111/N111))))</f>
        <v>0.50450274079874702</v>
      </c>
      <c r="Q111" s="11">
        <v>20</v>
      </c>
      <c r="R111" s="35">
        <v>34</v>
      </c>
      <c r="S111" s="35">
        <v>35</v>
      </c>
      <c r="T111" s="4">
        <f t="shared" ref="T111:T174" si="30">IF(U111=0,0,IF(R111=0,1,IF(S111&lt;0,0,IF(S111/R111&gt;1.2,IF((S111/R111-1.2)*0.1+1.2&gt;1.3,1.3,(S111/R111-1.2)*0.1+1.2),S111/R111))))</f>
        <v>1.0294117647058822</v>
      </c>
      <c r="U111" s="11">
        <v>20</v>
      </c>
      <c r="V111" s="35">
        <v>19</v>
      </c>
      <c r="W111" s="35">
        <v>19</v>
      </c>
      <c r="X111" s="4">
        <f t="shared" ref="X111:X174" si="31">IF(Y111=0,0,IF(V111=0,1,IF(W111&lt;0,0,IF(W111/V111&gt;1.2,IF((W111/V111-1.2)*0.1+1.2&gt;1.3,1.3,(W111/V111-1.2)*0.1+1.2),W111/V111))))</f>
        <v>1</v>
      </c>
      <c r="Y111" s="11">
        <v>30</v>
      </c>
      <c r="Z111" s="44">
        <f t="shared" si="27"/>
        <v>0.86683271585846555</v>
      </c>
      <c r="AA111" s="45">
        <v>2699</v>
      </c>
      <c r="AB111" s="35">
        <f t="shared" ref="AB111:AB174" si="32">AA111/11</f>
        <v>245.36363636363637</v>
      </c>
      <c r="AC111" s="35">
        <f t="shared" ref="AC111:AC174" si="33">ROUND(Z111*AB111,1)</f>
        <v>212.7</v>
      </c>
      <c r="AD111" s="35">
        <f t="shared" ref="AD111:AD174" si="34">AC111-AB111</f>
        <v>-32.663636363636385</v>
      </c>
      <c r="AE111" s="35">
        <v>2.2999999999999998</v>
      </c>
      <c r="AF111" s="35">
        <f t="shared" ref="AF111:AF174" si="35">AC111+AE111</f>
        <v>215</v>
      </c>
      <c r="AG111" s="35"/>
      <c r="AH111" s="35">
        <f t="shared" ref="AH111:AH174" si="36">AF111-AG111</f>
        <v>215</v>
      </c>
      <c r="AI111" s="35">
        <v>215</v>
      </c>
      <c r="AJ111" s="35">
        <f t="shared" ref="AJ111:AJ174" si="37">ROUND(AH111-AI111,1)</f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10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10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10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10"/>
      <c r="GC111" s="9"/>
      <c r="GD111" s="9"/>
    </row>
    <row r="112" spans="1:186" s="2" customFormat="1" ht="17" customHeight="1">
      <c r="A112" s="14" t="s">
        <v>111</v>
      </c>
      <c r="B112" s="35">
        <v>23100</v>
      </c>
      <c r="C112" s="35">
        <v>19599</v>
      </c>
      <c r="D112" s="4">
        <f t="shared" si="28"/>
        <v>0.84844155844155844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980.8</v>
      </c>
      <c r="O112" s="35">
        <v>2646</v>
      </c>
      <c r="P112" s="4">
        <f t="shared" si="29"/>
        <v>1.3</v>
      </c>
      <c r="Q112" s="11">
        <v>20</v>
      </c>
      <c r="R112" s="35">
        <v>52</v>
      </c>
      <c r="S112" s="35">
        <v>62.3</v>
      </c>
      <c r="T112" s="4">
        <f t="shared" si="30"/>
        <v>1.198076923076923</v>
      </c>
      <c r="U112" s="11">
        <v>25</v>
      </c>
      <c r="V112" s="35">
        <v>85</v>
      </c>
      <c r="W112" s="35">
        <v>88.4</v>
      </c>
      <c r="X112" s="4">
        <f t="shared" si="31"/>
        <v>1.04</v>
      </c>
      <c r="Y112" s="11">
        <v>25</v>
      </c>
      <c r="Z112" s="44">
        <f t="shared" ref="Z112:Z175" si="38">(D112*E112+P112*Q112+T112*U112+X112*Y112)/(E112+Q112+U112+Y112)</f>
        <v>1.1304542332667333</v>
      </c>
      <c r="AA112" s="45">
        <v>1839</v>
      </c>
      <c r="AB112" s="35">
        <f t="shared" si="32"/>
        <v>167.18181818181819</v>
      </c>
      <c r="AC112" s="35">
        <f t="shared" si="33"/>
        <v>189</v>
      </c>
      <c r="AD112" s="35">
        <f t="shared" si="34"/>
        <v>21.818181818181813</v>
      </c>
      <c r="AE112" s="35">
        <v>-8.3000000000000007</v>
      </c>
      <c r="AF112" s="35">
        <f t="shared" si="35"/>
        <v>180.7</v>
      </c>
      <c r="AG112" s="35"/>
      <c r="AH112" s="35">
        <f t="shared" si="36"/>
        <v>180.7</v>
      </c>
      <c r="AI112" s="35">
        <v>180.7</v>
      </c>
      <c r="AJ112" s="35">
        <f t="shared" si="37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10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10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10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10"/>
      <c r="GC112" s="9"/>
      <c r="GD112" s="9"/>
    </row>
    <row r="113" spans="1:186" s="2" customFormat="1" ht="17" customHeight="1">
      <c r="A113" s="14" t="s">
        <v>112</v>
      </c>
      <c r="B113" s="35">
        <v>2778</v>
      </c>
      <c r="C113" s="35">
        <v>1162</v>
      </c>
      <c r="D113" s="4">
        <f t="shared" si="28"/>
        <v>0.41828653707703384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1126.2</v>
      </c>
      <c r="O113" s="35">
        <v>906.9</v>
      </c>
      <c r="P113" s="4">
        <f t="shared" si="29"/>
        <v>0.8052743740010655</v>
      </c>
      <c r="Q113" s="11">
        <v>20</v>
      </c>
      <c r="R113" s="35">
        <v>5</v>
      </c>
      <c r="S113" s="35">
        <v>3.2</v>
      </c>
      <c r="T113" s="4">
        <f t="shared" si="30"/>
        <v>0.64</v>
      </c>
      <c r="U113" s="11">
        <v>20</v>
      </c>
      <c r="V113" s="35">
        <v>4</v>
      </c>
      <c r="W113" s="35">
        <v>7.5</v>
      </c>
      <c r="X113" s="4">
        <f t="shared" si="31"/>
        <v>1.2675000000000001</v>
      </c>
      <c r="Y113" s="11">
        <v>30</v>
      </c>
      <c r="Z113" s="44">
        <f t="shared" si="38"/>
        <v>0.88891691063489575</v>
      </c>
      <c r="AA113" s="45">
        <v>3886</v>
      </c>
      <c r="AB113" s="35">
        <f t="shared" si="32"/>
        <v>353.27272727272725</v>
      </c>
      <c r="AC113" s="35">
        <f t="shared" si="33"/>
        <v>314</v>
      </c>
      <c r="AD113" s="35">
        <f t="shared" si="34"/>
        <v>-39.272727272727252</v>
      </c>
      <c r="AE113" s="35">
        <v>-10.8</v>
      </c>
      <c r="AF113" s="35">
        <f t="shared" si="35"/>
        <v>303.2</v>
      </c>
      <c r="AG113" s="35"/>
      <c r="AH113" s="35">
        <f t="shared" si="36"/>
        <v>303.2</v>
      </c>
      <c r="AI113" s="35">
        <v>303.2</v>
      </c>
      <c r="AJ113" s="35">
        <f t="shared" si="37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0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10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10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10"/>
      <c r="GC113" s="9"/>
      <c r="GD113" s="9"/>
    </row>
    <row r="114" spans="1:186" s="2" customFormat="1" ht="17" customHeight="1">
      <c r="A114" s="14" t="s">
        <v>113</v>
      </c>
      <c r="B114" s="35">
        <v>480</v>
      </c>
      <c r="C114" s="35">
        <v>652.1</v>
      </c>
      <c r="D114" s="4">
        <f t="shared" si="28"/>
        <v>1.2158541666666667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2509.4</v>
      </c>
      <c r="O114" s="35">
        <v>2121.8000000000002</v>
      </c>
      <c r="P114" s="4">
        <f t="shared" si="29"/>
        <v>0.84554076671714362</v>
      </c>
      <c r="Q114" s="11">
        <v>20</v>
      </c>
      <c r="R114" s="35">
        <v>0</v>
      </c>
      <c r="S114" s="35">
        <v>0</v>
      </c>
      <c r="T114" s="4">
        <f t="shared" si="30"/>
        <v>0</v>
      </c>
      <c r="U114" s="11">
        <v>0</v>
      </c>
      <c r="V114" s="35">
        <v>0</v>
      </c>
      <c r="W114" s="35">
        <v>0</v>
      </c>
      <c r="X114" s="4">
        <f t="shared" si="31"/>
        <v>0</v>
      </c>
      <c r="Y114" s="11">
        <v>0</v>
      </c>
      <c r="Z114" s="44">
        <f t="shared" si="38"/>
        <v>0.9689785667003179</v>
      </c>
      <c r="AA114" s="45">
        <v>0</v>
      </c>
      <c r="AB114" s="35">
        <f t="shared" si="32"/>
        <v>0</v>
      </c>
      <c r="AC114" s="35">
        <f t="shared" si="33"/>
        <v>0</v>
      </c>
      <c r="AD114" s="35">
        <f t="shared" si="34"/>
        <v>0</v>
      </c>
      <c r="AE114" s="35">
        <v>0</v>
      </c>
      <c r="AF114" s="35">
        <f t="shared" si="35"/>
        <v>0</v>
      </c>
      <c r="AG114" s="35"/>
      <c r="AH114" s="35">
        <f t="shared" si="36"/>
        <v>0</v>
      </c>
      <c r="AI114" s="35">
        <v>0</v>
      </c>
      <c r="AJ114" s="35">
        <f t="shared" si="37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0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10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10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10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10"/>
      <c r="GC114" s="9"/>
      <c r="GD114" s="9"/>
    </row>
    <row r="115" spans="1:186" s="2" customFormat="1" ht="17" customHeight="1">
      <c r="A115" s="14" t="s">
        <v>114</v>
      </c>
      <c r="B115" s="35">
        <v>948620</v>
      </c>
      <c r="C115" s="35">
        <v>775248.9</v>
      </c>
      <c r="D115" s="4">
        <f t="shared" si="28"/>
        <v>0.81723862031161054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16124.6</v>
      </c>
      <c r="O115" s="35">
        <v>19472.900000000001</v>
      </c>
      <c r="P115" s="4">
        <f t="shared" si="29"/>
        <v>1.2007651662676904</v>
      </c>
      <c r="Q115" s="11">
        <v>20</v>
      </c>
      <c r="R115" s="35">
        <v>9</v>
      </c>
      <c r="S115" s="35">
        <v>9.1999999999999993</v>
      </c>
      <c r="T115" s="4">
        <f t="shared" si="30"/>
        <v>1.0222222222222221</v>
      </c>
      <c r="U115" s="11">
        <v>30</v>
      </c>
      <c r="V115" s="35">
        <v>0</v>
      </c>
      <c r="W115" s="35">
        <v>0</v>
      </c>
      <c r="X115" s="4">
        <f t="shared" si="31"/>
        <v>1</v>
      </c>
      <c r="Y115" s="11">
        <v>20</v>
      </c>
      <c r="Z115" s="44">
        <f t="shared" si="38"/>
        <v>1.0356794524392072</v>
      </c>
      <c r="AA115" s="45">
        <v>2683</v>
      </c>
      <c r="AB115" s="35">
        <f t="shared" si="32"/>
        <v>243.90909090909091</v>
      </c>
      <c r="AC115" s="35">
        <f t="shared" si="33"/>
        <v>252.6</v>
      </c>
      <c r="AD115" s="35">
        <f t="shared" si="34"/>
        <v>8.6909090909090878</v>
      </c>
      <c r="AE115" s="35">
        <v>-12.9</v>
      </c>
      <c r="AF115" s="35">
        <f t="shared" si="35"/>
        <v>239.7</v>
      </c>
      <c r="AG115" s="35"/>
      <c r="AH115" s="35">
        <f t="shared" si="36"/>
        <v>239.7</v>
      </c>
      <c r="AI115" s="35">
        <v>239.7</v>
      </c>
      <c r="AJ115" s="35">
        <f t="shared" si="37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0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10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10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10"/>
      <c r="GC115" s="9"/>
      <c r="GD115" s="9"/>
    </row>
    <row r="116" spans="1:186" s="2" customFormat="1" ht="17" customHeight="1">
      <c r="A116" s="14" t="s">
        <v>115</v>
      </c>
      <c r="B116" s="35">
        <v>6530</v>
      </c>
      <c r="C116" s="35">
        <v>2829</v>
      </c>
      <c r="D116" s="4">
        <f t="shared" si="28"/>
        <v>0.43323124042879019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269.2</v>
      </c>
      <c r="O116" s="35">
        <v>287.3</v>
      </c>
      <c r="P116" s="4">
        <f t="shared" si="29"/>
        <v>1.0672362555720654</v>
      </c>
      <c r="Q116" s="11">
        <v>20</v>
      </c>
      <c r="R116" s="35">
        <v>4</v>
      </c>
      <c r="S116" s="35">
        <v>2.8</v>
      </c>
      <c r="T116" s="4">
        <f t="shared" si="30"/>
        <v>0.7</v>
      </c>
      <c r="U116" s="11">
        <v>25</v>
      </c>
      <c r="V116" s="35">
        <v>0.2</v>
      </c>
      <c r="W116" s="35">
        <v>2</v>
      </c>
      <c r="X116" s="4">
        <f t="shared" si="31"/>
        <v>1.3</v>
      </c>
      <c r="Y116" s="11">
        <v>25</v>
      </c>
      <c r="Z116" s="44">
        <f t="shared" si="38"/>
        <v>0.94596296894661513</v>
      </c>
      <c r="AA116" s="45">
        <v>2132</v>
      </c>
      <c r="AB116" s="35">
        <f t="shared" si="32"/>
        <v>193.81818181818181</v>
      </c>
      <c r="AC116" s="35">
        <f t="shared" si="33"/>
        <v>183.3</v>
      </c>
      <c r="AD116" s="35">
        <f t="shared" si="34"/>
        <v>-10.518181818181802</v>
      </c>
      <c r="AE116" s="35">
        <v>14.2</v>
      </c>
      <c r="AF116" s="35">
        <f t="shared" si="35"/>
        <v>197.5</v>
      </c>
      <c r="AG116" s="35">
        <f>MIN(AF116,96.9)</f>
        <v>96.9</v>
      </c>
      <c r="AH116" s="35">
        <f t="shared" si="36"/>
        <v>100.6</v>
      </c>
      <c r="AI116" s="35">
        <v>100.6</v>
      </c>
      <c r="AJ116" s="35">
        <f t="shared" si="37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0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0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10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10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10"/>
      <c r="GC116" s="9"/>
      <c r="GD116" s="9"/>
    </row>
    <row r="117" spans="1:186" s="2" customFormat="1" ht="17" customHeight="1">
      <c r="A117" s="14" t="s">
        <v>116</v>
      </c>
      <c r="B117" s="35">
        <v>4600</v>
      </c>
      <c r="C117" s="35">
        <v>3212</v>
      </c>
      <c r="D117" s="4">
        <f t="shared" si="28"/>
        <v>0.69826086956521738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258.7</v>
      </c>
      <c r="O117" s="35">
        <v>98.2</v>
      </c>
      <c r="P117" s="4">
        <f t="shared" si="29"/>
        <v>0.37959025898724397</v>
      </c>
      <c r="Q117" s="11">
        <v>20</v>
      </c>
      <c r="R117" s="35">
        <v>5</v>
      </c>
      <c r="S117" s="35">
        <v>5.0999999999999996</v>
      </c>
      <c r="T117" s="4">
        <f t="shared" si="30"/>
        <v>1.02</v>
      </c>
      <c r="U117" s="11">
        <v>30</v>
      </c>
      <c r="V117" s="35">
        <v>0.6</v>
      </c>
      <c r="W117" s="35">
        <v>0.6</v>
      </c>
      <c r="X117" s="4">
        <f t="shared" si="31"/>
        <v>1</v>
      </c>
      <c r="Y117" s="11">
        <v>20</v>
      </c>
      <c r="Z117" s="44">
        <f t="shared" si="38"/>
        <v>0.81468017344246313</v>
      </c>
      <c r="AA117" s="45">
        <v>2258</v>
      </c>
      <c r="AB117" s="35">
        <f t="shared" si="32"/>
        <v>205.27272727272728</v>
      </c>
      <c r="AC117" s="35">
        <f t="shared" si="33"/>
        <v>167.2</v>
      </c>
      <c r="AD117" s="35">
        <f t="shared" si="34"/>
        <v>-38.072727272727292</v>
      </c>
      <c r="AE117" s="35">
        <v>-0.5</v>
      </c>
      <c r="AF117" s="35">
        <f t="shared" si="35"/>
        <v>166.7</v>
      </c>
      <c r="AG117" s="35"/>
      <c r="AH117" s="35">
        <f t="shared" si="36"/>
        <v>166.7</v>
      </c>
      <c r="AI117" s="35">
        <v>166.7</v>
      </c>
      <c r="AJ117" s="35">
        <f t="shared" si="37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0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10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10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10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10"/>
      <c r="GC117" s="9"/>
      <c r="GD117" s="9"/>
    </row>
    <row r="118" spans="1:186" s="2" customFormat="1" ht="17" customHeight="1">
      <c r="A118" s="14" t="s">
        <v>117</v>
      </c>
      <c r="B118" s="35">
        <v>0</v>
      </c>
      <c r="C118" s="35">
        <v>0</v>
      </c>
      <c r="D118" s="4">
        <f t="shared" si="28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632.1</v>
      </c>
      <c r="O118" s="35">
        <v>255.1</v>
      </c>
      <c r="P118" s="4">
        <f t="shared" si="29"/>
        <v>0.40357538364182882</v>
      </c>
      <c r="Q118" s="11">
        <v>20</v>
      </c>
      <c r="R118" s="35">
        <v>3.5</v>
      </c>
      <c r="S118" s="35">
        <v>3.7</v>
      </c>
      <c r="T118" s="4">
        <f t="shared" si="30"/>
        <v>1.0571428571428572</v>
      </c>
      <c r="U118" s="11">
        <v>30</v>
      </c>
      <c r="V118" s="35">
        <v>7</v>
      </c>
      <c r="W118" s="35">
        <v>7.1</v>
      </c>
      <c r="X118" s="4">
        <f t="shared" si="31"/>
        <v>1.0142857142857142</v>
      </c>
      <c r="Y118" s="11">
        <v>20</v>
      </c>
      <c r="Z118" s="44">
        <f t="shared" si="38"/>
        <v>0.85816439532623678</v>
      </c>
      <c r="AA118" s="45">
        <v>1475</v>
      </c>
      <c r="AB118" s="35">
        <f t="shared" si="32"/>
        <v>134.09090909090909</v>
      </c>
      <c r="AC118" s="35">
        <f t="shared" si="33"/>
        <v>115.1</v>
      </c>
      <c r="AD118" s="35">
        <f t="shared" si="34"/>
        <v>-18.990909090909099</v>
      </c>
      <c r="AE118" s="35">
        <v>-12</v>
      </c>
      <c r="AF118" s="35">
        <f t="shared" si="35"/>
        <v>103.1</v>
      </c>
      <c r="AG118" s="35">
        <f>MIN(AF118,67)</f>
        <v>67</v>
      </c>
      <c r="AH118" s="35">
        <f t="shared" si="36"/>
        <v>36.099999999999994</v>
      </c>
      <c r="AI118" s="35">
        <v>36.099999999999994</v>
      </c>
      <c r="AJ118" s="35">
        <f t="shared" si="37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0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10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10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10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10"/>
      <c r="GC118" s="9"/>
      <c r="GD118" s="9"/>
    </row>
    <row r="119" spans="1:186" s="2" customFormat="1" ht="17" customHeight="1">
      <c r="A119" s="14" t="s">
        <v>118</v>
      </c>
      <c r="B119" s="35">
        <v>1520</v>
      </c>
      <c r="C119" s="35">
        <v>277624</v>
      </c>
      <c r="D119" s="4">
        <f t="shared" si="28"/>
        <v>1.3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2681.6</v>
      </c>
      <c r="O119" s="35">
        <v>556.70000000000005</v>
      </c>
      <c r="P119" s="4">
        <f t="shared" si="29"/>
        <v>0.2075999403341289</v>
      </c>
      <c r="Q119" s="11">
        <v>20</v>
      </c>
      <c r="R119" s="35">
        <v>40</v>
      </c>
      <c r="S119" s="35">
        <v>40.299999999999997</v>
      </c>
      <c r="T119" s="4">
        <f t="shared" si="30"/>
        <v>1.0074999999999998</v>
      </c>
      <c r="U119" s="11">
        <v>5</v>
      </c>
      <c r="V119" s="35">
        <v>7</v>
      </c>
      <c r="W119" s="35">
        <v>4.4000000000000004</v>
      </c>
      <c r="X119" s="4">
        <f t="shared" si="31"/>
        <v>0.62857142857142867</v>
      </c>
      <c r="Y119" s="11">
        <v>45</v>
      </c>
      <c r="Z119" s="44">
        <f t="shared" si="38"/>
        <v>0.63094016365496086</v>
      </c>
      <c r="AA119" s="45">
        <v>2422</v>
      </c>
      <c r="AB119" s="35">
        <f t="shared" si="32"/>
        <v>220.18181818181819</v>
      </c>
      <c r="AC119" s="35">
        <f t="shared" si="33"/>
        <v>138.9</v>
      </c>
      <c r="AD119" s="35">
        <f t="shared" si="34"/>
        <v>-81.281818181818181</v>
      </c>
      <c r="AE119" s="35">
        <v>-8.5</v>
      </c>
      <c r="AF119" s="35">
        <f t="shared" si="35"/>
        <v>130.4</v>
      </c>
      <c r="AG119" s="35"/>
      <c r="AH119" s="35">
        <f t="shared" si="36"/>
        <v>130.4</v>
      </c>
      <c r="AI119" s="35">
        <v>130.4</v>
      </c>
      <c r="AJ119" s="35">
        <f t="shared" si="37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0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10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10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10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10"/>
      <c r="GC119" s="9"/>
      <c r="GD119" s="9"/>
    </row>
    <row r="120" spans="1:186" s="2" customFormat="1" ht="17" customHeight="1">
      <c r="A120" s="18" t="s">
        <v>119</v>
      </c>
      <c r="B120" s="6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  <c r="AF120" s="35"/>
      <c r="AG120" s="35"/>
      <c r="AH120" s="35"/>
      <c r="AI120" s="35"/>
      <c r="AJ120" s="35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0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10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10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10"/>
      <c r="GC120" s="9"/>
      <c r="GD120" s="9"/>
    </row>
    <row r="121" spans="1:186" s="2" customFormat="1" ht="17" customHeight="1">
      <c r="A121" s="14" t="s">
        <v>120</v>
      </c>
      <c r="B121" s="35">
        <v>313</v>
      </c>
      <c r="C121" s="35">
        <v>184.8</v>
      </c>
      <c r="D121" s="4">
        <f t="shared" si="28"/>
        <v>0.59041533546325886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48.1</v>
      </c>
      <c r="O121" s="35">
        <v>16.7</v>
      </c>
      <c r="P121" s="4">
        <f t="shared" si="29"/>
        <v>0.34719334719334716</v>
      </c>
      <c r="Q121" s="11">
        <v>20</v>
      </c>
      <c r="R121" s="35">
        <v>5</v>
      </c>
      <c r="S121" s="35">
        <v>6.5</v>
      </c>
      <c r="T121" s="4">
        <f t="shared" si="30"/>
        <v>1.21</v>
      </c>
      <c r="U121" s="11">
        <v>25</v>
      </c>
      <c r="V121" s="35">
        <v>1</v>
      </c>
      <c r="W121" s="35">
        <v>1</v>
      </c>
      <c r="X121" s="4">
        <f t="shared" si="31"/>
        <v>1</v>
      </c>
      <c r="Y121" s="11">
        <v>25</v>
      </c>
      <c r="Z121" s="44">
        <f t="shared" si="38"/>
        <v>0.85122525373124414</v>
      </c>
      <c r="AA121" s="45">
        <v>699</v>
      </c>
      <c r="AB121" s="35">
        <f t="shared" si="32"/>
        <v>63.545454545454547</v>
      </c>
      <c r="AC121" s="35">
        <f t="shared" si="33"/>
        <v>54.1</v>
      </c>
      <c r="AD121" s="35">
        <f t="shared" si="34"/>
        <v>-9.4454545454545453</v>
      </c>
      <c r="AE121" s="35">
        <v>-1.5</v>
      </c>
      <c r="AF121" s="35">
        <f t="shared" si="35"/>
        <v>52.6</v>
      </c>
      <c r="AG121" s="35"/>
      <c r="AH121" s="35">
        <f t="shared" si="36"/>
        <v>52.6</v>
      </c>
      <c r="AI121" s="35">
        <v>52.6</v>
      </c>
      <c r="AJ121" s="35">
        <f t="shared" si="37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0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10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10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10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10"/>
      <c r="GC121" s="9"/>
      <c r="GD121" s="9"/>
    </row>
    <row r="122" spans="1:186" s="2" customFormat="1" ht="17" customHeight="1">
      <c r="A122" s="14" t="s">
        <v>121</v>
      </c>
      <c r="B122" s="35">
        <v>12452</v>
      </c>
      <c r="C122" s="35">
        <v>16623.900000000001</v>
      </c>
      <c r="D122" s="4">
        <f t="shared" si="28"/>
        <v>1.2135038548024413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666.8</v>
      </c>
      <c r="O122" s="35">
        <v>469</v>
      </c>
      <c r="P122" s="4">
        <f t="shared" si="29"/>
        <v>0.70335932813437319</v>
      </c>
      <c r="Q122" s="11">
        <v>20</v>
      </c>
      <c r="R122" s="35">
        <v>3</v>
      </c>
      <c r="S122" s="35">
        <v>4.2</v>
      </c>
      <c r="T122" s="4">
        <f t="shared" si="30"/>
        <v>1.22</v>
      </c>
      <c r="U122" s="11">
        <v>30</v>
      </c>
      <c r="V122" s="35">
        <v>3</v>
      </c>
      <c r="W122" s="35">
        <v>3.3</v>
      </c>
      <c r="X122" s="4">
        <f t="shared" si="31"/>
        <v>1.0999999999999999</v>
      </c>
      <c r="Y122" s="11">
        <v>20</v>
      </c>
      <c r="Z122" s="44">
        <f t="shared" si="38"/>
        <v>1.0600278138838983</v>
      </c>
      <c r="AA122" s="45">
        <v>761</v>
      </c>
      <c r="AB122" s="35">
        <f t="shared" si="32"/>
        <v>69.181818181818187</v>
      </c>
      <c r="AC122" s="35">
        <f t="shared" si="33"/>
        <v>73.3</v>
      </c>
      <c r="AD122" s="35">
        <f t="shared" si="34"/>
        <v>4.1181818181818102</v>
      </c>
      <c r="AE122" s="35">
        <v>-1.3</v>
      </c>
      <c r="AF122" s="35">
        <f t="shared" si="35"/>
        <v>72</v>
      </c>
      <c r="AG122" s="35"/>
      <c r="AH122" s="35">
        <f t="shared" si="36"/>
        <v>72</v>
      </c>
      <c r="AI122" s="35">
        <v>72</v>
      </c>
      <c r="AJ122" s="35">
        <f t="shared" si="37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0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10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10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10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10"/>
      <c r="GC122" s="9"/>
      <c r="GD122" s="9"/>
    </row>
    <row r="123" spans="1:186" s="2" customFormat="1" ht="17" customHeight="1">
      <c r="A123" s="14" t="s">
        <v>122</v>
      </c>
      <c r="B123" s="35">
        <v>49</v>
      </c>
      <c r="C123" s="35">
        <v>29.6</v>
      </c>
      <c r="D123" s="4">
        <f t="shared" si="28"/>
        <v>0.60408163265306125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72.5</v>
      </c>
      <c r="O123" s="35">
        <v>42.4</v>
      </c>
      <c r="P123" s="4">
        <f t="shared" si="29"/>
        <v>0.58482758620689657</v>
      </c>
      <c r="Q123" s="11">
        <v>20</v>
      </c>
      <c r="R123" s="35">
        <v>25</v>
      </c>
      <c r="S123" s="35">
        <v>26.8</v>
      </c>
      <c r="T123" s="4">
        <f t="shared" si="30"/>
        <v>1.0720000000000001</v>
      </c>
      <c r="U123" s="11">
        <v>15</v>
      </c>
      <c r="V123" s="35">
        <v>2</v>
      </c>
      <c r="W123" s="35">
        <v>2.2999999999999998</v>
      </c>
      <c r="X123" s="4">
        <f t="shared" si="31"/>
        <v>1.1499999999999999</v>
      </c>
      <c r="Y123" s="11">
        <v>35</v>
      </c>
      <c r="Z123" s="44">
        <f t="shared" si="38"/>
        <v>0.92584210063335681</v>
      </c>
      <c r="AA123" s="45">
        <v>859</v>
      </c>
      <c r="AB123" s="35">
        <f t="shared" si="32"/>
        <v>78.090909090909093</v>
      </c>
      <c r="AC123" s="35">
        <f t="shared" si="33"/>
        <v>72.3</v>
      </c>
      <c r="AD123" s="35">
        <f t="shared" si="34"/>
        <v>-5.7909090909090963</v>
      </c>
      <c r="AE123" s="35">
        <v>-1</v>
      </c>
      <c r="AF123" s="35">
        <f t="shared" si="35"/>
        <v>71.3</v>
      </c>
      <c r="AG123" s="35"/>
      <c r="AH123" s="35">
        <f t="shared" si="36"/>
        <v>71.3</v>
      </c>
      <c r="AI123" s="35">
        <v>71.3</v>
      </c>
      <c r="AJ123" s="35">
        <f t="shared" si="37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0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10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10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10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10"/>
      <c r="GC123" s="9"/>
      <c r="GD123" s="9"/>
    </row>
    <row r="124" spans="1:186" s="2" customFormat="1" ht="17" customHeight="1">
      <c r="A124" s="14" t="s">
        <v>123</v>
      </c>
      <c r="B124" s="35">
        <v>302</v>
      </c>
      <c r="C124" s="35">
        <v>169.6</v>
      </c>
      <c r="D124" s="4">
        <f t="shared" si="28"/>
        <v>0.56158940397350987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117.6</v>
      </c>
      <c r="O124" s="35">
        <v>106.3</v>
      </c>
      <c r="P124" s="4">
        <f t="shared" si="29"/>
        <v>0.90391156462585032</v>
      </c>
      <c r="Q124" s="11">
        <v>20</v>
      </c>
      <c r="R124" s="35">
        <v>78</v>
      </c>
      <c r="S124" s="35">
        <v>89.6</v>
      </c>
      <c r="T124" s="4">
        <f t="shared" si="30"/>
        <v>1.1487179487179486</v>
      </c>
      <c r="U124" s="11">
        <v>30</v>
      </c>
      <c r="V124" s="35">
        <v>2</v>
      </c>
      <c r="W124" s="35">
        <v>2.2999999999999998</v>
      </c>
      <c r="X124" s="4">
        <f t="shared" si="31"/>
        <v>1.1499999999999999</v>
      </c>
      <c r="Y124" s="11">
        <v>20</v>
      </c>
      <c r="Z124" s="44">
        <f t="shared" si="38"/>
        <v>1.0144457974223822</v>
      </c>
      <c r="AA124" s="45">
        <v>888</v>
      </c>
      <c r="AB124" s="35">
        <f t="shared" si="32"/>
        <v>80.727272727272734</v>
      </c>
      <c r="AC124" s="35">
        <f t="shared" si="33"/>
        <v>81.900000000000006</v>
      </c>
      <c r="AD124" s="35">
        <f t="shared" si="34"/>
        <v>1.172727272727272</v>
      </c>
      <c r="AE124" s="35">
        <v>-1.3</v>
      </c>
      <c r="AF124" s="35">
        <f t="shared" si="35"/>
        <v>80.600000000000009</v>
      </c>
      <c r="AG124" s="35"/>
      <c r="AH124" s="35">
        <f t="shared" si="36"/>
        <v>80.600000000000009</v>
      </c>
      <c r="AI124" s="35">
        <v>80.600000000000009</v>
      </c>
      <c r="AJ124" s="35">
        <f t="shared" si="37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0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10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10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10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10"/>
      <c r="GC124" s="9"/>
      <c r="GD124" s="9"/>
    </row>
    <row r="125" spans="1:186" s="2" customFormat="1" ht="17" customHeight="1">
      <c r="A125" s="14" t="s">
        <v>124</v>
      </c>
      <c r="B125" s="35">
        <v>171</v>
      </c>
      <c r="C125" s="35">
        <v>459.5</v>
      </c>
      <c r="D125" s="4">
        <f t="shared" si="28"/>
        <v>1.3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217.2</v>
      </c>
      <c r="O125" s="35">
        <v>243.2</v>
      </c>
      <c r="P125" s="4">
        <f t="shared" si="29"/>
        <v>1.1197053406998159</v>
      </c>
      <c r="Q125" s="11">
        <v>20</v>
      </c>
      <c r="R125" s="35">
        <v>12</v>
      </c>
      <c r="S125" s="35">
        <v>12.6</v>
      </c>
      <c r="T125" s="4">
        <f t="shared" si="30"/>
        <v>1.05</v>
      </c>
      <c r="U125" s="11">
        <v>30</v>
      </c>
      <c r="V125" s="35">
        <v>2</v>
      </c>
      <c r="W125" s="35">
        <v>2.4</v>
      </c>
      <c r="X125" s="4">
        <f t="shared" si="31"/>
        <v>1.2</v>
      </c>
      <c r="Y125" s="11">
        <v>20</v>
      </c>
      <c r="Z125" s="44">
        <f t="shared" si="38"/>
        <v>1.1361763351749539</v>
      </c>
      <c r="AA125" s="45">
        <v>636</v>
      </c>
      <c r="AB125" s="35">
        <f t="shared" si="32"/>
        <v>57.81818181818182</v>
      </c>
      <c r="AC125" s="35">
        <f t="shared" si="33"/>
        <v>65.7</v>
      </c>
      <c r="AD125" s="35">
        <f t="shared" si="34"/>
        <v>7.8818181818181827</v>
      </c>
      <c r="AE125" s="35">
        <v>-4.3</v>
      </c>
      <c r="AF125" s="35">
        <f t="shared" si="35"/>
        <v>61.400000000000006</v>
      </c>
      <c r="AG125" s="35"/>
      <c r="AH125" s="35">
        <f t="shared" si="36"/>
        <v>61.400000000000006</v>
      </c>
      <c r="AI125" s="35">
        <v>61.400000000000006</v>
      </c>
      <c r="AJ125" s="35">
        <f t="shared" si="37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0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10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10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10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10"/>
      <c r="GC125" s="9"/>
      <c r="GD125" s="9"/>
    </row>
    <row r="126" spans="1:186" s="2" customFormat="1" ht="17" customHeight="1">
      <c r="A126" s="14" t="s">
        <v>125</v>
      </c>
      <c r="B126" s="35">
        <v>84</v>
      </c>
      <c r="C126" s="35">
        <v>61.6</v>
      </c>
      <c r="D126" s="4">
        <f t="shared" si="28"/>
        <v>0.73333333333333339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77</v>
      </c>
      <c r="O126" s="35">
        <v>105.5</v>
      </c>
      <c r="P126" s="4">
        <f t="shared" si="29"/>
        <v>1.2170129870129869</v>
      </c>
      <c r="Q126" s="11">
        <v>20</v>
      </c>
      <c r="R126" s="35">
        <v>25</v>
      </c>
      <c r="S126" s="35">
        <v>26.9</v>
      </c>
      <c r="T126" s="4">
        <f t="shared" si="30"/>
        <v>1.0759999999999998</v>
      </c>
      <c r="U126" s="11">
        <v>30</v>
      </c>
      <c r="V126" s="35">
        <v>2</v>
      </c>
      <c r="W126" s="35">
        <v>2.2000000000000002</v>
      </c>
      <c r="X126" s="4">
        <f t="shared" si="31"/>
        <v>1.1000000000000001</v>
      </c>
      <c r="Y126" s="11">
        <v>20</v>
      </c>
      <c r="Z126" s="44">
        <f t="shared" si="38"/>
        <v>1.0744199134199133</v>
      </c>
      <c r="AA126" s="45">
        <v>965</v>
      </c>
      <c r="AB126" s="35">
        <f t="shared" si="32"/>
        <v>87.727272727272734</v>
      </c>
      <c r="AC126" s="35">
        <f t="shared" si="33"/>
        <v>94.3</v>
      </c>
      <c r="AD126" s="35">
        <f t="shared" si="34"/>
        <v>6.5727272727272634</v>
      </c>
      <c r="AE126" s="35">
        <v>-0.7</v>
      </c>
      <c r="AF126" s="35">
        <f t="shared" si="35"/>
        <v>93.6</v>
      </c>
      <c r="AG126" s="35"/>
      <c r="AH126" s="35">
        <f t="shared" si="36"/>
        <v>93.6</v>
      </c>
      <c r="AI126" s="35">
        <v>93.6</v>
      </c>
      <c r="AJ126" s="35">
        <f t="shared" si="37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10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10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10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10"/>
      <c r="GC126" s="9"/>
      <c r="GD126" s="9"/>
    </row>
    <row r="127" spans="1:186" s="2" customFormat="1" ht="17" customHeight="1">
      <c r="A127" s="14" t="s">
        <v>126</v>
      </c>
      <c r="B127" s="35">
        <v>124</v>
      </c>
      <c r="C127" s="35">
        <v>102.7</v>
      </c>
      <c r="D127" s="4">
        <f t="shared" si="28"/>
        <v>0.82822580645161292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111.4</v>
      </c>
      <c r="O127" s="35">
        <v>108.9</v>
      </c>
      <c r="P127" s="4">
        <f t="shared" si="29"/>
        <v>0.97755834829443444</v>
      </c>
      <c r="Q127" s="11">
        <v>20</v>
      </c>
      <c r="R127" s="35">
        <v>11</v>
      </c>
      <c r="S127" s="35">
        <v>16.7</v>
      </c>
      <c r="T127" s="4">
        <f t="shared" si="30"/>
        <v>1.2318181818181817</v>
      </c>
      <c r="U127" s="11">
        <v>35</v>
      </c>
      <c r="V127" s="35">
        <v>2</v>
      </c>
      <c r="W127" s="35">
        <v>2.2000000000000002</v>
      </c>
      <c r="X127" s="4">
        <f t="shared" si="31"/>
        <v>1.1000000000000001</v>
      </c>
      <c r="Y127" s="11">
        <v>15</v>
      </c>
      <c r="Z127" s="44">
        <f t="shared" si="38"/>
        <v>1.0930882674255149</v>
      </c>
      <c r="AA127" s="45">
        <v>690</v>
      </c>
      <c r="AB127" s="35">
        <f t="shared" si="32"/>
        <v>62.727272727272727</v>
      </c>
      <c r="AC127" s="35">
        <f t="shared" si="33"/>
        <v>68.599999999999994</v>
      </c>
      <c r="AD127" s="35">
        <f t="shared" si="34"/>
        <v>5.8727272727272677</v>
      </c>
      <c r="AE127" s="35">
        <v>0.4</v>
      </c>
      <c r="AF127" s="35">
        <f t="shared" si="35"/>
        <v>69</v>
      </c>
      <c r="AG127" s="35"/>
      <c r="AH127" s="35">
        <f t="shared" si="36"/>
        <v>69</v>
      </c>
      <c r="AI127" s="35">
        <v>69</v>
      </c>
      <c r="AJ127" s="35">
        <f t="shared" si="37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0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10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10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10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10"/>
      <c r="GC127" s="9"/>
      <c r="GD127" s="9"/>
    </row>
    <row r="128" spans="1:186" s="2" customFormat="1" ht="17" customHeight="1">
      <c r="A128" s="18" t="s">
        <v>127</v>
      </c>
      <c r="B128" s="6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  <c r="AF128" s="35"/>
      <c r="AG128" s="35"/>
      <c r="AH128" s="35"/>
      <c r="AI128" s="35"/>
      <c r="AJ128" s="35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0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10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10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10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10"/>
      <c r="GC128" s="9"/>
      <c r="GD128" s="9"/>
    </row>
    <row r="129" spans="1:186" s="2" customFormat="1" ht="17" customHeight="1">
      <c r="A129" s="14" t="s">
        <v>128</v>
      </c>
      <c r="B129" s="35">
        <v>1836</v>
      </c>
      <c r="C129" s="35">
        <v>1610</v>
      </c>
      <c r="D129" s="4">
        <f t="shared" si="28"/>
        <v>0.87690631808278863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256.8</v>
      </c>
      <c r="O129" s="35">
        <v>485.2</v>
      </c>
      <c r="P129" s="4">
        <f t="shared" si="29"/>
        <v>1.2689408099688473</v>
      </c>
      <c r="Q129" s="11">
        <v>20</v>
      </c>
      <c r="R129" s="35">
        <v>234</v>
      </c>
      <c r="S129" s="35">
        <v>263.8</v>
      </c>
      <c r="T129" s="4">
        <f t="shared" si="30"/>
        <v>1.1273504273504273</v>
      </c>
      <c r="U129" s="11">
        <v>30</v>
      </c>
      <c r="V129" s="35">
        <v>14</v>
      </c>
      <c r="W129" s="35">
        <v>6.6</v>
      </c>
      <c r="X129" s="4">
        <f t="shared" si="31"/>
        <v>0.47142857142857142</v>
      </c>
      <c r="Y129" s="11">
        <v>20</v>
      </c>
      <c r="Z129" s="44">
        <f t="shared" si="38"/>
        <v>0.96746204536611358</v>
      </c>
      <c r="AA129" s="45">
        <v>780</v>
      </c>
      <c r="AB129" s="35">
        <f t="shared" si="32"/>
        <v>70.909090909090907</v>
      </c>
      <c r="AC129" s="35">
        <f t="shared" si="33"/>
        <v>68.599999999999994</v>
      </c>
      <c r="AD129" s="35">
        <f t="shared" si="34"/>
        <v>-2.3090909090909122</v>
      </c>
      <c r="AE129" s="35">
        <v>2.4</v>
      </c>
      <c r="AF129" s="35">
        <f t="shared" si="35"/>
        <v>71</v>
      </c>
      <c r="AG129" s="35"/>
      <c r="AH129" s="35">
        <f t="shared" si="36"/>
        <v>71</v>
      </c>
      <c r="AI129" s="35">
        <v>71</v>
      </c>
      <c r="AJ129" s="35">
        <f t="shared" si="37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0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10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10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10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</row>
    <row r="130" spans="1:186" s="2" customFormat="1" ht="17" customHeight="1">
      <c r="A130" s="14" t="s">
        <v>129</v>
      </c>
      <c r="B130" s="35">
        <v>0</v>
      </c>
      <c r="C130" s="35">
        <v>0</v>
      </c>
      <c r="D130" s="4">
        <f t="shared" si="28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43.8</v>
      </c>
      <c r="O130" s="35">
        <v>40.6</v>
      </c>
      <c r="P130" s="4">
        <f t="shared" si="29"/>
        <v>0.92694063926940651</v>
      </c>
      <c r="Q130" s="11">
        <v>20</v>
      </c>
      <c r="R130" s="35">
        <v>130</v>
      </c>
      <c r="S130" s="35">
        <v>130.5</v>
      </c>
      <c r="T130" s="4">
        <f t="shared" si="30"/>
        <v>1.0038461538461538</v>
      </c>
      <c r="U130" s="11">
        <v>40</v>
      </c>
      <c r="V130" s="35">
        <v>4</v>
      </c>
      <c r="W130" s="35">
        <v>5.0999999999999996</v>
      </c>
      <c r="X130" s="4">
        <f t="shared" si="31"/>
        <v>1.2075</v>
      </c>
      <c r="Y130" s="11">
        <v>10</v>
      </c>
      <c r="Z130" s="44">
        <f t="shared" si="38"/>
        <v>1.0109665562747754</v>
      </c>
      <c r="AA130" s="45">
        <v>1284</v>
      </c>
      <c r="AB130" s="35">
        <f t="shared" si="32"/>
        <v>116.72727272727273</v>
      </c>
      <c r="AC130" s="35">
        <f t="shared" si="33"/>
        <v>118</v>
      </c>
      <c r="AD130" s="35">
        <f t="shared" si="34"/>
        <v>1.2727272727272663</v>
      </c>
      <c r="AE130" s="35">
        <v>3.9</v>
      </c>
      <c r="AF130" s="35">
        <f t="shared" si="35"/>
        <v>121.9</v>
      </c>
      <c r="AG130" s="35"/>
      <c r="AH130" s="35">
        <f t="shared" si="36"/>
        <v>121.9</v>
      </c>
      <c r="AI130" s="35">
        <v>121.9</v>
      </c>
      <c r="AJ130" s="35">
        <f t="shared" si="37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10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10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10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10"/>
      <c r="GC130" s="9"/>
      <c r="GD130" s="9"/>
    </row>
    <row r="131" spans="1:186" s="2" customFormat="1" ht="17" customHeight="1">
      <c r="A131" s="14" t="s">
        <v>130</v>
      </c>
      <c r="B131" s="35">
        <v>4327</v>
      </c>
      <c r="C131" s="35">
        <v>5052.3</v>
      </c>
      <c r="D131" s="4">
        <f t="shared" si="28"/>
        <v>1.1676219089438411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679.8</v>
      </c>
      <c r="O131" s="35">
        <v>406.5</v>
      </c>
      <c r="P131" s="4">
        <f t="shared" si="29"/>
        <v>0.59796999117387473</v>
      </c>
      <c r="Q131" s="11">
        <v>20</v>
      </c>
      <c r="R131" s="35">
        <v>75</v>
      </c>
      <c r="S131" s="35">
        <v>75.400000000000006</v>
      </c>
      <c r="T131" s="4">
        <f t="shared" si="30"/>
        <v>1.0053333333333334</v>
      </c>
      <c r="U131" s="11">
        <v>20</v>
      </c>
      <c r="V131" s="35">
        <v>6</v>
      </c>
      <c r="W131" s="35">
        <v>6.8</v>
      </c>
      <c r="X131" s="4">
        <f t="shared" si="31"/>
        <v>1.1333333333333333</v>
      </c>
      <c r="Y131" s="11">
        <v>30</v>
      </c>
      <c r="Z131" s="44">
        <f t="shared" si="38"/>
        <v>0.97177856974478216</v>
      </c>
      <c r="AA131" s="45">
        <v>1440</v>
      </c>
      <c r="AB131" s="35">
        <f t="shared" si="32"/>
        <v>130.90909090909091</v>
      </c>
      <c r="AC131" s="35">
        <f t="shared" si="33"/>
        <v>127.2</v>
      </c>
      <c r="AD131" s="35">
        <f t="shared" si="34"/>
        <v>-3.7090909090909037</v>
      </c>
      <c r="AE131" s="35">
        <v>-0.3</v>
      </c>
      <c r="AF131" s="35">
        <f t="shared" si="35"/>
        <v>126.9</v>
      </c>
      <c r="AG131" s="35"/>
      <c r="AH131" s="35">
        <f t="shared" si="36"/>
        <v>126.9</v>
      </c>
      <c r="AI131" s="35">
        <v>126.9</v>
      </c>
      <c r="AJ131" s="35">
        <f t="shared" si="37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0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10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10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10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10"/>
      <c r="GC131" s="9"/>
      <c r="GD131" s="9"/>
    </row>
    <row r="132" spans="1:186" s="2" customFormat="1" ht="17" customHeight="1">
      <c r="A132" s="14" t="s">
        <v>131</v>
      </c>
      <c r="B132" s="35">
        <v>0</v>
      </c>
      <c r="C132" s="35">
        <v>0</v>
      </c>
      <c r="D132" s="4">
        <f t="shared" si="28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188.2</v>
      </c>
      <c r="O132" s="35">
        <v>127.8</v>
      </c>
      <c r="P132" s="4">
        <f t="shared" si="29"/>
        <v>0.67906482465462281</v>
      </c>
      <c r="Q132" s="11">
        <v>20</v>
      </c>
      <c r="R132" s="35">
        <v>86</v>
      </c>
      <c r="S132" s="35">
        <v>73.2</v>
      </c>
      <c r="T132" s="4">
        <f t="shared" si="30"/>
        <v>0.85116279069767442</v>
      </c>
      <c r="U132" s="11">
        <v>20</v>
      </c>
      <c r="V132" s="35">
        <v>8</v>
      </c>
      <c r="W132" s="35">
        <v>10.9</v>
      </c>
      <c r="X132" s="4">
        <f t="shared" si="31"/>
        <v>1.2162500000000001</v>
      </c>
      <c r="Y132" s="11">
        <v>10</v>
      </c>
      <c r="Z132" s="44">
        <f t="shared" si="38"/>
        <v>0.85534104614091888</v>
      </c>
      <c r="AA132" s="45">
        <v>1210</v>
      </c>
      <c r="AB132" s="35">
        <f t="shared" si="32"/>
        <v>110</v>
      </c>
      <c r="AC132" s="35">
        <f t="shared" si="33"/>
        <v>94.1</v>
      </c>
      <c r="AD132" s="35">
        <f t="shared" si="34"/>
        <v>-15.900000000000006</v>
      </c>
      <c r="AE132" s="35">
        <v>5.3</v>
      </c>
      <c r="AF132" s="35">
        <f t="shared" si="35"/>
        <v>99.399999999999991</v>
      </c>
      <c r="AG132" s="35"/>
      <c r="AH132" s="35">
        <f t="shared" si="36"/>
        <v>99.399999999999991</v>
      </c>
      <c r="AI132" s="35">
        <v>99.399999999999991</v>
      </c>
      <c r="AJ132" s="35">
        <f t="shared" si="37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0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10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10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10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10"/>
      <c r="GC132" s="9"/>
      <c r="GD132" s="9"/>
    </row>
    <row r="133" spans="1:186" s="2" customFormat="1" ht="17" customHeight="1">
      <c r="A133" s="14" t="s">
        <v>132</v>
      </c>
      <c r="B133" s="35">
        <v>0</v>
      </c>
      <c r="C133" s="35">
        <v>0</v>
      </c>
      <c r="D133" s="4">
        <f t="shared" si="28"/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39.700000000000003</v>
      </c>
      <c r="O133" s="35">
        <v>151.30000000000001</v>
      </c>
      <c r="P133" s="4">
        <f t="shared" si="29"/>
        <v>1.3</v>
      </c>
      <c r="Q133" s="11">
        <v>20</v>
      </c>
      <c r="R133" s="35">
        <v>74</v>
      </c>
      <c r="S133" s="35">
        <v>86.3</v>
      </c>
      <c r="T133" s="4">
        <f t="shared" si="30"/>
        <v>1.1662162162162162</v>
      </c>
      <c r="U133" s="11">
        <v>35</v>
      </c>
      <c r="V133" s="35">
        <v>3</v>
      </c>
      <c r="W133" s="35">
        <v>4.4000000000000004</v>
      </c>
      <c r="X133" s="4">
        <f t="shared" si="31"/>
        <v>1.2266666666666666</v>
      </c>
      <c r="Y133" s="11">
        <v>15</v>
      </c>
      <c r="Z133" s="44">
        <f t="shared" si="38"/>
        <v>1.2173938223938223</v>
      </c>
      <c r="AA133" s="45">
        <v>1908</v>
      </c>
      <c r="AB133" s="35">
        <f t="shared" si="32"/>
        <v>173.45454545454547</v>
      </c>
      <c r="AC133" s="35">
        <f t="shared" si="33"/>
        <v>211.2</v>
      </c>
      <c r="AD133" s="35">
        <f t="shared" si="34"/>
        <v>37.745454545454521</v>
      </c>
      <c r="AE133" s="35">
        <v>8.4</v>
      </c>
      <c r="AF133" s="35">
        <f t="shared" si="35"/>
        <v>219.6</v>
      </c>
      <c r="AG133" s="35"/>
      <c r="AH133" s="35">
        <f t="shared" si="36"/>
        <v>219.6</v>
      </c>
      <c r="AI133" s="35">
        <v>219.6</v>
      </c>
      <c r="AJ133" s="35">
        <f t="shared" si="37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0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10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10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10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10"/>
      <c r="GC133" s="9"/>
      <c r="GD133" s="9"/>
    </row>
    <row r="134" spans="1:186" s="2" customFormat="1" ht="17" customHeight="1">
      <c r="A134" s="14" t="s">
        <v>133</v>
      </c>
      <c r="B134" s="35">
        <v>512</v>
      </c>
      <c r="C134" s="35">
        <v>387</v>
      </c>
      <c r="D134" s="4">
        <f t="shared" si="28"/>
        <v>0.755859375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309</v>
      </c>
      <c r="O134" s="35">
        <v>388.5</v>
      </c>
      <c r="P134" s="4">
        <f t="shared" si="29"/>
        <v>1.2057281553398058</v>
      </c>
      <c r="Q134" s="11">
        <v>20</v>
      </c>
      <c r="R134" s="35">
        <v>199</v>
      </c>
      <c r="S134" s="35">
        <v>200.3</v>
      </c>
      <c r="T134" s="4">
        <f t="shared" si="30"/>
        <v>1.006532663316583</v>
      </c>
      <c r="U134" s="11">
        <v>35</v>
      </c>
      <c r="V134" s="35">
        <v>9</v>
      </c>
      <c r="W134" s="35">
        <v>13.4</v>
      </c>
      <c r="X134" s="4">
        <f t="shared" si="31"/>
        <v>1.2288888888888889</v>
      </c>
      <c r="Y134" s="11">
        <v>15</v>
      </c>
      <c r="Z134" s="44">
        <f t="shared" si="38"/>
        <v>1.0666891675776233</v>
      </c>
      <c r="AA134" s="45">
        <v>621</v>
      </c>
      <c r="AB134" s="35">
        <f t="shared" si="32"/>
        <v>56.454545454545453</v>
      </c>
      <c r="AC134" s="35">
        <f t="shared" si="33"/>
        <v>60.2</v>
      </c>
      <c r="AD134" s="35">
        <f t="shared" si="34"/>
        <v>3.7454545454545496</v>
      </c>
      <c r="AE134" s="35">
        <v>1.8</v>
      </c>
      <c r="AF134" s="35">
        <f t="shared" si="35"/>
        <v>62</v>
      </c>
      <c r="AG134" s="35"/>
      <c r="AH134" s="35">
        <f t="shared" si="36"/>
        <v>62</v>
      </c>
      <c r="AI134" s="35">
        <v>62</v>
      </c>
      <c r="AJ134" s="35">
        <f t="shared" si="37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10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10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10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10"/>
      <c r="GC134" s="9"/>
      <c r="GD134" s="9"/>
    </row>
    <row r="135" spans="1:186" s="2" customFormat="1" ht="17" customHeight="1">
      <c r="A135" s="14" t="s">
        <v>134</v>
      </c>
      <c r="B135" s="35">
        <v>0</v>
      </c>
      <c r="C135" s="35">
        <v>0</v>
      </c>
      <c r="D135" s="4">
        <f t="shared" si="28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364.1</v>
      </c>
      <c r="O135" s="35">
        <v>166.8</v>
      </c>
      <c r="P135" s="4">
        <f t="shared" si="29"/>
        <v>0.45811590222466353</v>
      </c>
      <c r="Q135" s="11">
        <v>20</v>
      </c>
      <c r="R135" s="35">
        <v>391</v>
      </c>
      <c r="S135" s="35">
        <v>397.4</v>
      </c>
      <c r="T135" s="4">
        <f t="shared" si="30"/>
        <v>1.0163682864450128</v>
      </c>
      <c r="U135" s="11">
        <v>35</v>
      </c>
      <c r="V135" s="35">
        <v>13</v>
      </c>
      <c r="W135" s="35">
        <v>13.1</v>
      </c>
      <c r="X135" s="4">
        <f t="shared" si="31"/>
        <v>1.0076923076923077</v>
      </c>
      <c r="Y135" s="11">
        <v>15</v>
      </c>
      <c r="Z135" s="44">
        <f t="shared" si="38"/>
        <v>0.85500846693504751</v>
      </c>
      <c r="AA135" s="45">
        <v>1211</v>
      </c>
      <c r="AB135" s="35">
        <f t="shared" si="32"/>
        <v>110.09090909090909</v>
      </c>
      <c r="AC135" s="35">
        <f t="shared" si="33"/>
        <v>94.1</v>
      </c>
      <c r="AD135" s="35">
        <f t="shared" si="34"/>
        <v>-15.990909090909099</v>
      </c>
      <c r="AE135" s="35">
        <v>3</v>
      </c>
      <c r="AF135" s="35">
        <f t="shared" si="35"/>
        <v>97.1</v>
      </c>
      <c r="AG135" s="35"/>
      <c r="AH135" s="35">
        <f t="shared" si="36"/>
        <v>97.1</v>
      </c>
      <c r="AI135" s="35">
        <v>97.1</v>
      </c>
      <c r="AJ135" s="35">
        <f t="shared" si="37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0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10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10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10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10"/>
      <c r="GC135" s="9"/>
      <c r="GD135" s="9"/>
    </row>
    <row r="136" spans="1:186" s="2" customFormat="1" ht="17" customHeight="1">
      <c r="A136" s="14" t="s">
        <v>135</v>
      </c>
      <c r="B136" s="35">
        <v>0</v>
      </c>
      <c r="C136" s="35">
        <v>0</v>
      </c>
      <c r="D136" s="4">
        <f t="shared" si="28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194.4</v>
      </c>
      <c r="O136" s="35">
        <v>102.1</v>
      </c>
      <c r="P136" s="4">
        <f t="shared" si="29"/>
        <v>0.52520576131687235</v>
      </c>
      <c r="Q136" s="11">
        <v>20</v>
      </c>
      <c r="R136" s="35">
        <v>6</v>
      </c>
      <c r="S136" s="35">
        <v>5.6</v>
      </c>
      <c r="T136" s="4">
        <f t="shared" si="30"/>
        <v>0.93333333333333324</v>
      </c>
      <c r="U136" s="11">
        <v>25</v>
      </c>
      <c r="V136" s="35">
        <v>0</v>
      </c>
      <c r="W136" s="35">
        <v>0.4</v>
      </c>
      <c r="X136" s="4">
        <f t="shared" si="31"/>
        <v>1</v>
      </c>
      <c r="Y136" s="11">
        <v>25</v>
      </c>
      <c r="Z136" s="44">
        <f t="shared" si="38"/>
        <v>0.84053497942386823</v>
      </c>
      <c r="AA136" s="45">
        <v>683</v>
      </c>
      <c r="AB136" s="35">
        <f t="shared" si="32"/>
        <v>62.090909090909093</v>
      </c>
      <c r="AC136" s="35">
        <f t="shared" si="33"/>
        <v>52.2</v>
      </c>
      <c r="AD136" s="35">
        <f t="shared" si="34"/>
        <v>-9.8909090909090907</v>
      </c>
      <c r="AE136" s="35">
        <v>3.7</v>
      </c>
      <c r="AF136" s="35">
        <f t="shared" si="35"/>
        <v>55.900000000000006</v>
      </c>
      <c r="AG136" s="35"/>
      <c r="AH136" s="35">
        <f t="shared" si="36"/>
        <v>55.900000000000006</v>
      </c>
      <c r="AI136" s="35">
        <v>55.900000000000006</v>
      </c>
      <c r="AJ136" s="35">
        <f t="shared" si="37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0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10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10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10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10"/>
      <c r="GC136" s="9"/>
      <c r="GD136" s="9"/>
    </row>
    <row r="137" spans="1:186" s="2" customFormat="1" ht="17" customHeight="1">
      <c r="A137" s="18" t="s">
        <v>136</v>
      </c>
      <c r="B137" s="6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  <c r="AF137" s="35"/>
      <c r="AG137" s="35"/>
      <c r="AH137" s="35"/>
      <c r="AI137" s="35"/>
      <c r="AJ137" s="35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10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10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10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10"/>
      <c r="GC137" s="9"/>
      <c r="GD137" s="9"/>
    </row>
    <row r="138" spans="1:186" s="2" customFormat="1" ht="17" customHeight="1">
      <c r="A138" s="14" t="s">
        <v>137</v>
      </c>
      <c r="B138" s="35">
        <v>0</v>
      </c>
      <c r="C138" s="35">
        <v>0</v>
      </c>
      <c r="D138" s="4">
        <f t="shared" si="28"/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10.9</v>
      </c>
      <c r="O138" s="35">
        <v>30.7</v>
      </c>
      <c r="P138" s="4">
        <f t="shared" si="29"/>
        <v>1.3</v>
      </c>
      <c r="Q138" s="11">
        <v>20</v>
      </c>
      <c r="R138" s="35">
        <v>3</v>
      </c>
      <c r="S138" s="35">
        <v>3</v>
      </c>
      <c r="T138" s="4">
        <f t="shared" si="30"/>
        <v>1</v>
      </c>
      <c r="U138" s="11">
        <v>30</v>
      </c>
      <c r="V138" s="35">
        <v>1.2</v>
      </c>
      <c r="W138" s="35">
        <v>1</v>
      </c>
      <c r="X138" s="4">
        <f t="shared" si="31"/>
        <v>0.83333333333333337</v>
      </c>
      <c r="Y138" s="11">
        <v>20</v>
      </c>
      <c r="Z138" s="44">
        <f t="shared" si="38"/>
        <v>1.0380952380952382</v>
      </c>
      <c r="AA138" s="45">
        <v>947</v>
      </c>
      <c r="AB138" s="35">
        <f t="shared" si="32"/>
        <v>86.090909090909093</v>
      </c>
      <c r="AC138" s="35">
        <f t="shared" si="33"/>
        <v>89.4</v>
      </c>
      <c r="AD138" s="35">
        <f t="shared" si="34"/>
        <v>3.3090909090909122</v>
      </c>
      <c r="AE138" s="35">
        <v>-0.9</v>
      </c>
      <c r="AF138" s="35">
        <f t="shared" si="35"/>
        <v>88.5</v>
      </c>
      <c r="AG138" s="35"/>
      <c r="AH138" s="35">
        <f t="shared" si="36"/>
        <v>88.5</v>
      </c>
      <c r="AI138" s="35">
        <v>88.5</v>
      </c>
      <c r="AJ138" s="35">
        <f t="shared" si="37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10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10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10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10"/>
      <c r="GC138" s="9"/>
      <c r="GD138" s="9"/>
    </row>
    <row r="139" spans="1:186" s="2" customFormat="1" ht="17" customHeight="1">
      <c r="A139" s="14" t="s">
        <v>138</v>
      </c>
      <c r="B139" s="35">
        <v>0</v>
      </c>
      <c r="C139" s="35">
        <v>0</v>
      </c>
      <c r="D139" s="4">
        <f t="shared" si="28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68.900000000000006</v>
      </c>
      <c r="O139" s="35">
        <v>13.2</v>
      </c>
      <c r="P139" s="4">
        <f t="shared" si="29"/>
        <v>0.19158200290275759</v>
      </c>
      <c r="Q139" s="11">
        <v>20</v>
      </c>
      <c r="R139" s="35">
        <v>3</v>
      </c>
      <c r="S139" s="35">
        <v>3</v>
      </c>
      <c r="T139" s="4">
        <f t="shared" si="30"/>
        <v>1</v>
      </c>
      <c r="U139" s="11">
        <v>35</v>
      </c>
      <c r="V139" s="35">
        <v>1</v>
      </c>
      <c r="W139" s="35">
        <v>1.2</v>
      </c>
      <c r="X139" s="4">
        <f t="shared" si="31"/>
        <v>1.2</v>
      </c>
      <c r="Y139" s="11">
        <v>15</v>
      </c>
      <c r="Z139" s="44">
        <f t="shared" si="38"/>
        <v>0.81188057225793075</v>
      </c>
      <c r="AA139" s="45">
        <v>1086</v>
      </c>
      <c r="AB139" s="35">
        <f t="shared" si="32"/>
        <v>98.727272727272734</v>
      </c>
      <c r="AC139" s="35">
        <f t="shared" si="33"/>
        <v>80.2</v>
      </c>
      <c r="AD139" s="35">
        <f t="shared" si="34"/>
        <v>-18.527272727272731</v>
      </c>
      <c r="AE139" s="35">
        <v>1.3</v>
      </c>
      <c r="AF139" s="35">
        <f t="shared" si="35"/>
        <v>81.5</v>
      </c>
      <c r="AG139" s="35"/>
      <c r="AH139" s="35">
        <f t="shared" si="36"/>
        <v>81.5</v>
      </c>
      <c r="AI139" s="35">
        <v>81.5</v>
      </c>
      <c r="AJ139" s="35">
        <f t="shared" si="37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0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10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10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10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10"/>
      <c r="GC139" s="9"/>
      <c r="GD139" s="9"/>
    </row>
    <row r="140" spans="1:186" s="2" customFormat="1" ht="17" customHeight="1">
      <c r="A140" s="14" t="s">
        <v>139</v>
      </c>
      <c r="B140" s="35">
        <v>0</v>
      </c>
      <c r="C140" s="35">
        <v>0</v>
      </c>
      <c r="D140" s="4">
        <f t="shared" si="28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34.4</v>
      </c>
      <c r="O140" s="35">
        <v>50.2</v>
      </c>
      <c r="P140" s="4">
        <f t="shared" si="29"/>
        <v>1.2259302325581396</v>
      </c>
      <c r="Q140" s="11">
        <v>20</v>
      </c>
      <c r="R140" s="35">
        <v>65</v>
      </c>
      <c r="S140" s="35">
        <v>66</v>
      </c>
      <c r="T140" s="4">
        <f t="shared" si="30"/>
        <v>1.0153846153846153</v>
      </c>
      <c r="U140" s="11">
        <v>30</v>
      </c>
      <c r="V140" s="35">
        <v>4</v>
      </c>
      <c r="W140" s="35">
        <v>4</v>
      </c>
      <c r="X140" s="4">
        <f t="shared" si="31"/>
        <v>1</v>
      </c>
      <c r="Y140" s="11">
        <v>20</v>
      </c>
      <c r="Z140" s="44">
        <f t="shared" si="38"/>
        <v>1.0711449016100179</v>
      </c>
      <c r="AA140" s="45">
        <v>1591</v>
      </c>
      <c r="AB140" s="35">
        <f t="shared" si="32"/>
        <v>144.63636363636363</v>
      </c>
      <c r="AC140" s="35">
        <f t="shared" si="33"/>
        <v>154.9</v>
      </c>
      <c r="AD140" s="35">
        <f t="shared" si="34"/>
        <v>10.26363636363638</v>
      </c>
      <c r="AE140" s="35">
        <v>-7.4</v>
      </c>
      <c r="AF140" s="35">
        <f t="shared" si="35"/>
        <v>147.5</v>
      </c>
      <c r="AG140" s="35"/>
      <c r="AH140" s="35">
        <f t="shared" si="36"/>
        <v>147.5</v>
      </c>
      <c r="AI140" s="35">
        <v>147.5</v>
      </c>
      <c r="AJ140" s="35">
        <f t="shared" si="37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0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10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10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10"/>
      <c r="GC140" s="9"/>
      <c r="GD140" s="9"/>
    </row>
    <row r="141" spans="1:186" s="2" customFormat="1" ht="17" customHeight="1">
      <c r="A141" s="14" t="s">
        <v>140</v>
      </c>
      <c r="B141" s="35">
        <v>3281</v>
      </c>
      <c r="C141" s="35">
        <v>3117.3</v>
      </c>
      <c r="D141" s="4">
        <f t="shared" si="28"/>
        <v>0.95010667479427013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891.2</v>
      </c>
      <c r="O141" s="35">
        <v>697.6</v>
      </c>
      <c r="P141" s="4">
        <f t="shared" si="29"/>
        <v>0.78276481149012567</v>
      </c>
      <c r="Q141" s="11">
        <v>20</v>
      </c>
      <c r="R141" s="35">
        <v>8</v>
      </c>
      <c r="S141" s="35">
        <v>7</v>
      </c>
      <c r="T141" s="4">
        <f t="shared" si="30"/>
        <v>0.875</v>
      </c>
      <c r="U141" s="11">
        <v>20</v>
      </c>
      <c r="V141" s="35">
        <v>0.9</v>
      </c>
      <c r="W141" s="35">
        <v>0.9</v>
      </c>
      <c r="X141" s="4">
        <f t="shared" si="31"/>
        <v>1</v>
      </c>
      <c r="Y141" s="11">
        <v>30</v>
      </c>
      <c r="Z141" s="44">
        <f t="shared" si="38"/>
        <v>0.90820453722181527</v>
      </c>
      <c r="AA141" s="45">
        <v>1586</v>
      </c>
      <c r="AB141" s="35">
        <f t="shared" si="32"/>
        <v>144.18181818181819</v>
      </c>
      <c r="AC141" s="35">
        <f t="shared" si="33"/>
        <v>130.9</v>
      </c>
      <c r="AD141" s="35">
        <f t="shared" si="34"/>
        <v>-13.281818181818181</v>
      </c>
      <c r="AE141" s="35">
        <v>-0.8</v>
      </c>
      <c r="AF141" s="35">
        <f t="shared" si="35"/>
        <v>130.1</v>
      </c>
      <c r="AG141" s="35"/>
      <c r="AH141" s="35">
        <f t="shared" si="36"/>
        <v>130.1</v>
      </c>
      <c r="AI141" s="35">
        <v>130.1</v>
      </c>
      <c r="AJ141" s="35">
        <f t="shared" si="37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0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10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10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10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10"/>
      <c r="GC141" s="9"/>
      <c r="GD141" s="9"/>
    </row>
    <row r="142" spans="1:186" s="2" customFormat="1" ht="17" customHeight="1">
      <c r="A142" s="14" t="s">
        <v>141</v>
      </c>
      <c r="B142" s="35">
        <v>76</v>
      </c>
      <c r="C142" s="35">
        <v>76.5</v>
      </c>
      <c r="D142" s="4">
        <f t="shared" si="28"/>
        <v>1.006578947368421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328.2</v>
      </c>
      <c r="O142" s="35">
        <v>645.6</v>
      </c>
      <c r="P142" s="4">
        <f t="shared" si="29"/>
        <v>1.276709323583181</v>
      </c>
      <c r="Q142" s="11">
        <v>20</v>
      </c>
      <c r="R142" s="35">
        <v>3</v>
      </c>
      <c r="S142" s="35">
        <v>3</v>
      </c>
      <c r="T142" s="4">
        <f t="shared" si="30"/>
        <v>1</v>
      </c>
      <c r="U142" s="11">
        <v>30</v>
      </c>
      <c r="V142" s="35">
        <v>0.5</v>
      </c>
      <c r="W142" s="35">
        <v>0.8</v>
      </c>
      <c r="X142" s="4">
        <f t="shared" si="31"/>
        <v>1.24</v>
      </c>
      <c r="Y142" s="11">
        <v>20</v>
      </c>
      <c r="Z142" s="44">
        <f t="shared" si="38"/>
        <v>1.129999699316848</v>
      </c>
      <c r="AA142" s="45">
        <v>162</v>
      </c>
      <c r="AB142" s="35">
        <f t="shared" si="32"/>
        <v>14.727272727272727</v>
      </c>
      <c r="AC142" s="35">
        <f t="shared" si="33"/>
        <v>16.600000000000001</v>
      </c>
      <c r="AD142" s="35">
        <f t="shared" si="34"/>
        <v>1.8727272727272748</v>
      </c>
      <c r="AE142" s="35">
        <v>-0.1</v>
      </c>
      <c r="AF142" s="35">
        <f t="shared" si="35"/>
        <v>16.5</v>
      </c>
      <c r="AG142" s="35"/>
      <c r="AH142" s="35">
        <f t="shared" si="36"/>
        <v>16.5</v>
      </c>
      <c r="AI142" s="35">
        <v>16.5</v>
      </c>
      <c r="AJ142" s="35">
        <f t="shared" si="37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10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10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10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10"/>
      <c r="GC142" s="9"/>
      <c r="GD142" s="9"/>
    </row>
    <row r="143" spans="1:186" s="2" customFormat="1" ht="17" customHeight="1">
      <c r="A143" s="14" t="s">
        <v>142</v>
      </c>
      <c r="B143" s="35">
        <v>0</v>
      </c>
      <c r="C143" s="35">
        <v>0</v>
      </c>
      <c r="D143" s="4">
        <f t="shared" si="28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20</v>
      </c>
      <c r="O143" s="35">
        <v>10</v>
      </c>
      <c r="P143" s="4">
        <f t="shared" si="29"/>
        <v>0.5</v>
      </c>
      <c r="Q143" s="11">
        <v>20</v>
      </c>
      <c r="R143" s="35">
        <v>4</v>
      </c>
      <c r="S143" s="35">
        <v>4</v>
      </c>
      <c r="T143" s="4">
        <f t="shared" si="30"/>
        <v>1</v>
      </c>
      <c r="U143" s="11">
        <v>35</v>
      </c>
      <c r="V143" s="35">
        <v>1.4</v>
      </c>
      <c r="W143" s="35">
        <v>1.6</v>
      </c>
      <c r="X143" s="4">
        <f t="shared" si="31"/>
        <v>1.142857142857143</v>
      </c>
      <c r="Y143" s="11">
        <v>15</v>
      </c>
      <c r="Z143" s="44">
        <f t="shared" si="38"/>
        <v>0.88775510204081642</v>
      </c>
      <c r="AA143" s="45">
        <v>984</v>
      </c>
      <c r="AB143" s="35">
        <f t="shared" si="32"/>
        <v>89.454545454545453</v>
      </c>
      <c r="AC143" s="35">
        <f t="shared" si="33"/>
        <v>79.400000000000006</v>
      </c>
      <c r="AD143" s="35">
        <f t="shared" si="34"/>
        <v>-10.054545454545448</v>
      </c>
      <c r="AE143" s="35">
        <v>1</v>
      </c>
      <c r="AF143" s="35">
        <f t="shared" si="35"/>
        <v>80.400000000000006</v>
      </c>
      <c r="AG143" s="35"/>
      <c r="AH143" s="35">
        <f t="shared" si="36"/>
        <v>80.400000000000006</v>
      </c>
      <c r="AI143" s="35">
        <v>80.400000000000006</v>
      </c>
      <c r="AJ143" s="35">
        <f t="shared" si="37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0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10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10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10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10"/>
      <c r="GC143" s="9"/>
      <c r="GD143" s="9"/>
    </row>
    <row r="144" spans="1:186" s="2" customFormat="1" ht="17" customHeight="1">
      <c r="A144" s="18" t="s">
        <v>143</v>
      </c>
      <c r="B144" s="6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  <c r="AF144" s="35"/>
      <c r="AG144" s="35"/>
      <c r="AH144" s="35"/>
      <c r="AI144" s="35"/>
      <c r="AJ144" s="35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0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10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10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10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10"/>
      <c r="GC144" s="9"/>
      <c r="GD144" s="9"/>
    </row>
    <row r="145" spans="1:186" s="2" customFormat="1" ht="17" customHeight="1">
      <c r="A145" s="14" t="s">
        <v>144</v>
      </c>
      <c r="B145" s="35">
        <v>519</v>
      </c>
      <c r="C145" s="35">
        <v>570.9</v>
      </c>
      <c r="D145" s="4">
        <f t="shared" si="28"/>
        <v>1.0999999999999999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159.9</v>
      </c>
      <c r="O145" s="35">
        <v>100.8</v>
      </c>
      <c r="P145" s="4">
        <f t="shared" si="29"/>
        <v>0.6303939962476548</v>
      </c>
      <c r="Q145" s="11">
        <v>20</v>
      </c>
      <c r="R145" s="35">
        <v>1</v>
      </c>
      <c r="S145" s="35">
        <v>1</v>
      </c>
      <c r="T145" s="4">
        <f t="shared" si="30"/>
        <v>1</v>
      </c>
      <c r="U145" s="11">
        <v>20</v>
      </c>
      <c r="V145" s="35">
        <v>0.5</v>
      </c>
      <c r="W145" s="35">
        <v>0.6</v>
      </c>
      <c r="X145" s="4">
        <f t="shared" si="31"/>
        <v>1.2</v>
      </c>
      <c r="Y145" s="11">
        <v>30</v>
      </c>
      <c r="Z145" s="44">
        <f t="shared" si="38"/>
        <v>0.99509849906191372</v>
      </c>
      <c r="AA145" s="45">
        <v>1180</v>
      </c>
      <c r="AB145" s="35">
        <f t="shared" si="32"/>
        <v>107.27272727272727</v>
      </c>
      <c r="AC145" s="35">
        <f t="shared" si="33"/>
        <v>106.7</v>
      </c>
      <c r="AD145" s="35">
        <f t="shared" si="34"/>
        <v>-0.57272727272726343</v>
      </c>
      <c r="AE145" s="35">
        <v>0.2</v>
      </c>
      <c r="AF145" s="35">
        <f t="shared" si="35"/>
        <v>106.9</v>
      </c>
      <c r="AG145" s="35"/>
      <c r="AH145" s="35">
        <f t="shared" si="36"/>
        <v>106.9</v>
      </c>
      <c r="AI145" s="35">
        <v>106.9</v>
      </c>
      <c r="AJ145" s="35">
        <f t="shared" si="37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0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10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10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10"/>
      <c r="GC145" s="9"/>
      <c r="GD145" s="9"/>
    </row>
    <row r="146" spans="1:186" s="2" customFormat="1" ht="17" customHeight="1">
      <c r="A146" s="14" t="s">
        <v>145</v>
      </c>
      <c r="B146" s="35">
        <v>238</v>
      </c>
      <c r="C146" s="35">
        <v>236.7</v>
      </c>
      <c r="D146" s="4">
        <f t="shared" si="28"/>
        <v>0.99453781512605033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355.8</v>
      </c>
      <c r="O146" s="35">
        <v>192.6</v>
      </c>
      <c r="P146" s="4">
        <f t="shared" si="29"/>
        <v>0.54131534569983131</v>
      </c>
      <c r="Q146" s="11">
        <v>20</v>
      </c>
      <c r="R146" s="35">
        <v>0.3</v>
      </c>
      <c r="S146" s="35">
        <v>0.3</v>
      </c>
      <c r="T146" s="4">
        <f t="shared" si="30"/>
        <v>1</v>
      </c>
      <c r="U146" s="11">
        <v>15</v>
      </c>
      <c r="V146" s="35">
        <v>0.3</v>
      </c>
      <c r="W146" s="35">
        <v>0.3</v>
      </c>
      <c r="X146" s="4">
        <f t="shared" si="31"/>
        <v>1</v>
      </c>
      <c r="Y146" s="11">
        <v>35</v>
      </c>
      <c r="Z146" s="44">
        <f t="shared" si="38"/>
        <v>0.88464606331571416</v>
      </c>
      <c r="AA146" s="45">
        <v>594</v>
      </c>
      <c r="AB146" s="35">
        <f t="shared" si="32"/>
        <v>54</v>
      </c>
      <c r="AC146" s="35">
        <f t="shared" si="33"/>
        <v>47.8</v>
      </c>
      <c r="AD146" s="35">
        <f t="shared" si="34"/>
        <v>-6.2000000000000028</v>
      </c>
      <c r="AE146" s="35">
        <v>0.3</v>
      </c>
      <c r="AF146" s="35">
        <f t="shared" si="35"/>
        <v>48.099999999999994</v>
      </c>
      <c r="AG146" s="35"/>
      <c r="AH146" s="35">
        <f t="shared" si="36"/>
        <v>48.099999999999994</v>
      </c>
      <c r="AI146" s="35">
        <v>48.099999999999994</v>
      </c>
      <c r="AJ146" s="35">
        <f t="shared" si="37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10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10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10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10"/>
      <c r="GC146" s="9"/>
      <c r="GD146" s="9"/>
    </row>
    <row r="147" spans="1:186" s="2" customFormat="1" ht="17" customHeight="1">
      <c r="A147" s="14" t="s">
        <v>146</v>
      </c>
      <c r="B147" s="35">
        <v>1350</v>
      </c>
      <c r="C147" s="35">
        <v>1400</v>
      </c>
      <c r="D147" s="4">
        <f t="shared" si="28"/>
        <v>1.037037037037037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349.7</v>
      </c>
      <c r="O147" s="35">
        <v>336.1</v>
      </c>
      <c r="P147" s="4">
        <f t="shared" si="29"/>
        <v>0.96110952244781256</v>
      </c>
      <c r="Q147" s="11">
        <v>20</v>
      </c>
      <c r="R147" s="35">
        <v>465</v>
      </c>
      <c r="S147" s="35">
        <v>570.1</v>
      </c>
      <c r="T147" s="4">
        <f t="shared" si="30"/>
        <v>1.2026021505376343</v>
      </c>
      <c r="U147" s="11">
        <v>10</v>
      </c>
      <c r="V147" s="35">
        <v>1</v>
      </c>
      <c r="W147" s="35">
        <v>6.8</v>
      </c>
      <c r="X147" s="4">
        <f t="shared" si="31"/>
        <v>1.3</v>
      </c>
      <c r="Y147" s="11">
        <v>40</v>
      </c>
      <c r="Z147" s="44">
        <f t="shared" si="38"/>
        <v>1.1702322790587871</v>
      </c>
      <c r="AA147" s="45">
        <v>1921</v>
      </c>
      <c r="AB147" s="35">
        <f t="shared" si="32"/>
        <v>174.63636363636363</v>
      </c>
      <c r="AC147" s="35">
        <f t="shared" si="33"/>
        <v>204.4</v>
      </c>
      <c r="AD147" s="35">
        <f t="shared" si="34"/>
        <v>29.76363636363638</v>
      </c>
      <c r="AE147" s="35">
        <v>-0.6</v>
      </c>
      <c r="AF147" s="35">
        <f t="shared" si="35"/>
        <v>203.8</v>
      </c>
      <c r="AG147" s="35"/>
      <c r="AH147" s="35">
        <f t="shared" si="36"/>
        <v>203.8</v>
      </c>
      <c r="AI147" s="35">
        <v>203.8</v>
      </c>
      <c r="AJ147" s="35">
        <f t="shared" si="37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0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10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10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10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10"/>
      <c r="GC147" s="9"/>
      <c r="GD147" s="9"/>
    </row>
    <row r="148" spans="1:186" s="2" customFormat="1" ht="17" customHeight="1">
      <c r="A148" s="14" t="s">
        <v>147</v>
      </c>
      <c r="B148" s="35">
        <v>6964</v>
      </c>
      <c r="C148" s="35">
        <v>7000.6</v>
      </c>
      <c r="D148" s="4">
        <f t="shared" si="28"/>
        <v>1.005255600229753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630.4</v>
      </c>
      <c r="O148" s="35">
        <v>386.2</v>
      </c>
      <c r="P148" s="4">
        <f t="shared" si="29"/>
        <v>0.61262690355329952</v>
      </c>
      <c r="Q148" s="11">
        <v>20</v>
      </c>
      <c r="R148" s="35">
        <v>2.5</v>
      </c>
      <c r="S148" s="35">
        <v>2.5</v>
      </c>
      <c r="T148" s="4">
        <f t="shared" si="30"/>
        <v>1</v>
      </c>
      <c r="U148" s="11">
        <v>20</v>
      </c>
      <c r="V148" s="35">
        <v>2.6</v>
      </c>
      <c r="W148" s="35">
        <v>2.6</v>
      </c>
      <c r="X148" s="4">
        <f t="shared" si="31"/>
        <v>1</v>
      </c>
      <c r="Y148" s="11">
        <v>30</v>
      </c>
      <c r="Z148" s="44">
        <f t="shared" si="38"/>
        <v>0.90381367591704398</v>
      </c>
      <c r="AA148" s="45">
        <v>4243</v>
      </c>
      <c r="AB148" s="35">
        <f t="shared" si="32"/>
        <v>385.72727272727275</v>
      </c>
      <c r="AC148" s="35">
        <f t="shared" si="33"/>
        <v>348.6</v>
      </c>
      <c r="AD148" s="35">
        <f t="shared" si="34"/>
        <v>-37.127272727272725</v>
      </c>
      <c r="AE148" s="35">
        <v>-5</v>
      </c>
      <c r="AF148" s="35">
        <f t="shared" si="35"/>
        <v>343.6</v>
      </c>
      <c r="AG148" s="35"/>
      <c r="AH148" s="35">
        <f t="shared" si="36"/>
        <v>343.6</v>
      </c>
      <c r="AI148" s="35">
        <v>343.6</v>
      </c>
      <c r="AJ148" s="35">
        <f t="shared" si="37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0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10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10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10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10"/>
      <c r="GC148" s="9"/>
      <c r="GD148" s="9"/>
    </row>
    <row r="149" spans="1:186" s="2" customFormat="1" ht="17" customHeight="1">
      <c r="A149" s="14" t="s">
        <v>148</v>
      </c>
      <c r="B149" s="35">
        <v>164</v>
      </c>
      <c r="C149" s="35">
        <v>165</v>
      </c>
      <c r="D149" s="4">
        <f t="shared" si="28"/>
        <v>1.0060975609756098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696.7</v>
      </c>
      <c r="O149" s="35">
        <v>2399</v>
      </c>
      <c r="P149" s="4">
        <f t="shared" si="29"/>
        <v>1.3</v>
      </c>
      <c r="Q149" s="11">
        <v>20</v>
      </c>
      <c r="R149" s="35">
        <v>126.7</v>
      </c>
      <c r="S149" s="35">
        <v>139</v>
      </c>
      <c r="T149" s="4">
        <f t="shared" si="30"/>
        <v>1.0970797158642462</v>
      </c>
      <c r="U149" s="11">
        <v>35</v>
      </c>
      <c r="V149" s="35">
        <v>4</v>
      </c>
      <c r="W149" s="35">
        <v>4.8</v>
      </c>
      <c r="X149" s="4">
        <f t="shared" si="31"/>
        <v>1.2</v>
      </c>
      <c r="Y149" s="11">
        <v>15</v>
      </c>
      <c r="Z149" s="44">
        <f t="shared" si="38"/>
        <v>1.155734570812559</v>
      </c>
      <c r="AA149" s="45">
        <v>1571</v>
      </c>
      <c r="AB149" s="35">
        <f t="shared" si="32"/>
        <v>142.81818181818181</v>
      </c>
      <c r="AC149" s="35">
        <f t="shared" si="33"/>
        <v>165.1</v>
      </c>
      <c r="AD149" s="35">
        <f t="shared" si="34"/>
        <v>22.281818181818181</v>
      </c>
      <c r="AE149" s="35">
        <v>0.1</v>
      </c>
      <c r="AF149" s="35">
        <f t="shared" si="35"/>
        <v>165.2</v>
      </c>
      <c r="AG149" s="35"/>
      <c r="AH149" s="35">
        <f t="shared" si="36"/>
        <v>165.2</v>
      </c>
      <c r="AI149" s="35">
        <v>165.2</v>
      </c>
      <c r="AJ149" s="35">
        <f t="shared" si="37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0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10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10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10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10"/>
      <c r="GC149" s="9"/>
      <c r="GD149" s="9"/>
    </row>
    <row r="150" spans="1:186" s="2" customFormat="1" ht="17" customHeight="1">
      <c r="A150" s="14" t="s">
        <v>149</v>
      </c>
      <c r="B150" s="35">
        <v>0</v>
      </c>
      <c r="C150" s="35">
        <v>0</v>
      </c>
      <c r="D150" s="4">
        <f t="shared" si="28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610.1</v>
      </c>
      <c r="O150" s="35">
        <v>195.8</v>
      </c>
      <c r="P150" s="4">
        <f t="shared" si="29"/>
        <v>0.32093099491886579</v>
      </c>
      <c r="Q150" s="11">
        <v>20</v>
      </c>
      <c r="R150" s="35">
        <v>2.2000000000000002</v>
      </c>
      <c r="S150" s="35">
        <v>5.3</v>
      </c>
      <c r="T150" s="4">
        <f t="shared" si="30"/>
        <v>1.3</v>
      </c>
      <c r="U150" s="11">
        <v>5</v>
      </c>
      <c r="V150" s="35">
        <v>21</v>
      </c>
      <c r="W150" s="35">
        <v>25.3</v>
      </c>
      <c r="X150" s="4">
        <f t="shared" si="31"/>
        <v>1.2004761904761905</v>
      </c>
      <c r="Y150" s="11">
        <v>45</v>
      </c>
      <c r="Z150" s="44">
        <f t="shared" si="38"/>
        <v>0.95628640671151266</v>
      </c>
      <c r="AA150" s="45">
        <v>822</v>
      </c>
      <c r="AB150" s="35">
        <f t="shared" si="32"/>
        <v>74.727272727272734</v>
      </c>
      <c r="AC150" s="35">
        <f t="shared" si="33"/>
        <v>71.5</v>
      </c>
      <c r="AD150" s="35">
        <f t="shared" si="34"/>
        <v>-3.2272727272727337</v>
      </c>
      <c r="AE150" s="35">
        <v>-2.2000000000000002</v>
      </c>
      <c r="AF150" s="35">
        <f t="shared" si="35"/>
        <v>69.3</v>
      </c>
      <c r="AG150" s="35"/>
      <c r="AH150" s="35">
        <f t="shared" si="36"/>
        <v>69.3</v>
      </c>
      <c r="AI150" s="35">
        <v>69.3</v>
      </c>
      <c r="AJ150" s="35">
        <f t="shared" si="37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10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10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10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10"/>
      <c r="GC150" s="9"/>
      <c r="GD150" s="9"/>
    </row>
    <row r="151" spans="1:186" s="2" customFormat="1" ht="17" customHeight="1">
      <c r="A151" s="14" t="s">
        <v>150</v>
      </c>
      <c r="B151" s="35">
        <v>21410</v>
      </c>
      <c r="C151" s="35">
        <v>24476.5</v>
      </c>
      <c r="D151" s="4">
        <f t="shared" si="28"/>
        <v>1.1432274638019617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762.6</v>
      </c>
      <c r="O151" s="35">
        <v>582.20000000000005</v>
      </c>
      <c r="P151" s="4">
        <f t="shared" si="29"/>
        <v>0.76344086021505375</v>
      </c>
      <c r="Q151" s="11">
        <v>20</v>
      </c>
      <c r="R151" s="35">
        <v>0.8</v>
      </c>
      <c r="S151" s="35">
        <v>0.8</v>
      </c>
      <c r="T151" s="4">
        <f t="shared" si="30"/>
        <v>1</v>
      </c>
      <c r="U151" s="11">
        <v>15</v>
      </c>
      <c r="V151" s="35">
        <v>14</v>
      </c>
      <c r="W151" s="35">
        <v>20</v>
      </c>
      <c r="X151" s="4">
        <f t="shared" si="31"/>
        <v>1.2228571428571429</v>
      </c>
      <c r="Y151" s="11">
        <v>35</v>
      </c>
      <c r="Z151" s="44">
        <f t="shared" si="38"/>
        <v>1.0562636480290086</v>
      </c>
      <c r="AA151" s="45">
        <v>2386</v>
      </c>
      <c r="AB151" s="35">
        <f t="shared" si="32"/>
        <v>216.90909090909091</v>
      </c>
      <c r="AC151" s="35">
        <f t="shared" si="33"/>
        <v>229.1</v>
      </c>
      <c r="AD151" s="35">
        <f t="shared" si="34"/>
        <v>12.190909090909088</v>
      </c>
      <c r="AE151" s="35">
        <v>-6.9</v>
      </c>
      <c r="AF151" s="35">
        <f t="shared" si="35"/>
        <v>222.2</v>
      </c>
      <c r="AG151" s="35"/>
      <c r="AH151" s="35">
        <f t="shared" si="36"/>
        <v>222.2</v>
      </c>
      <c r="AI151" s="35">
        <v>222.2</v>
      </c>
      <c r="AJ151" s="35">
        <f t="shared" si="37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0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10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10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10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10"/>
      <c r="GC151" s="9"/>
      <c r="GD151" s="9"/>
    </row>
    <row r="152" spans="1:186" s="2" customFormat="1" ht="17" customHeight="1">
      <c r="A152" s="14" t="s">
        <v>151</v>
      </c>
      <c r="B152" s="35">
        <v>149</v>
      </c>
      <c r="C152" s="35">
        <v>135.5</v>
      </c>
      <c r="D152" s="4">
        <f t="shared" si="28"/>
        <v>0.90939597315436238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157.69999999999999</v>
      </c>
      <c r="O152" s="35">
        <v>292.60000000000002</v>
      </c>
      <c r="P152" s="4">
        <f t="shared" si="29"/>
        <v>1.2655421686746988</v>
      </c>
      <c r="Q152" s="11">
        <v>20</v>
      </c>
      <c r="R152" s="35">
        <v>280</v>
      </c>
      <c r="S152" s="35">
        <v>283.5</v>
      </c>
      <c r="T152" s="4">
        <f t="shared" si="30"/>
        <v>1.0125</v>
      </c>
      <c r="U152" s="11">
        <v>35</v>
      </c>
      <c r="V152" s="35">
        <v>7</v>
      </c>
      <c r="W152" s="35">
        <v>10.5</v>
      </c>
      <c r="X152" s="4">
        <f t="shared" si="31"/>
        <v>1.23</v>
      </c>
      <c r="Y152" s="11">
        <v>15</v>
      </c>
      <c r="Z152" s="44">
        <f t="shared" si="38"/>
        <v>1.10365378881297</v>
      </c>
      <c r="AA152" s="45">
        <v>1988</v>
      </c>
      <c r="AB152" s="35">
        <f t="shared" si="32"/>
        <v>180.72727272727272</v>
      </c>
      <c r="AC152" s="35">
        <f t="shared" si="33"/>
        <v>199.5</v>
      </c>
      <c r="AD152" s="35">
        <f t="shared" si="34"/>
        <v>18.77272727272728</v>
      </c>
      <c r="AE152" s="35">
        <v>-2.1</v>
      </c>
      <c r="AF152" s="35">
        <f t="shared" si="35"/>
        <v>197.4</v>
      </c>
      <c r="AG152" s="35"/>
      <c r="AH152" s="35">
        <f t="shared" si="36"/>
        <v>197.4</v>
      </c>
      <c r="AI152" s="35">
        <v>197.4</v>
      </c>
      <c r="AJ152" s="35">
        <f t="shared" si="37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0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10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10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10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10"/>
      <c r="GC152" s="9"/>
      <c r="GD152" s="9"/>
    </row>
    <row r="153" spans="1:186" s="2" customFormat="1" ht="17" customHeight="1">
      <c r="A153" s="14" t="s">
        <v>152</v>
      </c>
      <c r="B153" s="35">
        <v>4066</v>
      </c>
      <c r="C153" s="35">
        <v>5377</v>
      </c>
      <c r="D153" s="4">
        <f t="shared" si="28"/>
        <v>1.2122429906542056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229</v>
      </c>
      <c r="O153" s="35">
        <v>445.2</v>
      </c>
      <c r="P153" s="4">
        <f t="shared" si="29"/>
        <v>1.274410480349345</v>
      </c>
      <c r="Q153" s="11">
        <v>20</v>
      </c>
      <c r="R153" s="35">
        <v>9.1</v>
      </c>
      <c r="S153" s="35">
        <v>9.1999999999999993</v>
      </c>
      <c r="T153" s="4">
        <f t="shared" si="30"/>
        <v>1.0109890109890109</v>
      </c>
      <c r="U153" s="11">
        <v>20</v>
      </c>
      <c r="V153" s="35">
        <v>0.6</v>
      </c>
      <c r="W153" s="35">
        <v>0.8</v>
      </c>
      <c r="X153" s="4">
        <f t="shared" si="31"/>
        <v>1.2133333333333334</v>
      </c>
      <c r="Y153" s="11">
        <v>30</v>
      </c>
      <c r="Z153" s="44">
        <f t="shared" si="38"/>
        <v>1.1778802466663645</v>
      </c>
      <c r="AA153" s="45">
        <v>2838</v>
      </c>
      <c r="AB153" s="35">
        <f t="shared" si="32"/>
        <v>258</v>
      </c>
      <c r="AC153" s="35">
        <f t="shared" si="33"/>
        <v>303.89999999999998</v>
      </c>
      <c r="AD153" s="35">
        <f t="shared" si="34"/>
        <v>45.899999999999977</v>
      </c>
      <c r="AE153" s="35">
        <v>-9.1999999999999993</v>
      </c>
      <c r="AF153" s="35">
        <f t="shared" si="35"/>
        <v>294.7</v>
      </c>
      <c r="AG153" s="35"/>
      <c r="AH153" s="35">
        <f t="shared" si="36"/>
        <v>294.7</v>
      </c>
      <c r="AI153" s="35">
        <v>294.7</v>
      </c>
      <c r="AJ153" s="35">
        <f t="shared" si="37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10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10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10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10"/>
      <c r="GC153" s="9"/>
      <c r="GD153" s="9"/>
    </row>
    <row r="154" spans="1:186" s="2" customFormat="1" ht="17" customHeight="1">
      <c r="A154" s="14" t="s">
        <v>153</v>
      </c>
      <c r="B154" s="35">
        <v>58</v>
      </c>
      <c r="C154" s="35">
        <v>59</v>
      </c>
      <c r="D154" s="4">
        <f t="shared" si="28"/>
        <v>1.0172413793103448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113.7</v>
      </c>
      <c r="O154" s="35">
        <v>108.5</v>
      </c>
      <c r="P154" s="4">
        <f t="shared" si="29"/>
        <v>0.95426561125769571</v>
      </c>
      <c r="Q154" s="11">
        <v>20</v>
      </c>
      <c r="R154" s="35">
        <v>130</v>
      </c>
      <c r="S154" s="35">
        <v>140</v>
      </c>
      <c r="T154" s="4">
        <f t="shared" si="30"/>
        <v>1.0769230769230769</v>
      </c>
      <c r="U154" s="11">
        <v>30</v>
      </c>
      <c r="V154" s="35">
        <v>3.3</v>
      </c>
      <c r="W154" s="35">
        <v>3.9</v>
      </c>
      <c r="X154" s="4">
        <f t="shared" si="31"/>
        <v>1.1818181818181819</v>
      </c>
      <c r="Y154" s="11">
        <v>20</v>
      </c>
      <c r="Z154" s="44">
        <f t="shared" si="38"/>
        <v>1.0650222745289164</v>
      </c>
      <c r="AA154" s="45">
        <v>1863</v>
      </c>
      <c r="AB154" s="35">
        <f t="shared" si="32"/>
        <v>169.36363636363637</v>
      </c>
      <c r="AC154" s="35">
        <f t="shared" si="33"/>
        <v>180.4</v>
      </c>
      <c r="AD154" s="35">
        <f t="shared" si="34"/>
        <v>11.036363636363632</v>
      </c>
      <c r="AE154" s="35">
        <v>-2.2000000000000002</v>
      </c>
      <c r="AF154" s="35">
        <f t="shared" si="35"/>
        <v>178.20000000000002</v>
      </c>
      <c r="AG154" s="35"/>
      <c r="AH154" s="35">
        <f t="shared" si="36"/>
        <v>178.20000000000002</v>
      </c>
      <c r="AI154" s="35">
        <v>178.20000000000002</v>
      </c>
      <c r="AJ154" s="35">
        <f t="shared" si="37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10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10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10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10"/>
      <c r="GC154" s="9"/>
      <c r="GD154" s="9"/>
    </row>
    <row r="155" spans="1:186" s="2" customFormat="1" ht="17" customHeight="1">
      <c r="A155" s="14" t="s">
        <v>154</v>
      </c>
      <c r="B155" s="35">
        <v>221</v>
      </c>
      <c r="C155" s="35">
        <v>222.9</v>
      </c>
      <c r="D155" s="4">
        <f t="shared" si="28"/>
        <v>1.0085972850678733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102.8</v>
      </c>
      <c r="O155" s="35">
        <v>93.3</v>
      </c>
      <c r="P155" s="4">
        <f t="shared" si="29"/>
        <v>0.90758754863813229</v>
      </c>
      <c r="Q155" s="11">
        <v>20</v>
      </c>
      <c r="R155" s="35">
        <v>0.5</v>
      </c>
      <c r="S155" s="35">
        <v>0.5</v>
      </c>
      <c r="T155" s="4">
        <f t="shared" si="30"/>
        <v>1</v>
      </c>
      <c r="U155" s="11">
        <v>15</v>
      </c>
      <c r="V155" s="35">
        <v>0.5</v>
      </c>
      <c r="W155" s="35">
        <v>0.5</v>
      </c>
      <c r="X155" s="4">
        <f t="shared" si="31"/>
        <v>1</v>
      </c>
      <c r="Y155" s="11">
        <v>35</v>
      </c>
      <c r="Z155" s="44">
        <f t="shared" si="38"/>
        <v>0.97797154779301709</v>
      </c>
      <c r="AA155" s="45">
        <v>1332</v>
      </c>
      <c r="AB155" s="35">
        <f t="shared" si="32"/>
        <v>121.09090909090909</v>
      </c>
      <c r="AC155" s="35">
        <f t="shared" si="33"/>
        <v>118.4</v>
      </c>
      <c r="AD155" s="35">
        <f t="shared" si="34"/>
        <v>-2.6909090909090878</v>
      </c>
      <c r="AE155" s="35">
        <v>-2.2000000000000002</v>
      </c>
      <c r="AF155" s="35">
        <f t="shared" si="35"/>
        <v>116.2</v>
      </c>
      <c r="AG155" s="35"/>
      <c r="AH155" s="35">
        <f t="shared" si="36"/>
        <v>116.2</v>
      </c>
      <c r="AI155" s="35">
        <v>116.2</v>
      </c>
      <c r="AJ155" s="35">
        <f t="shared" si="37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0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10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10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10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10"/>
      <c r="GC155" s="9"/>
      <c r="GD155" s="9"/>
    </row>
    <row r="156" spans="1:186" s="2" customFormat="1" ht="17" customHeight="1">
      <c r="A156" s="14" t="s">
        <v>155</v>
      </c>
      <c r="B156" s="35">
        <v>1605658</v>
      </c>
      <c r="C156" s="35">
        <v>1574192</v>
      </c>
      <c r="D156" s="4">
        <f t="shared" si="28"/>
        <v>0.98040304971544379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1491.5</v>
      </c>
      <c r="O156" s="35">
        <v>3067</v>
      </c>
      <c r="P156" s="4">
        <f t="shared" si="29"/>
        <v>1.2856319141803554</v>
      </c>
      <c r="Q156" s="11">
        <v>20</v>
      </c>
      <c r="R156" s="35">
        <v>0.4</v>
      </c>
      <c r="S156" s="35">
        <v>0.4</v>
      </c>
      <c r="T156" s="4">
        <f t="shared" si="30"/>
        <v>1</v>
      </c>
      <c r="U156" s="11">
        <v>20</v>
      </c>
      <c r="V156" s="35">
        <v>255</v>
      </c>
      <c r="W156" s="35">
        <v>274.7</v>
      </c>
      <c r="X156" s="4">
        <f t="shared" si="31"/>
        <v>1.0772549019607842</v>
      </c>
      <c r="Y156" s="11">
        <v>30</v>
      </c>
      <c r="Z156" s="44">
        <f t="shared" si="38"/>
        <v>1.0979289479948133</v>
      </c>
      <c r="AA156" s="45">
        <v>1541</v>
      </c>
      <c r="AB156" s="35">
        <f t="shared" si="32"/>
        <v>140.09090909090909</v>
      </c>
      <c r="AC156" s="35">
        <f t="shared" si="33"/>
        <v>153.80000000000001</v>
      </c>
      <c r="AD156" s="35">
        <f t="shared" si="34"/>
        <v>13.709090909090918</v>
      </c>
      <c r="AE156" s="35">
        <v>-2</v>
      </c>
      <c r="AF156" s="35">
        <f t="shared" si="35"/>
        <v>151.80000000000001</v>
      </c>
      <c r="AG156" s="35"/>
      <c r="AH156" s="35">
        <f t="shared" si="36"/>
        <v>151.80000000000001</v>
      </c>
      <c r="AI156" s="35">
        <v>151.80000000000001</v>
      </c>
      <c r="AJ156" s="35">
        <f t="shared" si="37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10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10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10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10"/>
      <c r="GC156" s="9"/>
      <c r="GD156" s="9"/>
    </row>
    <row r="157" spans="1:186" s="2" customFormat="1" ht="17" customHeight="1">
      <c r="A157" s="18" t="s">
        <v>156</v>
      </c>
      <c r="B157" s="6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35"/>
      <c r="AF157" s="35"/>
      <c r="AG157" s="35"/>
      <c r="AH157" s="35"/>
      <c r="AI157" s="35"/>
      <c r="AJ157" s="35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10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10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10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10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10"/>
      <c r="GC157" s="9"/>
      <c r="GD157" s="9"/>
    </row>
    <row r="158" spans="1:186" s="2" customFormat="1" ht="17" customHeight="1">
      <c r="A158" s="14" t="s">
        <v>71</v>
      </c>
      <c r="B158" s="35">
        <v>0</v>
      </c>
      <c r="C158" s="35">
        <v>0</v>
      </c>
      <c r="D158" s="4">
        <f t="shared" si="28"/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169.8</v>
      </c>
      <c r="O158" s="35">
        <v>45.6</v>
      </c>
      <c r="P158" s="4">
        <f t="shared" si="29"/>
        <v>0.26855123674911657</v>
      </c>
      <c r="Q158" s="11">
        <v>20</v>
      </c>
      <c r="R158" s="35">
        <v>0</v>
      </c>
      <c r="S158" s="35">
        <v>0</v>
      </c>
      <c r="T158" s="4">
        <f t="shared" si="30"/>
        <v>1</v>
      </c>
      <c r="U158" s="11">
        <v>25</v>
      </c>
      <c r="V158" s="35">
        <v>0</v>
      </c>
      <c r="W158" s="35">
        <v>0.2</v>
      </c>
      <c r="X158" s="4">
        <f t="shared" si="31"/>
        <v>1</v>
      </c>
      <c r="Y158" s="11">
        <v>25</v>
      </c>
      <c r="Z158" s="44">
        <f t="shared" si="38"/>
        <v>0.79101463907117608</v>
      </c>
      <c r="AA158" s="45">
        <v>1893</v>
      </c>
      <c r="AB158" s="35">
        <f t="shared" si="32"/>
        <v>172.09090909090909</v>
      </c>
      <c r="AC158" s="35">
        <f t="shared" si="33"/>
        <v>136.1</v>
      </c>
      <c r="AD158" s="35">
        <f t="shared" si="34"/>
        <v>-35.990909090909099</v>
      </c>
      <c r="AE158" s="35">
        <v>-4.8</v>
      </c>
      <c r="AF158" s="35">
        <f t="shared" si="35"/>
        <v>131.29999999999998</v>
      </c>
      <c r="AG158" s="35"/>
      <c r="AH158" s="35">
        <f t="shared" si="36"/>
        <v>131.29999999999998</v>
      </c>
      <c r="AI158" s="35">
        <v>131.29999999999998</v>
      </c>
      <c r="AJ158" s="35">
        <f t="shared" si="37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10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10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10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10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10"/>
      <c r="GC158" s="9"/>
      <c r="GD158" s="9"/>
    </row>
    <row r="159" spans="1:186" s="2" customFormat="1" ht="17" customHeight="1">
      <c r="A159" s="14" t="s">
        <v>157</v>
      </c>
      <c r="B159" s="35">
        <v>0</v>
      </c>
      <c r="C159" s="35">
        <v>0</v>
      </c>
      <c r="D159" s="4">
        <f t="shared" si="28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170.8</v>
      </c>
      <c r="O159" s="35">
        <v>123.6</v>
      </c>
      <c r="P159" s="4">
        <f t="shared" si="29"/>
        <v>0.72365339578454324</v>
      </c>
      <c r="Q159" s="11">
        <v>20</v>
      </c>
      <c r="R159" s="35">
        <v>0</v>
      </c>
      <c r="S159" s="35">
        <v>0</v>
      </c>
      <c r="T159" s="4">
        <f t="shared" si="30"/>
        <v>1</v>
      </c>
      <c r="U159" s="11">
        <v>45</v>
      </c>
      <c r="V159" s="35">
        <v>0</v>
      </c>
      <c r="W159" s="35">
        <v>0</v>
      </c>
      <c r="X159" s="4">
        <f t="shared" si="31"/>
        <v>1</v>
      </c>
      <c r="Y159" s="11">
        <v>5</v>
      </c>
      <c r="Z159" s="44">
        <f t="shared" si="38"/>
        <v>0.92104382736701229</v>
      </c>
      <c r="AA159" s="45">
        <v>1439</v>
      </c>
      <c r="AB159" s="35">
        <f t="shared" si="32"/>
        <v>130.81818181818181</v>
      </c>
      <c r="AC159" s="35">
        <f t="shared" si="33"/>
        <v>120.5</v>
      </c>
      <c r="AD159" s="35">
        <f t="shared" si="34"/>
        <v>-10.318181818181813</v>
      </c>
      <c r="AE159" s="35">
        <v>-1.2</v>
      </c>
      <c r="AF159" s="35">
        <f t="shared" si="35"/>
        <v>119.3</v>
      </c>
      <c r="AG159" s="35"/>
      <c r="AH159" s="35">
        <f t="shared" si="36"/>
        <v>119.3</v>
      </c>
      <c r="AI159" s="35">
        <v>119.3</v>
      </c>
      <c r="AJ159" s="35">
        <f t="shared" si="37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10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10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10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10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10"/>
      <c r="GC159" s="9"/>
      <c r="GD159" s="9"/>
    </row>
    <row r="160" spans="1:186" s="2" customFormat="1" ht="17" customHeight="1">
      <c r="A160" s="14" t="s">
        <v>158</v>
      </c>
      <c r="B160" s="35">
        <v>0</v>
      </c>
      <c r="C160" s="35">
        <v>0</v>
      </c>
      <c r="D160" s="4">
        <f t="shared" si="28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154.4</v>
      </c>
      <c r="O160" s="35">
        <v>56.7</v>
      </c>
      <c r="P160" s="4">
        <f t="shared" si="29"/>
        <v>0.36722797927461143</v>
      </c>
      <c r="Q160" s="11">
        <v>20</v>
      </c>
      <c r="R160" s="35">
        <v>0</v>
      </c>
      <c r="S160" s="35">
        <v>0</v>
      </c>
      <c r="T160" s="4">
        <f t="shared" si="30"/>
        <v>1</v>
      </c>
      <c r="U160" s="11">
        <v>20</v>
      </c>
      <c r="V160" s="35">
        <v>0</v>
      </c>
      <c r="W160" s="35">
        <v>0</v>
      </c>
      <c r="X160" s="4">
        <f t="shared" si="31"/>
        <v>1</v>
      </c>
      <c r="Y160" s="11">
        <v>30</v>
      </c>
      <c r="Z160" s="44">
        <f t="shared" si="38"/>
        <v>0.81920799407846034</v>
      </c>
      <c r="AA160" s="45">
        <v>2134</v>
      </c>
      <c r="AB160" s="35">
        <f t="shared" si="32"/>
        <v>194</v>
      </c>
      <c r="AC160" s="35">
        <f t="shared" si="33"/>
        <v>158.9</v>
      </c>
      <c r="AD160" s="35">
        <f t="shared" si="34"/>
        <v>-35.099999999999994</v>
      </c>
      <c r="AE160" s="35">
        <v>-8.4</v>
      </c>
      <c r="AF160" s="35">
        <f t="shared" si="35"/>
        <v>150.5</v>
      </c>
      <c r="AG160" s="35"/>
      <c r="AH160" s="35">
        <f t="shared" si="36"/>
        <v>150.5</v>
      </c>
      <c r="AI160" s="35">
        <v>150.5</v>
      </c>
      <c r="AJ160" s="35">
        <f t="shared" si="37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10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10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10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10"/>
      <c r="GC160" s="9"/>
      <c r="GD160" s="9"/>
    </row>
    <row r="161" spans="1:186" s="2" customFormat="1" ht="17" customHeight="1">
      <c r="A161" s="14" t="s">
        <v>159</v>
      </c>
      <c r="B161" s="35">
        <v>0</v>
      </c>
      <c r="C161" s="35">
        <v>0</v>
      </c>
      <c r="D161" s="4">
        <f t="shared" si="28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376.7</v>
      </c>
      <c r="O161" s="35">
        <v>534.79999999999995</v>
      </c>
      <c r="P161" s="4">
        <f t="shared" si="29"/>
        <v>1.2219697371913989</v>
      </c>
      <c r="Q161" s="11">
        <v>20</v>
      </c>
      <c r="R161" s="35">
        <v>0</v>
      </c>
      <c r="S161" s="35">
        <v>0</v>
      </c>
      <c r="T161" s="4">
        <f t="shared" si="30"/>
        <v>1</v>
      </c>
      <c r="U161" s="11">
        <v>25</v>
      </c>
      <c r="V161" s="35">
        <v>0</v>
      </c>
      <c r="W161" s="35">
        <v>0</v>
      </c>
      <c r="X161" s="4">
        <f t="shared" si="31"/>
        <v>1</v>
      </c>
      <c r="Y161" s="11">
        <v>25</v>
      </c>
      <c r="Z161" s="44">
        <f t="shared" si="38"/>
        <v>1.0634199249118281</v>
      </c>
      <c r="AA161" s="45">
        <v>2179</v>
      </c>
      <c r="AB161" s="35">
        <f t="shared" si="32"/>
        <v>198.09090909090909</v>
      </c>
      <c r="AC161" s="35">
        <f t="shared" si="33"/>
        <v>210.7</v>
      </c>
      <c r="AD161" s="35">
        <f t="shared" si="34"/>
        <v>12.609090909090895</v>
      </c>
      <c r="AE161" s="35">
        <v>-10</v>
      </c>
      <c r="AF161" s="35">
        <f t="shared" si="35"/>
        <v>200.7</v>
      </c>
      <c r="AG161" s="35"/>
      <c r="AH161" s="35">
        <f t="shared" si="36"/>
        <v>200.7</v>
      </c>
      <c r="AI161" s="35">
        <v>200.7</v>
      </c>
      <c r="AJ161" s="35">
        <f t="shared" si="37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10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10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10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10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10"/>
      <c r="GC161" s="9"/>
      <c r="GD161" s="9"/>
    </row>
    <row r="162" spans="1:186" s="2" customFormat="1" ht="17" customHeight="1">
      <c r="A162" s="14" t="s">
        <v>160</v>
      </c>
      <c r="B162" s="35">
        <v>110300</v>
      </c>
      <c r="C162" s="35">
        <v>81995.899999999994</v>
      </c>
      <c r="D162" s="4">
        <f t="shared" si="28"/>
        <v>0.74338984587488666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3376.6</v>
      </c>
      <c r="O162" s="35">
        <v>3428.5</v>
      </c>
      <c r="P162" s="4">
        <f t="shared" si="29"/>
        <v>1.0153704910264765</v>
      </c>
      <c r="Q162" s="11">
        <v>20</v>
      </c>
      <c r="R162" s="35">
        <v>180</v>
      </c>
      <c r="S162" s="35">
        <v>182</v>
      </c>
      <c r="T162" s="4">
        <f t="shared" si="30"/>
        <v>1.0111111111111111</v>
      </c>
      <c r="U162" s="11">
        <v>25</v>
      </c>
      <c r="V162" s="35">
        <v>3</v>
      </c>
      <c r="W162" s="35">
        <v>4.9000000000000004</v>
      </c>
      <c r="X162" s="4">
        <f t="shared" si="31"/>
        <v>1.2433333333333334</v>
      </c>
      <c r="Y162" s="11">
        <v>25</v>
      </c>
      <c r="Z162" s="44">
        <f t="shared" si="38"/>
        <v>1.0512802423798688</v>
      </c>
      <c r="AA162" s="45">
        <v>3142</v>
      </c>
      <c r="AB162" s="35">
        <f t="shared" si="32"/>
        <v>285.63636363636363</v>
      </c>
      <c r="AC162" s="35">
        <f t="shared" si="33"/>
        <v>300.3</v>
      </c>
      <c r="AD162" s="35">
        <f t="shared" si="34"/>
        <v>14.663636363636385</v>
      </c>
      <c r="AE162" s="35">
        <v>-8.4</v>
      </c>
      <c r="AF162" s="35">
        <f t="shared" si="35"/>
        <v>291.90000000000003</v>
      </c>
      <c r="AG162" s="35"/>
      <c r="AH162" s="35">
        <f t="shared" si="36"/>
        <v>291.90000000000003</v>
      </c>
      <c r="AI162" s="35">
        <v>291.90000000000003</v>
      </c>
      <c r="AJ162" s="35">
        <f t="shared" si="37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10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10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10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10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10"/>
      <c r="GC162" s="9"/>
      <c r="GD162" s="9"/>
    </row>
    <row r="163" spans="1:186" s="2" customFormat="1" ht="17" customHeight="1">
      <c r="A163" s="14" t="s">
        <v>161</v>
      </c>
      <c r="B163" s="35">
        <v>0</v>
      </c>
      <c r="C163" s="35">
        <v>0</v>
      </c>
      <c r="D163" s="4">
        <f t="shared" si="28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120.7</v>
      </c>
      <c r="O163" s="35">
        <v>42</v>
      </c>
      <c r="P163" s="4">
        <f t="shared" si="29"/>
        <v>0.34797017398508701</v>
      </c>
      <c r="Q163" s="11">
        <v>20</v>
      </c>
      <c r="R163" s="35">
        <v>0</v>
      </c>
      <c r="S163" s="35">
        <v>0</v>
      </c>
      <c r="T163" s="4">
        <f t="shared" si="30"/>
        <v>1</v>
      </c>
      <c r="U163" s="11">
        <v>25</v>
      </c>
      <c r="V163" s="35">
        <v>1</v>
      </c>
      <c r="W163" s="35">
        <v>1.1000000000000001</v>
      </c>
      <c r="X163" s="4">
        <f t="shared" si="31"/>
        <v>1.1000000000000001</v>
      </c>
      <c r="Y163" s="11">
        <v>25</v>
      </c>
      <c r="Z163" s="44">
        <f t="shared" si="38"/>
        <v>0.84942004971002494</v>
      </c>
      <c r="AA163" s="45">
        <v>1514</v>
      </c>
      <c r="AB163" s="35">
        <f t="shared" si="32"/>
        <v>137.63636363636363</v>
      </c>
      <c r="AC163" s="35">
        <f t="shared" si="33"/>
        <v>116.9</v>
      </c>
      <c r="AD163" s="35">
        <f t="shared" si="34"/>
        <v>-20.73636363636362</v>
      </c>
      <c r="AE163" s="35">
        <v>-4.7</v>
      </c>
      <c r="AF163" s="35">
        <f t="shared" si="35"/>
        <v>112.2</v>
      </c>
      <c r="AG163" s="35"/>
      <c r="AH163" s="35">
        <f t="shared" si="36"/>
        <v>112.2</v>
      </c>
      <c r="AI163" s="35">
        <v>112.2</v>
      </c>
      <c r="AJ163" s="35">
        <f t="shared" si="37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0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10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10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10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10"/>
      <c r="GC163" s="9"/>
      <c r="GD163" s="9"/>
    </row>
    <row r="164" spans="1:186" s="2" customFormat="1" ht="17" customHeight="1">
      <c r="A164" s="14" t="s">
        <v>162</v>
      </c>
      <c r="B164" s="35">
        <v>9300</v>
      </c>
      <c r="C164" s="35">
        <v>5743.7</v>
      </c>
      <c r="D164" s="4">
        <f t="shared" si="28"/>
        <v>0.61760215053763434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1418.6</v>
      </c>
      <c r="O164" s="35">
        <v>1077.0999999999999</v>
      </c>
      <c r="P164" s="4">
        <f t="shared" si="29"/>
        <v>0.75926970252361481</v>
      </c>
      <c r="Q164" s="11">
        <v>20</v>
      </c>
      <c r="R164" s="35">
        <v>0</v>
      </c>
      <c r="S164" s="35">
        <v>3</v>
      </c>
      <c r="T164" s="4">
        <f t="shared" si="30"/>
        <v>1</v>
      </c>
      <c r="U164" s="11">
        <v>35</v>
      </c>
      <c r="V164" s="35">
        <v>0</v>
      </c>
      <c r="W164" s="35">
        <v>0</v>
      </c>
      <c r="X164" s="4">
        <f t="shared" si="31"/>
        <v>1</v>
      </c>
      <c r="Y164" s="11">
        <v>15</v>
      </c>
      <c r="Z164" s="44">
        <f t="shared" si="38"/>
        <v>0.89201769444810797</v>
      </c>
      <c r="AA164" s="45">
        <v>2525</v>
      </c>
      <c r="AB164" s="35">
        <f t="shared" si="32"/>
        <v>229.54545454545453</v>
      </c>
      <c r="AC164" s="35">
        <f t="shared" si="33"/>
        <v>204.8</v>
      </c>
      <c r="AD164" s="35">
        <f t="shared" si="34"/>
        <v>-24.745454545454521</v>
      </c>
      <c r="AE164" s="35">
        <v>6.1</v>
      </c>
      <c r="AF164" s="35">
        <f t="shared" si="35"/>
        <v>210.9</v>
      </c>
      <c r="AG164" s="35"/>
      <c r="AH164" s="35">
        <f t="shared" si="36"/>
        <v>210.9</v>
      </c>
      <c r="AI164" s="35">
        <v>210.9</v>
      </c>
      <c r="AJ164" s="35">
        <f t="shared" si="37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10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10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10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10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10"/>
      <c r="GC164" s="9"/>
      <c r="GD164" s="9"/>
    </row>
    <row r="165" spans="1:186" s="2" customFormat="1" ht="17" customHeight="1">
      <c r="A165" s="14" t="s">
        <v>163</v>
      </c>
      <c r="B165" s="35">
        <v>0</v>
      </c>
      <c r="C165" s="35">
        <v>0</v>
      </c>
      <c r="D165" s="4">
        <f t="shared" si="28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215.7</v>
      </c>
      <c r="O165" s="35">
        <v>222.7</v>
      </c>
      <c r="P165" s="4">
        <f t="shared" si="29"/>
        <v>1.0324524802967083</v>
      </c>
      <c r="Q165" s="11">
        <v>20</v>
      </c>
      <c r="R165" s="35">
        <v>0</v>
      </c>
      <c r="S165" s="35">
        <v>0</v>
      </c>
      <c r="T165" s="4">
        <f t="shared" si="30"/>
        <v>1</v>
      </c>
      <c r="U165" s="11">
        <v>15</v>
      </c>
      <c r="V165" s="35">
        <v>0</v>
      </c>
      <c r="W165" s="35">
        <v>0</v>
      </c>
      <c r="X165" s="4">
        <f t="shared" si="31"/>
        <v>1</v>
      </c>
      <c r="Y165" s="11">
        <v>35</v>
      </c>
      <c r="Z165" s="44">
        <f t="shared" si="38"/>
        <v>1.009272137227631</v>
      </c>
      <c r="AA165" s="45">
        <v>1092</v>
      </c>
      <c r="AB165" s="35">
        <f t="shared" si="32"/>
        <v>99.272727272727266</v>
      </c>
      <c r="AC165" s="35">
        <f t="shared" si="33"/>
        <v>100.2</v>
      </c>
      <c r="AD165" s="35">
        <f t="shared" si="34"/>
        <v>0.92727272727273657</v>
      </c>
      <c r="AE165" s="35">
        <v>2.1</v>
      </c>
      <c r="AF165" s="35">
        <f t="shared" si="35"/>
        <v>102.3</v>
      </c>
      <c r="AG165" s="35"/>
      <c r="AH165" s="35">
        <f t="shared" si="36"/>
        <v>102.3</v>
      </c>
      <c r="AI165" s="35">
        <v>102.3</v>
      </c>
      <c r="AJ165" s="35">
        <f t="shared" si="37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10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10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10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10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10"/>
      <c r="GC165" s="9"/>
      <c r="GD165" s="9"/>
    </row>
    <row r="166" spans="1:186" s="2" customFormat="1" ht="17" customHeight="1">
      <c r="A166" s="14" t="s">
        <v>164</v>
      </c>
      <c r="B166" s="35">
        <v>0</v>
      </c>
      <c r="C166" s="35">
        <v>0</v>
      </c>
      <c r="D166" s="4">
        <f t="shared" si="28"/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218.8</v>
      </c>
      <c r="O166" s="35">
        <v>56.6</v>
      </c>
      <c r="P166" s="4">
        <f t="shared" si="29"/>
        <v>0.25868372943327239</v>
      </c>
      <c r="Q166" s="11">
        <v>20</v>
      </c>
      <c r="R166" s="35">
        <v>0</v>
      </c>
      <c r="S166" s="35">
        <v>0</v>
      </c>
      <c r="T166" s="4">
        <f t="shared" si="30"/>
        <v>1</v>
      </c>
      <c r="U166" s="11">
        <v>35</v>
      </c>
      <c r="V166" s="35">
        <v>0</v>
      </c>
      <c r="W166" s="35">
        <v>0.5</v>
      </c>
      <c r="X166" s="4">
        <f t="shared" si="31"/>
        <v>1</v>
      </c>
      <c r="Y166" s="11">
        <v>15</v>
      </c>
      <c r="Z166" s="44">
        <f t="shared" si="38"/>
        <v>0.7881953512666493</v>
      </c>
      <c r="AA166" s="45">
        <v>1745</v>
      </c>
      <c r="AB166" s="35">
        <f t="shared" si="32"/>
        <v>158.63636363636363</v>
      </c>
      <c r="AC166" s="35">
        <f t="shared" si="33"/>
        <v>125</v>
      </c>
      <c r="AD166" s="35">
        <f t="shared" si="34"/>
        <v>-33.636363636363626</v>
      </c>
      <c r="AE166" s="35">
        <v>-5.5</v>
      </c>
      <c r="AF166" s="35">
        <f t="shared" si="35"/>
        <v>119.5</v>
      </c>
      <c r="AG166" s="35"/>
      <c r="AH166" s="35">
        <f t="shared" si="36"/>
        <v>119.5</v>
      </c>
      <c r="AI166" s="35">
        <v>119.5</v>
      </c>
      <c r="AJ166" s="35">
        <f t="shared" si="37"/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10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10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10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10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10"/>
      <c r="GC166" s="9"/>
      <c r="GD166" s="9"/>
    </row>
    <row r="167" spans="1:186" s="2" customFormat="1" ht="17" customHeight="1">
      <c r="A167" s="14" t="s">
        <v>99</v>
      </c>
      <c r="B167" s="35">
        <v>12010</v>
      </c>
      <c r="C167" s="35">
        <v>13567.2</v>
      </c>
      <c r="D167" s="4">
        <f t="shared" si="28"/>
        <v>1.1296586178184846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342.8</v>
      </c>
      <c r="O167" s="35">
        <v>71.400000000000006</v>
      </c>
      <c r="P167" s="4">
        <f t="shared" si="29"/>
        <v>0.20828471411901986</v>
      </c>
      <c r="Q167" s="11">
        <v>20</v>
      </c>
      <c r="R167" s="35">
        <v>0</v>
      </c>
      <c r="S167" s="35">
        <v>1.3</v>
      </c>
      <c r="T167" s="4">
        <f t="shared" si="30"/>
        <v>1</v>
      </c>
      <c r="U167" s="11">
        <v>25</v>
      </c>
      <c r="V167" s="35">
        <v>0</v>
      </c>
      <c r="W167" s="35">
        <v>0.3</v>
      </c>
      <c r="X167" s="4">
        <f t="shared" si="31"/>
        <v>1</v>
      </c>
      <c r="Y167" s="11">
        <v>25</v>
      </c>
      <c r="Z167" s="44">
        <f t="shared" si="38"/>
        <v>0.81827850575706551</v>
      </c>
      <c r="AA167" s="45">
        <v>1630</v>
      </c>
      <c r="AB167" s="35">
        <f t="shared" si="32"/>
        <v>148.18181818181819</v>
      </c>
      <c r="AC167" s="35">
        <f t="shared" si="33"/>
        <v>121.3</v>
      </c>
      <c r="AD167" s="35">
        <f t="shared" si="34"/>
        <v>-26.88181818181819</v>
      </c>
      <c r="AE167" s="35">
        <v>-4.5</v>
      </c>
      <c r="AF167" s="35">
        <f t="shared" si="35"/>
        <v>116.8</v>
      </c>
      <c r="AG167" s="35">
        <f>MIN(AF167,74.1)</f>
        <v>74.099999999999994</v>
      </c>
      <c r="AH167" s="35">
        <f t="shared" si="36"/>
        <v>42.7</v>
      </c>
      <c r="AI167" s="35">
        <v>42.7</v>
      </c>
      <c r="AJ167" s="35">
        <f t="shared" si="37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10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10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10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10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10"/>
      <c r="GC167" s="9"/>
      <c r="GD167" s="9"/>
    </row>
    <row r="168" spans="1:186" s="2" customFormat="1" ht="17" customHeight="1">
      <c r="A168" s="14" t="s">
        <v>165</v>
      </c>
      <c r="B168" s="35">
        <v>256020</v>
      </c>
      <c r="C168" s="35">
        <v>277102</v>
      </c>
      <c r="D168" s="4">
        <f t="shared" si="28"/>
        <v>1.0823451292867745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561.20000000000005</v>
      </c>
      <c r="O168" s="35">
        <v>374</v>
      </c>
      <c r="P168" s="4">
        <f t="shared" si="29"/>
        <v>0.66642908054169636</v>
      </c>
      <c r="Q168" s="11">
        <v>20</v>
      </c>
      <c r="R168" s="35">
        <v>205</v>
      </c>
      <c r="S168" s="35">
        <v>206.3</v>
      </c>
      <c r="T168" s="4">
        <f t="shared" si="30"/>
        <v>1.0063414634146342</v>
      </c>
      <c r="U168" s="11">
        <v>5</v>
      </c>
      <c r="V168" s="35">
        <v>2400</v>
      </c>
      <c r="W168" s="35">
        <v>3386.9</v>
      </c>
      <c r="X168" s="4">
        <f t="shared" si="31"/>
        <v>1.2211208333333332</v>
      </c>
      <c r="Y168" s="11">
        <v>45</v>
      </c>
      <c r="Z168" s="44">
        <f t="shared" si="38"/>
        <v>1.0516772215096855</v>
      </c>
      <c r="AA168" s="45">
        <v>1880</v>
      </c>
      <c r="AB168" s="35">
        <f t="shared" si="32"/>
        <v>170.90909090909091</v>
      </c>
      <c r="AC168" s="35">
        <f t="shared" si="33"/>
        <v>179.7</v>
      </c>
      <c r="AD168" s="35">
        <f t="shared" si="34"/>
        <v>8.7909090909090821</v>
      </c>
      <c r="AE168" s="35">
        <v>-7.3</v>
      </c>
      <c r="AF168" s="35">
        <f t="shared" si="35"/>
        <v>172.39999999999998</v>
      </c>
      <c r="AG168" s="35">
        <f>MIN(AF168,85.5)</f>
        <v>85.5</v>
      </c>
      <c r="AH168" s="35">
        <f t="shared" si="36"/>
        <v>86.899999999999977</v>
      </c>
      <c r="AI168" s="35">
        <v>86.899999999999977</v>
      </c>
      <c r="AJ168" s="35">
        <f t="shared" si="37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10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10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10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10"/>
      <c r="GC168" s="9"/>
      <c r="GD168" s="9"/>
    </row>
    <row r="169" spans="1:186" s="2" customFormat="1" ht="17" customHeight="1">
      <c r="A169" s="14" t="s">
        <v>166</v>
      </c>
      <c r="B169" s="35">
        <v>14150</v>
      </c>
      <c r="C169" s="35">
        <v>19934</v>
      </c>
      <c r="D169" s="4">
        <f t="shared" si="28"/>
        <v>1.2208763250883392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388</v>
      </c>
      <c r="O169" s="35">
        <v>333.5</v>
      </c>
      <c r="P169" s="4">
        <f t="shared" si="29"/>
        <v>0.85953608247422686</v>
      </c>
      <c r="Q169" s="11">
        <v>20</v>
      </c>
      <c r="R169" s="35">
        <v>59</v>
      </c>
      <c r="S169" s="35">
        <v>59.4</v>
      </c>
      <c r="T169" s="4">
        <f t="shared" si="30"/>
        <v>1.006779661016949</v>
      </c>
      <c r="U169" s="11">
        <v>45</v>
      </c>
      <c r="V169" s="35">
        <v>0</v>
      </c>
      <c r="W169" s="35">
        <v>0</v>
      </c>
      <c r="X169" s="4">
        <f t="shared" si="31"/>
        <v>1</v>
      </c>
      <c r="Y169" s="11">
        <v>5</v>
      </c>
      <c r="Z169" s="44">
        <f t="shared" si="38"/>
        <v>0.99630712057663295</v>
      </c>
      <c r="AA169" s="45">
        <v>3145</v>
      </c>
      <c r="AB169" s="35">
        <f t="shared" si="32"/>
        <v>285.90909090909093</v>
      </c>
      <c r="AC169" s="35">
        <f t="shared" si="33"/>
        <v>284.89999999999998</v>
      </c>
      <c r="AD169" s="35">
        <f t="shared" si="34"/>
        <v>-1.0090909090909577</v>
      </c>
      <c r="AE169" s="35">
        <v>-3.5</v>
      </c>
      <c r="AF169" s="35">
        <f t="shared" si="35"/>
        <v>281.39999999999998</v>
      </c>
      <c r="AG169" s="35"/>
      <c r="AH169" s="35">
        <f t="shared" si="36"/>
        <v>281.39999999999998</v>
      </c>
      <c r="AI169" s="35">
        <v>281.39999999999998</v>
      </c>
      <c r="AJ169" s="35">
        <f t="shared" si="37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10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10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10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10"/>
      <c r="GC169" s="9"/>
      <c r="GD169" s="9"/>
    </row>
    <row r="170" spans="1:186" s="2" customFormat="1" ht="17" customHeight="1">
      <c r="A170" s="14" t="s">
        <v>167</v>
      </c>
      <c r="B170" s="35">
        <v>2190</v>
      </c>
      <c r="C170" s="35">
        <v>2352.6</v>
      </c>
      <c r="D170" s="4">
        <f t="shared" si="28"/>
        <v>1.0742465753424657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167.7</v>
      </c>
      <c r="O170" s="35">
        <v>206.8</v>
      </c>
      <c r="P170" s="4">
        <f t="shared" si="29"/>
        <v>1.2033154442456768</v>
      </c>
      <c r="Q170" s="11">
        <v>20</v>
      </c>
      <c r="R170" s="35">
        <v>0</v>
      </c>
      <c r="S170" s="35">
        <v>0</v>
      </c>
      <c r="T170" s="4">
        <f t="shared" si="30"/>
        <v>1</v>
      </c>
      <c r="U170" s="11">
        <v>45</v>
      </c>
      <c r="V170" s="35">
        <v>0</v>
      </c>
      <c r="W170" s="35">
        <v>0</v>
      </c>
      <c r="X170" s="4">
        <f t="shared" si="31"/>
        <v>1</v>
      </c>
      <c r="Y170" s="11">
        <v>5</v>
      </c>
      <c r="Z170" s="44">
        <f t="shared" si="38"/>
        <v>1.0601096829792274</v>
      </c>
      <c r="AA170" s="45">
        <v>2089</v>
      </c>
      <c r="AB170" s="35">
        <f t="shared" si="32"/>
        <v>189.90909090909091</v>
      </c>
      <c r="AC170" s="35">
        <f t="shared" si="33"/>
        <v>201.3</v>
      </c>
      <c r="AD170" s="35">
        <f t="shared" si="34"/>
        <v>11.390909090909105</v>
      </c>
      <c r="AE170" s="35">
        <v>-2.4</v>
      </c>
      <c r="AF170" s="35">
        <f t="shared" si="35"/>
        <v>198.9</v>
      </c>
      <c r="AG170" s="35"/>
      <c r="AH170" s="35">
        <f t="shared" si="36"/>
        <v>198.9</v>
      </c>
      <c r="AI170" s="35">
        <v>198.9</v>
      </c>
      <c r="AJ170" s="35">
        <f t="shared" si="37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10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10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10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10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10"/>
      <c r="GC170" s="9"/>
      <c r="GD170" s="9"/>
    </row>
    <row r="171" spans="1:186" s="2" customFormat="1" ht="17" customHeight="1">
      <c r="A171" s="18" t="s">
        <v>168</v>
      </c>
      <c r="B171" s="6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35"/>
      <c r="AF171" s="35"/>
      <c r="AG171" s="35"/>
      <c r="AH171" s="35"/>
      <c r="AI171" s="35"/>
      <c r="AJ171" s="35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10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10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10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10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10"/>
      <c r="GC171" s="9"/>
      <c r="GD171" s="9"/>
    </row>
    <row r="172" spans="1:186" s="2" customFormat="1" ht="17" customHeight="1">
      <c r="A172" s="14" t="s">
        <v>169</v>
      </c>
      <c r="B172" s="35">
        <v>0</v>
      </c>
      <c r="C172" s="35">
        <v>0</v>
      </c>
      <c r="D172" s="4">
        <f t="shared" si="28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79.400000000000006</v>
      </c>
      <c r="O172" s="35">
        <v>68.900000000000006</v>
      </c>
      <c r="P172" s="4">
        <f t="shared" si="29"/>
        <v>0.86775818639798485</v>
      </c>
      <c r="Q172" s="11">
        <v>20</v>
      </c>
      <c r="R172" s="35">
        <v>109.5</v>
      </c>
      <c r="S172" s="35">
        <v>78.7</v>
      </c>
      <c r="T172" s="4">
        <f t="shared" si="30"/>
        <v>0.71872146118721458</v>
      </c>
      <c r="U172" s="11">
        <v>35</v>
      </c>
      <c r="V172" s="35">
        <v>0.6</v>
      </c>
      <c r="W172" s="35">
        <v>0.4</v>
      </c>
      <c r="X172" s="4">
        <f t="shared" si="31"/>
        <v>0.66666666666666674</v>
      </c>
      <c r="Y172" s="11">
        <v>15</v>
      </c>
      <c r="Z172" s="44">
        <f t="shared" si="38"/>
        <v>0.75014878385017447</v>
      </c>
      <c r="AA172" s="45">
        <v>1189</v>
      </c>
      <c r="AB172" s="35">
        <f t="shared" si="32"/>
        <v>108.09090909090909</v>
      </c>
      <c r="AC172" s="35">
        <f t="shared" si="33"/>
        <v>81.099999999999994</v>
      </c>
      <c r="AD172" s="35">
        <f t="shared" si="34"/>
        <v>-26.990909090909099</v>
      </c>
      <c r="AE172" s="35">
        <v>-0.1</v>
      </c>
      <c r="AF172" s="35">
        <f t="shared" si="35"/>
        <v>81</v>
      </c>
      <c r="AG172" s="35">
        <f>MIN(AF172,54)</f>
        <v>54</v>
      </c>
      <c r="AH172" s="35">
        <f t="shared" si="36"/>
        <v>27</v>
      </c>
      <c r="AI172" s="35">
        <v>27</v>
      </c>
      <c r="AJ172" s="35">
        <f t="shared" si="37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10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10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10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10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10"/>
      <c r="GC172" s="9"/>
      <c r="GD172" s="9"/>
    </row>
    <row r="173" spans="1:186" s="2" customFormat="1" ht="17" customHeight="1">
      <c r="A173" s="14" t="s">
        <v>170</v>
      </c>
      <c r="B173" s="35">
        <v>22280</v>
      </c>
      <c r="C173" s="35">
        <v>22307.200000000001</v>
      </c>
      <c r="D173" s="4">
        <f t="shared" si="28"/>
        <v>1.0012208258527828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997.2</v>
      </c>
      <c r="O173" s="35">
        <v>899.9</v>
      </c>
      <c r="P173" s="4">
        <f t="shared" si="29"/>
        <v>0.90242679502607293</v>
      </c>
      <c r="Q173" s="11">
        <v>20</v>
      </c>
      <c r="R173" s="35">
        <v>80</v>
      </c>
      <c r="S173" s="35">
        <v>100.1</v>
      </c>
      <c r="T173" s="4">
        <f t="shared" si="30"/>
        <v>1.205125</v>
      </c>
      <c r="U173" s="11">
        <v>25</v>
      </c>
      <c r="V173" s="35">
        <v>1</v>
      </c>
      <c r="W173" s="35">
        <v>1.4</v>
      </c>
      <c r="X173" s="4">
        <f t="shared" si="31"/>
        <v>1.22</v>
      </c>
      <c r="Y173" s="11">
        <v>25</v>
      </c>
      <c r="Z173" s="44">
        <f t="shared" si="38"/>
        <v>1.1086108644881161</v>
      </c>
      <c r="AA173" s="45">
        <v>2139</v>
      </c>
      <c r="AB173" s="35">
        <f t="shared" si="32"/>
        <v>194.45454545454547</v>
      </c>
      <c r="AC173" s="35">
        <f t="shared" si="33"/>
        <v>215.6</v>
      </c>
      <c r="AD173" s="35">
        <f t="shared" si="34"/>
        <v>21.145454545454527</v>
      </c>
      <c r="AE173" s="35">
        <v>-0.4</v>
      </c>
      <c r="AF173" s="35">
        <f t="shared" si="35"/>
        <v>215.2</v>
      </c>
      <c r="AG173" s="35"/>
      <c r="AH173" s="35">
        <f t="shared" si="36"/>
        <v>215.2</v>
      </c>
      <c r="AI173" s="35">
        <v>215.2</v>
      </c>
      <c r="AJ173" s="35">
        <f t="shared" si="37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10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10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10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10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10"/>
      <c r="GC173" s="9"/>
      <c r="GD173" s="9"/>
    </row>
    <row r="174" spans="1:186" s="2" customFormat="1" ht="17" customHeight="1">
      <c r="A174" s="14" t="s">
        <v>171</v>
      </c>
      <c r="B174" s="35">
        <v>0</v>
      </c>
      <c r="C174" s="35">
        <v>0</v>
      </c>
      <c r="D174" s="4">
        <f t="shared" si="28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274.2</v>
      </c>
      <c r="O174" s="35">
        <v>45.7</v>
      </c>
      <c r="P174" s="4">
        <f t="shared" si="29"/>
        <v>0.16666666666666669</v>
      </c>
      <c r="Q174" s="11">
        <v>20</v>
      </c>
      <c r="R174" s="35">
        <v>0</v>
      </c>
      <c r="S174" s="35">
        <v>0</v>
      </c>
      <c r="T174" s="4">
        <f t="shared" si="30"/>
        <v>1</v>
      </c>
      <c r="U174" s="11">
        <v>20</v>
      </c>
      <c r="V174" s="35">
        <v>0.1</v>
      </c>
      <c r="W174" s="35">
        <v>0.1</v>
      </c>
      <c r="X174" s="4">
        <f t="shared" si="31"/>
        <v>1</v>
      </c>
      <c r="Y174" s="11">
        <v>30</v>
      </c>
      <c r="Z174" s="44">
        <f t="shared" si="38"/>
        <v>0.76190476190476197</v>
      </c>
      <c r="AA174" s="45">
        <v>1083</v>
      </c>
      <c r="AB174" s="35">
        <f t="shared" si="32"/>
        <v>98.454545454545453</v>
      </c>
      <c r="AC174" s="35">
        <f t="shared" si="33"/>
        <v>75</v>
      </c>
      <c r="AD174" s="35">
        <f t="shared" si="34"/>
        <v>-23.454545454545453</v>
      </c>
      <c r="AE174" s="35">
        <v>1.5</v>
      </c>
      <c r="AF174" s="35">
        <f t="shared" si="35"/>
        <v>76.5</v>
      </c>
      <c r="AG174" s="35">
        <f>MIN(AF174,49.2)</f>
        <v>49.2</v>
      </c>
      <c r="AH174" s="35">
        <f t="shared" si="36"/>
        <v>27.299999999999997</v>
      </c>
      <c r="AI174" s="35">
        <v>27.299999999999997</v>
      </c>
      <c r="AJ174" s="35">
        <f t="shared" si="37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10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10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10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10"/>
      <c r="GC174" s="9"/>
      <c r="GD174" s="9"/>
    </row>
    <row r="175" spans="1:186" s="2" customFormat="1" ht="17" customHeight="1">
      <c r="A175" s="14" t="s">
        <v>172</v>
      </c>
      <c r="B175" s="35">
        <v>0</v>
      </c>
      <c r="C175" s="35">
        <v>0</v>
      </c>
      <c r="D175" s="4">
        <f t="shared" ref="D175:D237" si="39">IF(E175=0,0,IF(B175=0,1,IF(C175&lt;0,0,IF(C175/B175&gt;1.2,IF((C175/B175-1.2)*0.1+1.2&gt;1.3,1.3,(C175/B175-1.2)*0.1+1.2),C175/B175))))</f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46.1</v>
      </c>
      <c r="O175" s="35">
        <v>299.5</v>
      </c>
      <c r="P175" s="4">
        <f t="shared" ref="P175:P237" si="40">IF(Q175=0,0,IF(N175=0,1,IF(O175&lt;0,0,IF(O175/N175&gt;1.2,IF((O175/N175-1.2)*0.1+1.2&gt;1.3,1.3,(O175/N175-1.2)*0.1+1.2),O175/N175))))</f>
        <v>1.3</v>
      </c>
      <c r="Q175" s="11">
        <v>20</v>
      </c>
      <c r="R175" s="35">
        <v>46</v>
      </c>
      <c r="S175" s="35">
        <v>26.1</v>
      </c>
      <c r="T175" s="4">
        <f t="shared" ref="T175:T237" si="41">IF(U175=0,0,IF(R175=0,1,IF(S175&lt;0,0,IF(S175/R175&gt;1.2,IF((S175/R175-1.2)*0.1+1.2&gt;1.3,1.3,(S175/R175-1.2)*0.1+1.2),S175/R175))))</f>
        <v>0.56739130434782614</v>
      </c>
      <c r="U175" s="11">
        <v>35</v>
      </c>
      <c r="V175" s="35">
        <v>0.2</v>
      </c>
      <c r="W175" s="35">
        <v>0.3</v>
      </c>
      <c r="X175" s="4">
        <f t="shared" ref="X175:X237" si="42">IF(Y175=0,0,IF(V175=0,1,IF(W175&lt;0,0,IF(W175/V175&gt;1.2,IF((W175/V175-1.2)*0.1+1.2&gt;1.3,1.3,(W175/V175-1.2)*0.1+1.2),W175/V175))))</f>
        <v>1.23</v>
      </c>
      <c r="Y175" s="11">
        <v>15</v>
      </c>
      <c r="Z175" s="44">
        <f t="shared" si="38"/>
        <v>0.91869565217391302</v>
      </c>
      <c r="AA175" s="45">
        <v>587</v>
      </c>
      <c r="AB175" s="35">
        <f t="shared" ref="AB175:AB237" si="43">AA175/11</f>
        <v>53.363636363636367</v>
      </c>
      <c r="AC175" s="35">
        <f t="shared" ref="AC175:AC237" si="44">ROUND(Z175*AB175,1)</f>
        <v>49</v>
      </c>
      <c r="AD175" s="35">
        <f t="shared" ref="AD175:AD237" si="45">AC175-AB175</f>
        <v>-4.3636363636363669</v>
      </c>
      <c r="AE175" s="35">
        <v>0.1</v>
      </c>
      <c r="AF175" s="35">
        <f t="shared" ref="AF175:AF237" si="46">AC175+AE175</f>
        <v>49.1</v>
      </c>
      <c r="AG175" s="35">
        <f>MIN(AF175,12.4)</f>
        <v>12.4</v>
      </c>
      <c r="AH175" s="35">
        <f t="shared" ref="AH175:AH237" si="47">AF175-AG175</f>
        <v>36.700000000000003</v>
      </c>
      <c r="AI175" s="35">
        <v>36.700000000000003</v>
      </c>
      <c r="AJ175" s="35">
        <f t="shared" ref="AJ175:AJ238" si="48">ROUND(AH175-AI175,1)</f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10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10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10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10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10"/>
      <c r="GC175" s="9"/>
      <c r="GD175" s="9"/>
    </row>
    <row r="176" spans="1:186" s="2" customFormat="1" ht="17" customHeight="1">
      <c r="A176" s="14" t="s">
        <v>173</v>
      </c>
      <c r="B176" s="35">
        <v>0</v>
      </c>
      <c r="C176" s="35">
        <v>0</v>
      </c>
      <c r="D176" s="4">
        <f t="shared" si="39"/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187.9</v>
      </c>
      <c r="O176" s="35">
        <v>80.599999999999994</v>
      </c>
      <c r="P176" s="4">
        <f t="shared" si="40"/>
        <v>0.428951569984034</v>
      </c>
      <c r="Q176" s="11">
        <v>20</v>
      </c>
      <c r="R176" s="35">
        <v>0</v>
      </c>
      <c r="S176" s="35">
        <v>0</v>
      </c>
      <c r="T176" s="4">
        <f t="shared" si="41"/>
        <v>1</v>
      </c>
      <c r="U176" s="11">
        <v>20</v>
      </c>
      <c r="V176" s="35">
        <v>0.2</v>
      </c>
      <c r="W176" s="35">
        <v>0.2</v>
      </c>
      <c r="X176" s="4">
        <f t="shared" si="42"/>
        <v>1</v>
      </c>
      <c r="Y176" s="11">
        <v>30</v>
      </c>
      <c r="Z176" s="44">
        <f t="shared" ref="Z176:Z239" si="49">(D176*E176+P176*Q176+T176*U176+X176*Y176)/(E176+Q176+U176+Y176)</f>
        <v>0.83684330570972398</v>
      </c>
      <c r="AA176" s="45">
        <v>687</v>
      </c>
      <c r="AB176" s="35">
        <f t="shared" si="43"/>
        <v>62.454545454545453</v>
      </c>
      <c r="AC176" s="35">
        <f t="shared" si="44"/>
        <v>52.3</v>
      </c>
      <c r="AD176" s="35">
        <f t="shared" si="45"/>
        <v>-10.154545454545456</v>
      </c>
      <c r="AE176" s="35">
        <v>-2.8</v>
      </c>
      <c r="AF176" s="35">
        <f t="shared" si="46"/>
        <v>49.5</v>
      </c>
      <c r="AG176" s="35"/>
      <c r="AH176" s="35">
        <f t="shared" si="47"/>
        <v>49.5</v>
      </c>
      <c r="AI176" s="35">
        <v>49.5</v>
      </c>
      <c r="AJ176" s="35">
        <f t="shared" si="48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10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10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10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10"/>
      <c r="GC176" s="9"/>
      <c r="GD176" s="9"/>
    </row>
    <row r="177" spans="1:186" s="2" customFormat="1" ht="17" customHeight="1">
      <c r="A177" s="14" t="s">
        <v>174</v>
      </c>
      <c r="B177" s="35">
        <v>0</v>
      </c>
      <c r="C177" s="35">
        <v>0</v>
      </c>
      <c r="D177" s="4">
        <f t="shared" si="39"/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275.10000000000002</v>
      </c>
      <c r="O177" s="35">
        <v>212</v>
      </c>
      <c r="P177" s="4">
        <f t="shared" si="40"/>
        <v>0.77062886223191562</v>
      </c>
      <c r="Q177" s="11">
        <v>20</v>
      </c>
      <c r="R177" s="35">
        <v>40.299999999999997</v>
      </c>
      <c r="S177" s="35">
        <v>69.900000000000006</v>
      </c>
      <c r="T177" s="4">
        <f t="shared" si="41"/>
        <v>1.2534491315136476</v>
      </c>
      <c r="U177" s="11">
        <v>20</v>
      </c>
      <c r="V177" s="35">
        <v>6</v>
      </c>
      <c r="W177" s="35">
        <v>4.2</v>
      </c>
      <c r="X177" s="4">
        <f t="shared" si="42"/>
        <v>0.70000000000000007</v>
      </c>
      <c r="Y177" s="11">
        <v>30</v>
      </c>
      <c r="Z177" s="44">
        <f t="shared" si="49"/>
        <v>0.87830799821301808</v>
      </c>
      <c r="AA177" s="45">
        <v>1394</v>
      </c>
      <c r="AB177" s="35">
        <f t="shared" si="43"/>
        <v>126.72727272727273</v>
      </c>
      <c r="AC177" s="35">
        <f t="shared" si="44"/>
        <v>111.3</v>
      </c>
      <c r="AD177" s="35">
        <f t="shared" si="45"/>
        <v>-15.427272727272737</v>
      </c>
      <c r="AE177" s="35">
        <v>-0.9</v>
      </c>
      <c r="AF177" s="35">
        <f t="shared" si="46"/>
        <v>110.39999999999999</v>
      </c>
      <c r="AG177" s="35"/>
      <c r="AH177" s="35">
        <f t="shared" si="47"/>
        <v>110.39999999999999</v>
      </c>
      <c r="AI177" s="35">
        <v>110.39999999999999</v>
      </c>
      <c r="AJ177" s="35">
        <f t="shared" si="48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10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10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10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10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10"/>
      <c r="GC177" s="9"/>
      <c r="GD177" s="9"/>
    </row>
    <row r="178" spans="1:186" s="2" customFormat="1" ht="17" customHeight="1">
      <c r="A178" s="18" t="s">
        <v>175</v>
      </c>
      <c r="B178" s="6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35"/>
      <c r="AF178" s="35"/>
      <c r="AG178" s="35"/>
      <c r="AH178" s="35"/>
      <c r="AI178" s="35"/>
      <c r="AJ178" s="35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0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10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10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10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10"/>
      <c r="GC178" s="9"/>
      <c r="GD178" s="9"/>
    </row>
    <row r="179" spans="1:186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39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24.8</v>
      </c>
      <c r="O179" s="35">
        <v>19.899999999999999</v>
      </c>
      <c r="P179" s="4">
        <f t="shared" si="40"/>
        <v>0.80241935483870963</v>
      </c>
      <c r="Q179" s="11">
        <v>20</v>
      </c>
      <c r="R179" s="35">
        <v>18</v>
      </c>
      <c r="S179" s="35">
        <v>28.7</v>
      </c>
      <c r="T179" s="4">
        <f t="shared" si="41"/>
        <v>1.2394444444444443</v>
      </c>
      <c r="U179" s="11">
        <v>25</v>
      </c>
      <c r="V179" s="35">
        <v>0.5</v>
      </c>
      <c r="W179" s="35">
        <v>0.5</v>
      </c>
      <c r="X179" s="4">
        <f t="shared" si="42"/>
        <v>1</v>
      </c>
      <c r="Y179" s="11">
        <v>25</v>
      </c>
      <c r="Z179" s="44">
        <f t="shared" si="49"/>
        <v>1.029064260112647</v>
      </c>
      <c r="AA179" s="45">
        <v>1045</v>
      </c>
      <c r="AB179" s="35">
        <f t="shared" si="43"/>
        <v>95</v>
      </c>
      <c r="AC179" s="35">
        <f t="shared" si="44"/>
        <v>97.8</v>
      </c>
      <c r="AD179" s="35">
        <f t="shared" si="45"/>
        <v>2.7999999999999972</v>
      </c>
      <c r="AE179" s="35">
        <v>1.7</v>
      </c>
      <c r="AF179" s="35">
        <f t="shared" si="46"/>
        <v>99.5</v>
      </c>
      <c r="AG179" s="35"/>
      <c r="AH179" s="35">
        <f t="shared" si="47"/>
        <v>99.5</v>
      </c>
      <c r="AI179" s="35">
        <v>99.5</v>
      </c>
      <c r="AJ179" s="35">
        <f t="shared" si="48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0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10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10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10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10"/>
      <c r="GC179" s="9"/>
      <c r="GD179" s="9"/>
    </row>
    <row r="180" spans="1:186" s="2" customFormat="1" ht="17" customHeight="1">
      <c r="A180" s="14" t="s">
        <v>177</v>
      </c>
      <c r="B180" s="35">
        <v>0</v>
      </c>
      <c r="C180" s="35">
        <v>0</v>
      </c>
      <c r="D180" s="4">
        <f t="shared" si="39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49.2</v>
      </c>
      <c r="O180" s="35">
        <v>126.2</v>
      </c>
      <c r="P180" s="4">
        <f t="shared" si="40"/>
        <v>1.3</v>
      </c>
      <c r="Q180" s="11">
        <v>20</v>
      </c>
      <c r="R180" s="35">
        <v>9</v>
      </c>
      <c r="S180" s="35">
        <v>9</v>
      </c>
      <c r="T180" s="4">
        <f t="shared" si="41"/>
        <v>1</v>
      </c>
      <c r="U180" s="11">
        <v>20</v>
      </c>
      <c r="V180" s="35">
        <v>1</v>
      </c>
      <c r="W180" s="35">
        <v>1.2</v>
      </c>
      <c r="X180" s="4">
        <f t="shared" si="42"/>
        <v>1.2</v>
      </c>
      <c r="Y180" s="11">
        <v>30</v>
      </c>
      <c r="Z180" s="44">
        <f t="shared" si="49"/>
        <v>1.1714285714285715</v>
      </c>
      <c r="AA180" s="45">
        <v>900</v>
      </c>
      <c r="AB180" s="35">
        <f t="shared" si="43"/>
        <v>81.818181818181813</v>
      </c>
      <c r="AC180" s="35">
        <f t="shared" si="44"/>
        <v>95.8</v>
      </c>
      <c r="AD180" s="35">
        <f t="shared" si="45"/>
        <v>13.981818181818184</v>
      </c>
      <c r="AE180" s="35">
        <v>0</v>
      </c>
      <c r="AF180" s="35">
        <f t="shared" si="46"/>
        <v>95.8</v>
      </c>
      <c r="AG180" s="35"/>
      <c r="AH180" s="35">
        <f t="shared" si="47"/>
        <v>95.8</v>
      </c>
      <c r="AI180" s="35">
        <v>95.8</v>
      </c>
      <c r="AJ180" s="35">
        <f t="shared" si="48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0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10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10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10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10"/>
      <c r="GC180" s="9"/>
      <c r="GD180" s="9"/>
    </row>
    <row r="181" spans="1:186" s="2" customFormat="1" ht="17" customHeight="1">
      <c r="A181" s="14" t="s">
        <v>178</v>
      </c>
      <c r="B181" s="35">
        <v>0</v>
      </c>
      <c r="C181" s="35">
        <v>0</v>
      </c>
      <c r="D181" s="4">
        <f t="shared" si="39"/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15.3</v>
      </c>
      <c r="O181" s="35">
        <v>13.8</v>
      </c>
      <c r="P181" s="4">
        <f t="shared" si="40"/>
        <v>0.90196078431372551</v>
      </c>
      <c r="Q181" s="11">
        <v>20</v>
      </c>
      <c r="R181" s="35">
        <v>65</v>
      </c>
      <c r="S181" s="35">
        <v>69.2</v>
      </c>
      <c r="T181" s="4">
        <f t="shared" si="41"/>
        <v>1.0646153846153847</v>
      </c>
      <c r="U181" s="11">
        <v>30</v>
      </c>
      <c r="V181" s="35">
        <v>2</v>
      </c>
      <c r="W181" s="35">
        <v>2.1</v>
      </c>
      <c r="X181" s="4">
        <f t="shared" si="42"/>
        <v>1.05</v>
      </c>
      <c r="Y181" s="11">
        <v>20</v>
      </c>
      <c r="Z181" s="44">
        <f t="shared" si="49"/>
        <v>1.0139668174962293</v>
      </c>
      <c r="AA181" s="45">
        <v>1698</v>
      </c>
      <c r="AB181" s="35">
        <f t="shared" si="43"/>
        <v>154.36363636363637</v>
      </c>
      <c r="AC181" s="35">
        <f t="shared" si="44"/>
        <v>156.5</v>
      </c>
      <c r="AD181" s="35">
        <f t="shared" si="45"/>
        <v>2.136363636363626</v>
      </c>
      <c r="AE181" s="35">
        <v>-2.9</v>
      </c>
      <c r="AF181" s="35">
        <f t="shared" si="46"/>
        <v>153.6</v>
      </c>
      <c r="AG181" s="35"/>
      <c r="AH181" s="35">
        <f t="shared" si="47"/>
        <v>153.6</v>
      </c>
      <c r="AI181" s="35">
        <v>153.6</v>
      </c>
      <c r="AJ181" s="35">
        <f t="shared" si="48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0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10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10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10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10"/>
      <c r="GC181" s="9"/>
      <c r="GD181" s="9"/>
    </row>
    <row r="182" spans="1:186" s="2" customFormat="1" ht="17" customHeight="1">
      <c r="A182" s="14" t="s">
        <v>179</v>
      </c>
      <c r="B182" s="35">
        <v>200940</v>
      </c>
      <c r="C182" s="35">
        <v>147427</v>
      </c>
      <c r="D182" s="4">
        <f t="shared" si="39"/>
        <v>0.73368667263859855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1591.8</v>
      </c>
      <c r="O182" s="35">
        <v>1594.5</v>
      </c>
      <c r="P182" s="4">
        <f t="shared" si="40"/>
        <v>1.0016961929890691</v>
      </c>
      <c r="Q182" s="11">
        <v>20</v>
      </c>
      <c r="R182" s="35">
        <v>5</v>
      </c>
      <c r="S182" s="35">
        <v>5.2</v>
      </c>
      <c r="T182" s="4">
        <f t="shared" si="41"/>
        <v>1.04</v>
      </c>
      <c r="U182" s="11">
        <v>10</v>
      </c>
      <c r="V182" s="35">
        <v>5</v>
      </c>
      <c r="W182" s="35">
        <v>10.199999999999999</v>
      </c>
      <c r="X182" s="4">
        <f t="shared" si="42"/>
        <v>1.284</v>
      </c>
      <c r="Y182" s="11">
        <v>40</v>
      </c>
      <c r="Z182" s="44">
        <f t="shared" si="49"/>
        <v>1.114134882327092</v>
      </c>
      <c r="AA182" s="45">
        <v>685</v>
      </c>
      <c r="AB182" s="35">
        <f t="shared" si="43"/>
        <v>62.272727272727273</v>
      </c>
      <c r="AC182" s="35">
        <f t="shared" si="44"/>
        <v>69.400000000000006</v>
      </c>
      <c r="AD182" s="35">
        <f t="shared" si="45"/>
        <v>7.1272727272727323</v>
      </c>
      <c r="AE182" s="35">
        <v>0</v>
      </c>
      <c r="AF182" s="35">
        <f t="shared" si="46"/>
        <v>69.400000000000006</v>
      </c>
      <c r="AG182" s="35">
        <f>MIN(AF182,31.1)</f>
        <v>31.1</v>
      </c>
      <c r="AH182" s="35">
        <f t="shared" si="47"/>
        <v>38.300000000000004</v>
      </c>
      <c r="AI182" s="35">
        <v>38.300000000000004</v>
      </c>
      <c r="AJ182" s="35">
        <f t="shared" si="48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10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10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10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10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10"/>
      <c r="GC182" s="9"/>
      <c r="GD182" s="9"/>
    </row>
    <row r="183" spans="1:186" s="2" customFormat="1" ht="17" customHeight="1">
      <c r="A183" s="14" t="s">
        <v>180</v>
      </c>
      <c r="B183" s="35">
        <v>0</v>
      </c>
      <c r="C183" s="35">
        <v>0</v>
      </c>
      <c r="D183" s="4">
        <f t="shared" si="39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354.6</v>
      </c>
      <c r="O183" s="35">
        <v>97.3</v>
      </c>
      <c r="P183" s="4">
        <f t="shared" si="40"/>
        <v>0.27439368302312461</v>
      </c>
      <c r="Q183" s="11">
        <v>20</v>
      </c>
      <c r="R183" s="35">
        <v>225</v>
      </c>
      <c r="S183" s="35">
        <v>225.3</v>
      </c>
      <c r="T183" s="4">
        <f t="shared" si="41"/>
        <v>1.0013333333333334</v>
      </c>
      <c r="U183" s="11">
        <v>35</v>
      </c>
      <c r="V183" s="35">
        <v>11</v>
      </c>
      <c r="W183" s="35">
        <v>11.1</v>
      </c>
      <c r="X183" s="4">
        <f t="shared" si="42"/>
        <v>1.009090909090909</v>
      </c>
      <c r="Y183" s="11">
        <v>15</v>
      </c>
      <c r="Z183" s="44">
        <f t="shared" si="49"/>
        <v>0.79529862804989704</v>
      </c>
      <c r="AA183" s="45">
        <v>1011</v>
      </c>
      <c r="AB183" s="35">
        <f t="shared" si="43"/>
        <v>91.909090909090907</v>
      </c>
      <c r="AC183" s="35">
        <f t="shared" si="44"/>
        <v>73.099999999999994</v>
      </c>
      <c r="AD183" s="35">
        <f t="shared" si="45"/>
        <v>-18.809090909090912</v>
      </c>
      <c r="AE183" s="35">
        <v>0</v>
      </c>
      <c r="AF183" s="35">
        <f t="shared" si="46"/>
        <v>73.099999999999994</v>
      </c>
      <c r="AG183" s="35"/>
      <c r="AH183" s="35">
        <f t="shared" si="47"/>
        <v>73.099999999999994</v>
      </c>
      <c r="AI183" s="35">
        <v>73.099999999999994</v>
      </c>
      <c r="AJ183" s="35">
        <f t="shared" si="48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0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10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10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10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10"/>
      <c r="GC183" s="9"/>
      <c r="GD183" s="9"/>
    </row>
    <row r="184" spans="1:186" s="2" customFormat="1" ht="17" customHeight="1">
      <c r="A184" s="14" t="s">
        <v>181</v>
      </c>
      <c r="B184" s="35">
        <v>0</v>
      </c>
      <c r="C184" s="35">
        <v>0</v>
      </c>
      <c r="D184" s="4">
        <f t="shared" si="39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176.8</v>
      </c>
      <c r="O184" s="35">
        <v>135.69999999999999</v>
      </c>
      <c r="P184" s="4">
        <f t="shared" si="40"/>
        <v>0.76753393665158365</v>
      </c>
      <c r="Q184" s="11">
        <v>20</v>
      </c>
      <c r="R184" s="35">
        <v>50</v>
      </c>
      <c r="S184" s="35">
        <v>64.5</v>
      </c>
      <c r="T184" s="4">
        <f t="shared" si="41"/>
        <v>1.2090000000000001</v>
      </c>
      <c r="U184" s="11">
        <v>25</v>
      </c>
      <c r="V184" s="35">
        <v>3</v>
      </c>
      <c r="W184" s="35">
        <v>3.1</v>
      </c>
      <c r="X184" s="4">
        <f t="shared" si="42"/>
        <v>1.0333333333333334</v>
      </c>
      <c r="Y184" s="11">
        <v>25</v>
      </c>
      <c r="Z184" s="44">
        <f t="shared" si="49"/>
        <v>1.0201287438052145</v>
      </c>
      <c r="AA184" s="45">
        <v>940</v>
      </c>
      <c r="AB184" s="35">
        <f t="shared" si="43"/>
        <v>85.454545454545453</v>
      </c>
      <c r="AC184" s="35">
        <f t="shared" si="44"/>
        <v>87.2</v>
      </c>
      <c r="AD184" s="35">
        <f t="shared" si="45"/>
        <v>1.7454545454545496</v>
      </c>
      <c r="AE184" s="35">
        <v>-2.2000000000000002</v>
      </c>
      <c r="AF184" s="35">
        <f t="shared" si="46"/>
        <v>85</v>
      </c>
      <c r="AG184" s="35"/>
      <c r="AH184" s="35">
        <f t="shared" si="47"/>
        <v>85</v>
      </c>
      <c r="AI184" s="35">
        <v>85</v>
      </c>
      <c r="AJ184" s="35">
        <f t="shared" si="48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0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10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10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10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10"/>
      <c r="GC184" s="9"/>
      <c r="GD184" s="9"/>
    </row>
    <row r="185" spans="1:186" s="2" customFormat="1" ht="17" customHeight="1">
      <c r="A185" s="14" t="s">
        <v>182</v>
      </c>
      <c r="B185" s="35">
        <v>0</v>
      </c>
      <c r="C185" s="35">
        <v>0</v>
      </c>
      <c r="D185" s="4">
        <f t="shared" si="39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88.1</v>
      </c>
      <c r="O185" s="35">
        <v>66.2</v>
      </c>
      <c r="P185" s="4">
        <f t="shared" si="40"/>
        <v>0.75141884222474464</v>
      </c>
      <c r="Q185" s="11">
        <v>20</v>
      </c>
      <c r="R185" s="35">
        <v>75</v>
      </c>
      <c r="S185" s="35">
        <v>75.2</v>
      </c>
      <c r="T185" s="4">
        <f t="shared" si="41"/>
        <v>1.0026666666666666</v>
      </c>
      <c r="U185" s="11">
        <v>25</v>
      </c>
      <c r="V185" s="35">
        <v>2.5</v>
      </c>
      <c r="W185" s="35">
        <v>2.6</v>
      </c>
      <c r="X185" s="4">
        <f t="shared" si="42"/>
        <v>1.04</v>
      </c>
      <c r="Y185" s="11">
        <v>25</v>
      </c>
      <c r="Z185" s="44">
        <f t="shared" si="49"/>
        <v>0.94421490730230806</v>
      </c>
      <c r="AA185" s="45">
        <v>1253</v>
      </c>
      <c r="AB185" s="35">
        <f t="shared" si="43"/>
        <v>113.90909090909091</v>
      </c>
      <c r="AC185" s="35">
        <f t="shared" si="44"/>
        <v>107.6</v>
      </c>
      <c r="AD185" s="35">
        <f t="shared" si="45"/>
        <v>-6.3090909090909122</v>
      </c>
      <c r="AE185" s="35">
        <v>-1.4</v>
      </c>
      <c r="AF185" s="35">
        <f t="shared" si="46"/>
        <v>106.19999999999999</v>
      </c>
      <c r="AG185" s="35"/>
      <c r="AH185" s="35">
        <f t="shared" si="47"/>
        <v>106.19999999999999</v>
      </c>
      <c r="AI185" s="35">
        <v>106.19999999999999</v>
      </c>
      <c r="AJ185" s="35">
        <f t="shared" si="48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10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10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10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10"/>
      <c r="GC185" s="9"/>
      <c r="GD185" s="9"/>
    </row>
    <row r="186" spans="1:186" s="2" customFormat="1" ht="17" customHeight="1">
      <c r="A186" s="14" t="s">
        <v>183</v>
      </c>
      <c r="B186" s="35">
        <v>15140</v>
      </c>
      <c r="C186" s="35">
        <v>16922</v>
      </c>
      <c r="D186" s="4">
        <f t="shared" si="39"/>
        <v>1.1177014531043594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256.8</v>
      </c>
      <c r="O186" s="35">
        <v>261.39999999999998</v>
      </c>
      <c r="P186" s="4">
        <f t="shared" si="40"/>
        <v>1.0179127725856696</v>
      </c>
      <c r="Q186" s="11">
        <v>20</v>
      </c>
      <c r="R186" s="35">
        <v>330</v>
      </c>
      <c r="S186" s="35">
        <v>330.5</v>
      </c>
      <c r="T186" s="4">
        <f t="shared" si="41"/>
        <v>1.0015151515151515</v>
      </c>
      <c r="U186" s="11">
        <v>35</v>
      </c>
      <c r="V186" s="35">
        <v>21</v>
      </c>
      <c r="W186" s="35">
        <v>23</v>
      </c>
      <c r="X186" s="4">
        <f t="shared" si="42"/>
        <v>1.0952380952380953</v>
      </c>
      <c r="Y186" s="11">
        <v>15</v>
      </c>
      <c r="Z186" s="44">
        <f t="shared" si="49"/>
        <v>1.0377108964294839</v>
      </c>
      <c r="AA186" s="45">
        <v>792</v>
      </c>
      <c r="AB186" s="35">
        <f t="shared" si="43"/>
        <v>72</v>
      </c>
      <c r="AC186" s="35">
        <f t="shared" si="44"/>
        <v>74.7</v>
      </c>
      <c r="AD186" s="35">
        <f t="shared" si="45"/>
        <v>2.7000000000000028</v>
      </c>
      <c r="AE186" s="35">
        <v>1</v>
      </c>
      <c r="AF186" s="35">
        <f t="shared" si="46"/>
        <v>75.7</v>
      </c>
      <c r="AG186" s="35">
        <f>MIN(AF186,11.6)</f>
        <v>11.6</v>
      </c>
      <c r="AH186" s="35">
        <f t="shared" si="47"/>
        <v>64.100000000000009</v>
      </c>
      <c r="AI186" s="35">
        <v>64.100000000000009</v>
      </c>
      <c r="AJ186" s="35">
        <f t="shared" si="48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0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0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10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10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10"/>
      <c r="GC186" s="9"/>
      <c r="GD186" s="9"/>
    </row>
    <row r="187" spans="1:186" s="2" customFormat="1" ht="17" customHeight="1">
      <c r="A187" s="14" t="s">
        <v>184</v>
      </c>
      <c r="B187" s="35">
        <v>0</v>
      </c>
      <c r="C187" s="35">
        <v>0</v>
      </c>
      <c r="D187" s="4">
        <f t="shared" si="39"/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70.099999999999994</v>
      </c>
      <c r="O187" s="35">
        <v>30.9</v>
      </c>
      <c r="P187" s="4">
        <f t="shared" si="40"/>
        <v>0.4407988587731812</v>
      </c>
      <c r="Q187" s="11">
        <v>20</v>
      </c>
      <c r="R187" s="35">
        <v>120</v>
      </c>
      <c r="S187" s="35">
        <v>120.3</v>
      </c>
      <c r="T187" s="4">
        <f t="shared" si="41"/>
        <v>1.0024999999999999</v>
      </c>
      <c r="U187" s="11">
        <v>30</v>
      </c>
      <c r="V187" s="35">
        <v>7</v>
      </c>
      <c r="W187" s="35">
        <v>8.1999999999999993</v>
      </c>
      <c r="X187" s="4">
        <f t="shared" si="42"/>
        <v>1.1714285714285713</v>
      </c>
      <c r="Y187" s="11">
        <v>20</v>
      </c>
      <c r="Z187" s="44">
        <f t="shared" si="49"/>
        <v>0.89027926577192928</v>
      </c>
      <c r="AA187" s="45">
        <v>1691</v>
      </c>
      <c r="AB187" s="35">
        <f t="shared" si="43"/>
        <v>153.72727272727272</v>
      </c>
      <c r="AC187" s="35">
        <f t="shared" si="44"/>
        <v>136.9</v>
      </c>
      <c r="AD187" s="35">
        <f t="shared" si="45"/>
        <v>-16.827272727272714</v>
      </c>
      <c r="AE187" s="35">
        <v>1.6</v>
      </c>
      <c r="AF187" s="35">
        <f t="shared" si="46"/>
        <v>138.5</v>
      </c>
      <c r="AG187" s="35"/>
      <c r="AH187" s="35">
        <f t="shared" si="47"/>
        <v>138.5</v>
      </c>
      <c r="AI187" s="35">
        <v>138.5</v>
      </c>
      <c r="AJ187" s="35">
        <f t="shared" si="48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10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0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10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10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10"/>
      <c r="GC187" s="9"/>
      <c r="GD187" s="9"/>
    </row>
    <row r="188" spans="1:186" s="2" customFormat="1" ht="17" customHeight="1">
      <c r="A188" s="14" t="s">
        <v>185</v>
      </c>
      <c r="B188" s="35">
        <v>0</v>
      </c>
      <c r="C188" s="35">
        <v>0</v>
      </c>
      <c r="D188" s="4">
        <f t="shared" si="39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49.9</v>
      </c>
      <c r="O188" s="35">
        <v>38.200000000000003</v>
      </c>
      <c r="P188" s="4">
        <f t="shared" si="40"/>
        <v>0.7655310621242486</v>
      </c>
      <c r="Q188" s="11">
        <v>20</v>
      </c>
      <c r="R188" s="35">
        <v>150</v>
      </c>
      <c r="S188" s="35">
        <v>150.1</v>
      </c>
      <c r="T188" s="4">
        <f t="shared" si="41"/>
        <v>1.0006666666666666</v>
      </c>
      <c r="U188" s="11">
        <v>30</v>
      </c>
      <c r="V188" s="35">
        <v>10</v>
      </c>
      <c r="W188" s="35">
        <v>10</v>
      </c>
      <c r="X188" s="4">
        <f t="shared" si="42"/>
        <v>1</v>
      </c>
      <c r="Y188" s="11">
        <v>20</v>
      </c>
      <c r="Z188" s="44">
        <f t="shared" si="49"/>
        <v>0.93329458917835662</v>
      </c>
      <c r="AA188" s="45">
        <v>1185</v>
      </c>
      <c r="AB188" s="35">
        <f t="shared" si="43"/>
        <v>107.72727272727273</v>
      </c>
      <c r="AC188" s="35">
        <f t="shared" si="44"/>
        <v>100.5</v>
      </c>
      <c r="AD188" s="35">
        <f t="shared" si="45"/>
        <v>-7.2272727272727337</v>
      </c>
      <c r="AE188" s="35">
        <v>-0.3</v>
      </c>
      <c r="AF188" s="35">
        <f t="shared" si="46"/>
        <v>100.2</v>
      </c>
      <c r="AG188" s="35"/>
      <c r="AH188" s="35">
        <f t="shared" si="47"/>
        <v>100.2</v>
      </c>
      <c r="AI188" s="35">
        <v>100.2</v>
      </c>
      <c r="AJ188" s="35">
        <f t="shared" si="48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10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0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10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10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10"/>
      <c r="GC188" s="9"/>
      <c r="GD188" s="9"/>
    </row>
    <row r="189" spans="1:186" s="2" customFormat="1" ht="17" customHeight="1">
      <c r="A189" s="14" t="s">
        <v>186</v>
      </c>
      <c r="B189" s="35">
        <v>0</v>
      </c>
      <c r="C189" s="35">
        <v>0</v>
      </c>
      <c r="D189" s="4">
        <f t="shared" si="39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19.399999999999999</v>
      </c>
      <c r="O189" s="35">
        <v>15.2</v>
      </c>
      <c r="P189" s="4">
        <f t="shared" si="40"/>
        <v>0.78350515463917525</v>
      </c>
      <c r="Q189" s="11">
        <v>20</v>
      </c>
      <c r="R189" s="35">
        <v>25</v>
      </c>
      <c r="S189" s="35">
        <v>28.1</v>
      </c>
      <c r="T189" s="4">
        <f t="shared" si="41"/>
        <v>1.1240000000000001</v>
      </c>
      <c r="U189" s="11">
        <v>25</v>
      </c>
      <c r="V189" s="35">
        <v>5</v>
      </c>
      <c r="W189" s="35">
        <v>5.5</v>
      </c>
      <c r="X189" s="4">
        <f t="shared" si="42"/>
        <v>1.1000000000000001</v>
      </c>
      <c r="Y189" s="11">
        <v>25</v>
      </c>
      <c r="Z189" s="44">
        <f t="shared" si="49"/>
        <v>1.0181443298969073</v>
      </c>
      <c r="AA189" s="45">
        <v>1149</v>
      </c>
      <c r="AB189" s="35">
        <f t="shared" si="43"/>
        <v>104.45454545454545</v>
      </c>
      <c r="AC189" s="35">
        <f t="shared" si="44"/>
        <v>106.3</v>
      </c>
      <c r="AD189" s="35">
        <f t="shared" si="45"/>
        <v>1.8454545454545439</v>
      </c>
      <c r="AE189" s="35">
        <v>0.2</v>
      </c>
      <c r="AF189" s="35">
        <f t="shared" si="46"/>
        <v>106.5</v>
      </c>
      <c r="AG189" s="35"/>
      <c r="AH189" s="35">
        <f t="shared" si="47"/>
        <v>106.5</v>
      </c>
      <c r="AI189" s="35">
        <v>106.5</v>
      </c>
      <c r="AJ189" s="35">
        <f t="shared" si="48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10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10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10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10"/>
      <c r="GC189" s="9"/>
      <c r="GD189" s="9"/>
    </row>
    <row r="190" spans="1:186" s="2" customFormat="1" ht="17" customHeight="1">
      <c r="A190" s="14" t="s">
        <v>187</v>
      </c>
      <c r="B190" s="35">
        <v>0</v>
      </c>
      <c r="C190" s="35">
        <v>0</v>
      </c>
      <c r="D190" s="4">
        <f t="shared" si="39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46.9</v>
      </c>
      <c r="O190" s="35">
        <v>43</v>
      </c>
      <c r="P190" s="4">
        <f t="shared" si="40"/>
        <v>0.91684434968017059</v>
      </c>
      <c r="Q190" s="11">
        <v>20</v>
      </c>
      <c r="R190" s="35">
        <v>450</v>
      </c>
      <c r="S190" s="35">
        <v>451.3</v>
      </c>
      <c r="T190" s="4">
        <f t="shared" si="41"/>
        <v>1.0028888888888889</v>
      </c>
      <c r="U190" s="11">
        <v>35</v>
      </c>
      <c r="V190" s="35">
        <v>16</v>
      </c>
      <c r="W190" s="35">
        <v>18</v>
      </c>
      <c r="X190" s="4">
        <f t="shared" si="42"/>
        <v>1.125</v>
      </c>
      <c r="Y190" s="11">
        <v>15</v>
      </c>
      <c r="Z190" s="44">
        <f t="shared" si="49"/>
        <v>1.0044714014959217</v>
      </c>
      <c r="AA190" s="45">
        <v>1127</v>
      </c>
      <c r="AB190" s="35">
        <f t="shared" si="43"/>
        <v>102.45454545454545</v>
      </c>
      <c r="AC190" s="35">
        <f t="shared" si="44"/>
        <v>102.9</v>
      </c>
      <c r="AD190" s="35">
        <f t="shared" si="45"/>
        <v>0.44545454545455243</v>
      </c>
      <c r="AE190" s="35">
        <v>-2.2999999999999998</v>
      </c>
      <c r="AF190" s="35">
        <f t="shared" si="46"/>
        <v>100.60000000000001</v>
      </c>
      <c r="AG190" s="35"/>
      <c r="AH190" s="35">
        <f t="shared" si="47"/>
        <v>100.60000000000001</v>
      </c>
      <c r="AI190" s="35">
        <v>100.60000000000001</v>
      </c>
      <c r="AJ190" s="35">
        <f t="shared" si="48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10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10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10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10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10"/>
      <c r="GC190" s="9"/>
      <c r="GD190" s="9"/>
    </row>
    <row r="191" spans="1:186" s="2" customFormat="1" ht="17" customHeight="1">
      <c r="A191" s="14" t="s">
        <v>188</v>
      </c>
      <c r="B191" s="35">
        <v>0</v>
      </c>
      <c r="C191" s="35">
        <v>0</v>
      </c>
      <c r="D191" s="4">
        <f t="shared" si="39"/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155.4</v>
      </c>
      <c r="O191" s="35">
        <v>19.8</v>
      </c>
      <c r="P191" s="4">
        <f t="shared" si="40"/>
        <v>0.12741312741312741</v>
      </c>
      <c r="Q191" s="11">
        <v>20</v>
      </c>
      <c r="R191" s="35">
        <v>60</v>
      </c>
      <c r="S191" s="35">
        <v>60</v>
      </c>
      <c r="T191" s="4">
        <f t="shared" si="41"/>
        <v>1</v>
      </c>
      <c r="U191" s="11">
        <v>25</v>
      </c>
      <c r="V191" s="35">
        <v>6</v>
      </c>
      <c r="W191" s="35">
        <v>6</v>
      </c>
      <c r="X191" s="4">
        <f t="shared" si="42"/>
        <v>1</v>
      </c>
      <c r="Y191" s="11">
        <v>25</v>
      </c>
      <c r="Z191" s="44">
        <f t="shared" si="49"/>
        <v>0.7506894649751793</v>
      </c>
      <c r="AA191" s="45">
        <v>1398</v>
      </c>
      <c r="AB191" s="35">
        <f t="shared" si="43"/>
        <v>127.09090909090909</v>
      </c>
      <c r="AC191" s="35">
        <f t="shared" si="44"/>
        <v>95.4</v>
      </c>
      <c r="AD191" s="35">
        <f t="shared" si="45"/>
        <v>-31.690909090909088</v>
      </c>
      <c r="AE191" s="35">
        <v>-1.2</v>
      </c>
      <c r="AF191" s="35">
        <f t="shared" si="46"/>
        <v>94.2</v>
      </c>
      <c r="AG191" s="35"/>
      <c r="AH191" s="35">
        <f t="shared" si="47"/>
        <v>94.2</v>
      </c>
      <c r="AI191" s="35">
        <v>94.2</v>
      </c>
      <c r="AJ191" s="35">
        <f t="shared" si="48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0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10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10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10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10"/>
      <c r="GC191" s="9"/>
      <c r="GD191" s="9"/>
    </row>
    <row r="192" spans="1:186" s="2" customFormat="1" ht="17" customHeight="1">
      <c r="A192" s="18" t="s">
        <v>189</v>
      </c>
      <c r="B192" s="6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35"/>
      <c r="AF192" s="35"/>
      <c r="AG192" s="35"/>
      <c r="AH192" s="35"/>
      <c r="AI192" s="35"/>
      <c r="AJ192" s="35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0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10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10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10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10"/>
      <c r="GC192" s="9"/>
      <c r="GD192" s="9"/>
    </row>
    <row r="193" spans="1:186" s="2" customFormat="1" ht="17" customHeight="1">
      <c r="A193" s="14" t="s">
        <v>190</v>
      </c>
      <c r="B193" s="35">
        <v>0</v>
      </c>
      <c r="C193" s="35">
        <v>0</v>
      </c>
      <c r="D193" s="4">
        <f t="shared" si="39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410.6</v>
      </c>
      <c r="O193" s="35">
        <v>290</v>
      </c>
      <c r="P193" s="4">
        <f t="shared" si="40"/>
        <v>0.70628348757915238</v>
      </c>
      <c r="Q193" s="11">
        <v>20</v>
      </c>
      <c r="R193" s="35">
        <v>20</v>
      </c>
      <c r="S193" s="35">
        <v>12.2</v>
      </c>
      <c r="T193" s="4">
        <f t="shared" si="41"/>
        <v>0.61</v>
      </c>
      <c r="U193" s="11">
        <v>35</v>
      </c>
      <c r="V193" s="35">
        <v>1.7</v>
      </c>
      <c r="W193" s="35">
        <v>1.7</v>
      </c>
      <c r="X193" s="4">
        <f t="shared" si="42"/>
        <v>1</v>
      </c>
      <c r="Y193" s="11">
        <v>15</v>
      </c>
      <c r="Z193" s="44">
        <f t="shared" si="49"/>
        <v>0.72108099645118628</v>
      </c>
      <c r="AA193" s="45">
        <v>1172</v>
      </c>
      <c r="AB193" s="35">
        <f t="shared" si="43"/>
        <v>106.54545454545455</v>
      </c>
      <c r="AC193" s="35">
        <f t="shared" si="44"/>
        <v>76.8</v>
      </c>
      <c r="AD193" s="35">
        <f t="shared" si="45"/>
        <v>-29.74545454545455</v>
      </c>
      <c r="AE193" s="35">
        <v>-0.9</v>
      </c>
      <c r="AF193" s="35">
        <f t="shared" si="46"/>
        <v>75.899999999999991</v>
      </c>
      <c r="AG193" s="35">
        <f>MIN(AF193,53.3)</f>
        <v>53.3</v>
      </c>
      <c r="AH193" s="35">
        <f t="shared" si="47"/>
        <v>22.599999999999994</v>
      </c>
      <c r="AI193" s="35">
        <v>22.599999999999994</v>
      </c>
      <c r="AJ193" s="35">
        <f t="shared" si="48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10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10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10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10"/>
      <c r="GC193" s="9"/>
      <c r="GD193" s="9"/>
    </row>
    <row r="194" spans="1:186" s="2" customFormat="1" ht="17" customHeight="1">
      <c r="A194" s="14" t="s">
        <v>191</v>
      </c>
      <c r="B194" s="35">
        <v>0</v>
      </c>
      <c r="C194" s="35">
        <v>0</v>
      </c>
      <c r="D194" s="4">
        <f t="shared" si="39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188.8</v>
      </c>
      <c r="O194" s="35">
        <v>27.1</v>
      </c>
      <c r="P194" s="4">
        <f t="shared" si="40"/>
        <v>0.14353813559322035</v>
      </c>
      <c r="Q194" s="11">
        <v>20</v>
      </c>
      <c r="R194" s="35">
        <v>0.1</v>
      </c>
      <c r="S194" s="35">
        <v>0</v>
      </c>
      <c r="T194" s="4">
        <f t="shared" si="41"/>
        <v>0</v>
      </c>
      <c r="U194" s="11">
        <v>30</v>
      </c>
      <c r="V194" s="35">
        <v>0</v>
      </c>
      <c r="W194" s="35">
        <v>0</v>
      </c>
      <c r="X194" s="4">
        <f t="shared" si="42"/>
        <v>1</v>
      </c>
      <c r="Y194" s="11">
        <v>20</v>
      </c>
      <c r="Z194" s="44">
        <f t="shared" si="49"/>
        <v>0.32672518159806296</v>
      </c>
      <c r="AA194" s="45">
        <v>733</v>
      </c>
      <c r="AB194" s="35">
        <f t="shared" si="43"/>
        <v>66.63636363636364</v>
      </c>
      <c r="AC194" s="35">
        <f t="shared" si="44"/>
        <v>21.8</v>
      </c>
      <c r="AD194" s="35">
        <f t="shared" si="45"/>
        <v>-44.836363636363643</v>
      </c>
      <c r="AE194" s="35">
        <v>0</v>
      </c>
      <c r="AF194" s="35">
        <f t="shared" si="46"/>
        <v>21.8</v>
      </c>
      <c r="AG194" s="35">
        <f>MIN(AF194,33.3)</f>
        <v>21.8</v>
      </c>
      <c r="AH194" s="35">
        <f t="shared" si="47"/>
        <v>0</v>
      </c>
      <c r="AI194" s="35">
        <v>0</v>
      </c>
      <c r="AJ194" s="35">
        <f t="shared" si="48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0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10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10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10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10"/>
      <c r="GC194" s="9"/>
      <c r="GD194" s="9"/>
    </row>
    <row r="195" spans="1:186" s="2" customFormat="1" ht="17" customHeight="1">
      <c r="A195" s="14" t="s">
        <v>192</v>
      </c>
      <c r="B195" s="35">
        <v>0</v>
      </c>
      <c r="C195" s="35">
        <v>0</v>
      </c>
      <c r="D195" s="4">
        <f t="shared" si="39"/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150.30000000000001</v>
      </c>
      <c r="O195" s="35">
        <v>174.3</v>
      </c>
      <c r="P195" s="4">
        <f t="shared" si="40"/>
        <v>1.1596806387225549</v>
      </c>
      <c r="Q195" s="11">
        <v>20</v>
      </c>
      <c r="R195" s="35">
        <v>63</v>
      </c>
      <c r="S195" s="35">
        <v>80.3</v>
      </c>
      <c r="T195" s="4">
        <f t="shared" si="41"/>
        <v>1.2074603174603173</v>
      </c>
      <c r="U195" s="11">
        <v>30</v>
      </c>
      <c r="V195" s="35">
        <v>5.0999999999999996</v>
      </c>
      <c r="W195" s="35">
        <v>5.7</v>
      </c>
      <c r="X195" s="4">
        <f t="shared" si="42"/>
        <v>1.1176470588235294</v>
      </c>
      <c r="Y195" s="11">
        <v>20</v>
      </c>
      <c r="Z195" s="44">
        <f t="shared" si="49"/>
        <v>1.1681480496390171</v>
      </c>
      <c r="AA195" s="45">
        <v>1939</v>
      </c>
      <c r="AB195" s="35">
        <f t="shared" si="43"/>
        <v>176.27272727272728</v>
      </c>
      <c r="AC195" s="35">
        <f t="shared" si="44"/>
        <v>205.9</v>
      </c>
      <c r="AD195" s="35">
        <f t="shared" si="45"/>
        <v>29.627272727272725</v>
      </c>
      <c r="AE195" s="35">
        <v>-0.8</v>
      </c>
      <c r="AF195" s="35">
        <f t="shared" si="46"/>
        <v>205.1</v>
      </c>
      <c r="AG195" s="35">
        <f>MIN(AF195,16)</f>
        <v>16</v>
      </c>
      <c r="AH195" s="35">
        <f t="shared" si="47"/>
        <v>189.1</v>
      </c>
      <c r="AI195" s="35">
        <v>189.1</v>
      </c>
      <c r="AJ195" s="35">
        <f t="shared" si="48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0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10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10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10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10"/>
      <c r="GC195" s="9"/>
      <c r="GD195" s="9"/>
    </row>
    <row r="196" spans="1:186" s="2" customFormat="1" ht="17" customHeight="1">
      <c r="A196" s="14" t="s">
        <v>193</v>
      </c>
      <c r="B196" s="35">
        <v>0</v>
      </c>
      <c r="C196" s="35">
        <v>0</v>
      </c>
      <c r="D196" s="4">
        <f t="shared" si="39"/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65.900000000000006</v>
      </c>
      <c r="O196" s="35">
        <v>37.700000000000003</v>
      </c>
      <c r="P196" s="4">
        <f t="shared" si="40"/>
        <v>0.57207890743550838</v>
      </c>
      <c r="Q196" s="11">
        <v>20</v>
      </c>
      <c r="R196" s="35">
        <v>0.1</v>
      </c>
      <c r="S196" s="35">
        <v>0.1</v>
      </c>
      <c r="T196" s="4">
        <f t="shared" si="41"/>
        <v>1</v>
      </c>
      <c r="U196" s="11">
        <v>30</v>
      </c>
      <c r="V196" s="35">
        <v>0.1</v>
      </c>
      <c r="W196" s="35">
        <v>0.1</v>
      </c>
      <c r="X196" s="4">
        <f t="shared" si="42"/>
        <v>1</v>
      </c>
      <c r="Y196" s="11">
        <v>20</v>
      </c>
      <c r="Z196" s="44">
        <f t="shared" si="49"/>
        <v>0.8777368306958595</v>
      </c>
      <c r="AA196" s="45">
        <v>472</v>
      </c>
      <c r="AB196" s="35">
        <f t="shared" si="43"/>
        <v>42.909090909090907</v>
      </c>
      <c r="AC196" s="35">
        <f t="shared" si="44"/>
        <v>37.700000000000003</v>
      </c>
      <c r="AD196" s="35">
        <f t="shared" si="45"/>
        <v>-5.2090909090909037</v>
      </c>
      <c r="AE196" s="35">
        <v>-0.8</v>
      </c>
      <c r="AF196" s="35">
        <f t="shared" si="46"/>
        <v>36.900000000000006</v>
      </c>
      <c r="AG196" s="35"/>
      <c r="AH196" s="35">
        <f t="shared" si="47"/>
        <v>36.900000000000006</v>
      </c>
      <c r="AI196" s="35">
        <v>36.900000000000006</v>
      </c>
      <c r="AJ196" s="35">
        <f t="shared" si="48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0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10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10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10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10"/>
      <c r="GC196" s="9"/>
      <c r="GD196" s="9"/>
    </row>
    <row r="197" spans="1:186" s="2" customFormat="1" ht="17" customHeight="1">
      <c r="A197" s="14" t="s">
        <v>194</v>
      </c>
      <c r="B197" s="35">
        <v>0</v>
      </c>
      <c r="C197" s="35">
        <v>0</v>
      </c>
      <c r="D197" s="4">
        <f t="shared" si="39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236.7</v>
      </c>
      <c r="O197" s="35">
        <v>123.1</v>
      </c>
      <c r="P197" s="4">
        <f t="shared" si="40"/>
        <v>0.52006759611322351</v>
      </c>
      <c r="Q197" s="11">
        <v>20</v>
      </c>
      <c r="R197" s="35">
        <v>3.5</v>
      </c>
      <c r="S197" s="35">
        <v>4.0999999999999996</v>
      </c>
      <c r="T197" s="4">
        <f t="shared" si="41"/>
        <v>1.1714285714285713</v>
      </c>
      <c r="U197" s="11">
        <v>5</v>
      </c>
      <c r="V197" s="35">
        <v>3</v>
      </c>
      <c r="W197" s="35">
        <v>2.9</v>
      </c>
      <c r="X197" s="4">
        <f t="shared" si="42"/>
        <v>0.96666666666666667</v>
      </c>
      <c r="Y197" s="11">
        <v>45</v>
      </c>
      <c r="Z197" s="44">
        <f t="shared" si="49"/>
        <v>0.85369278256296188</v>
      </c>
      <c r="AA197" s="45">
        <v>913</v>
      </c>
      <c r="AB197" s="35">
        <f t="shared" si="43"/>
        <v>83</v>
      </c>
      <c r="AC197" s="35">
        <f t="shared" si="44"/>
        <v>70.900000000000006</v>
      </c>
      <c r="AD197" s="35">
        <f t="shared" si="45"/>
        <v>-12.099999999999994</v>
      </c>
      <c r="AE197" s="35">
        <v>-3.6</v>
      </c>
      <c r="AF197" s="35">
        <f t="shared" si="46"/>
        <v>67.300000000000011</v>
      </c>
      <c r="AG197" s="35">
        <f>MIN(AF197,41.5)</f>
        <v>41.5</v>
      </c>
      <c r="AH197" s="35">
        <f t="shared" si="47"/>
        <v>25.800000000000011</v>
      </c>
      <c r="AI197" s="35">
        <v>25.800000000000011</v>
      </c>
      <c r="AJ197" s="35">
        <f t="shared" si="48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10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10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10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10"/>
      <c r="GC197" s="9"/>
      <c r="GD197" s="9"/>
    </row>
    <row r="198" spans="1:186" s="2" customFormat="1" ht="17" customHeight="1">
      <c r="A198" s="14" t="s">
        <v>195</v>
      </c>
      <c r="B198" s="35">
        <v>662</v>
      </c>
      <c r="C198" s="35">
        <v>114.9</v>
      </c>
      <c r="D198" s="4">
        <f t="shared" si="39"/>
        <v>0.17356495468277947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52.5</v>
      </c>
      <c r="O198" s="35">
        <v>45.3</v>
      </c>
      <c r="P198" s="4">
        <f t="shared" si="40"/>
        <v>0.86285714285714277</v>
      </c>
      <c r="Q198" s="11">
        <v>20</v>
      </c>
      <c r="R198" s="35">
        <v>20.2</v>
      </c>
      <c r="S198" s="35">
        <v>22</v>
      </c>
      <c r="T198" s="4">
        <f t="shared" si="41"/>
        <v>1.0891089108910892</v>
      </c>
      <c r="U198" s="11">
        <v>35</v>
      </c>
      <c r="V198" s="35">
        <v>4</v>
      </c>
      <c r="W198" s="35">
        <v>4.8</v>
      </c>
      <c r="X198" s="4">
        <f t="shared" si="42"/>
        <v>1.2</v>
      </c>
      <c r="Y198" s="11">
        <v>15</v>
      </c>
      <c r="Z198" s="44">
        <f t="shared" si="49"/>
        <v>0.93889505356448466</v>
      </c>
      <c r="AA198" s="45">
        <v>1319</v>
      </c>
      <c r="AB198" s="35">
        <f t="shared" si="43"/>
        <v>119.90909090909091</v>
      </c>
      <c r="AC198" s="35">
        <f t="shared" si="44"/>
        <v>112.6</v>
      </c>
      <c r="AD198" s="35">
        <f t="shared" si="45"/>
        <v>-7.3090909090909122</v>
      </c>
      <c r="AE198" s="35">
        <v>-5.4</v>
      </c>
      <c r="AF198" s="35">
        <f t="shared" si="46"/>
        <v>107.19999999999999</v>
      </c>
      <c r="AG198" s="35"/>
      <c r="AH198" s="35">
        <f t="shared" si="47"/>
        <v>107.19999999999999</v>
      </c>
      <c r="AI198" s="35">
        <v>107.19999999999999</v>
      </c>
      <c r="AJ198" s="35">
        <f t="shared" si="48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10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10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10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10"/>
      <c r="GC198" s="9"/>
      <c r="GD198" s="9"/>
    </row>
    <row r="199" spans="1:186" s="2" customFormat="1" ht="17" customHeight="1">
      <c r="A199" s="14" t="s">
        <v>196</v>
      </c>
      <c r="B199" s="35">
        <v>12241</v>
      </c>
      <c r="C199" s="35">
        <v>12743.3</v>
      </c>
      <c r="D199" s="4">
        <f t="shared" si="39"/>
        <v>1.041034229229638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1232.9000000000001</v>
      </c>
      <c r="O199" s="35">
        <v>1212.7</v>
      </c>
      <c r="P199" s="4">
        <f t="shared" si="40"/>
        <v>0.98361586503366039</v>
      </c>
      <c r="Q199" s="11">
        <v>20</v>
      </c>
      <c r="R199" s="35">
        <v>60</v>
      </c>
      <c r="S199" s="35">
        <v>75.900000000000006</v>
      </c>
      <c r="T199" s="4">
        <f t="shared" si="41"/>
        <v>1.2064999999999999</v>
      </c>
      <c r="U199" s="11">
        <v>30</v>
      </c>
      <c r="V199" s="35">
        <v>4.8</v>
      </c>
      <c r="W199" s="35">
        <v>2.9</v>
      </c>
      <c r="X199" s="4">
        <f t="shared" si="42"/>
        <v>0.60416666666666663</v>
      </c>
      <c r="Y199" s="11">
        <v>20</v>
      </c>
      <c r="Z199" s="44">
        <f t="shared" si="49"/>
        <v>0.97951241157878643</v>
      </c>
      <c r="AA199" s="45">
        <v>1033</v>
      </c>
      <c r="AB199" s="35">
        <f t="shared" si="43"/>
        <v>93.909090909090907</v>
      </c>
      <c r="AC199" s="35">
        <f t="shared" si="44"/>
        <v>92</v>
      </c>
      <c r="AD199" s="35">
        <f t="shared" si="45"/>
        <v>-1.9090909090909065</v>
      </c>
      <c r="AE199" s="35">
        <v>-3</v>
      </c>
      <c r="AF199" s="35">
        <f t="shared" si="46"/>
        <v>89</v>
      </c>
      <c r="AG199" s="35"/>
      <c r="AH199" s="35">
        <f t="shared" si="47"/>
        <v>89</v>
      </c>
      <c r="AI199" s="35">
        <v>89</v>
      </c>
      <c r="AJ199" s="35">
        <f t="shared" si="48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10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10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10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10"/>
      <c r="GC199" s="9"/>
      <c r="GD199" s="9"/>
    </row>
    <row r="200" spans="1:186" s="2" customFormat="1" ht="17" customHeight="1">
      <c r="A200" s="14" t="s">
        <v>197</v>
      </c>
      <c r="B200" s="35">
        <v>0</v>
      </c>
      <c r="C200" s="35">
        <v>0</v>
      </c>
      <c r="D200" s="4">
        <f t="shared" si="39"/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805.9</v>
      </c>
      <c r="O200" s="35">
        <v>75.2</v>
      </c>
      <c r="P200" s="4">
        <f t="shared" si="40"/>
        <v>9.3311825288497338E-2</v>
      </c>
      <c r="Q200" s="11">
        <v>20</v>
      </c>
      <c r="R200" s="35">
        <v>14</v>
      </c>
      <c r="S200" s="35">
        <v>17.399999999999999</v>
      </c>
      <c r="T200" s="4">
        <f t="shared" si="41"/>
        <v>1.2042857142857142</v>
      </c>
      <c r="U200" s="11">
        <v>30</v>
      </c>
      <c r="V200" s="35">
        <v>2</v>
      </c>
      <c r="W200" s="35">
        <v>2.2999999999999998</v>
      </c>
      <c r="X200" s="4">
        <f t="shared" si="42"/>
        <v>1.1499999999999999</v>
      </c>
      <c r="Y200" s="11">
        <v>20</v>
      </c>
      <c r="Z200" s="44">
        <f t="shared" si="49"/>
        <v>0.87135439906201961</v>
      </c>
      <c r="AA200" s="45">
        <v>786</v>
      </c>
      <c r="AB200" s="35">
        <f t="shared" si="43"/>
        <v>71.454545454545453</v>
      </c>
      <c r="AC200" s="35">
        <f t="shared" si="44"/>
        <v>62.3</v>
      </c>
      <c r="AD200" s="35">
        <f t="shared" si="45"/>
        <v>-9.1545454545454561</v>
      </c>
      <c r="AE200" s="35">
        <v>0.2</v>
      </c>
      <c r="AF200" s="35">
        <f t="shared" si="46"/>
        <v>62.5</v>
      </c>
      <c r="AG200" s="35"/>
      <c r="AH200" s="35">
        <f t="shared" si="47"/>
        <v>62.5</v>
      </c>
      <c r="AI200" s="35">
        <v>62.5</v>
      </c>
      <c r="AJ200" s="35">
        <f t="shared" si="48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0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10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10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10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10"/>
      <c r="GC200" s="9"/>
      <c r="GD200" s="9"/>
    </row>
    <row r="201" spans="1:186" s="2" customFormat="1" ht="17" customHeight="1">
      <c r="A201" s="14" t="s">
        <v>198</v>
      </c>
      <c r="B201" s="35">
        <v>0</v>
      </c>
      <c r="C201" s="35">
        <v>0</v>
      </c>
      <c r="D201" s="4">
        <f t="shared" si="39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77.2</v>
      </c>
      <c r="O201" s="35">
        <v>27.4</v>
      </c>
      <c r="P201" s="4">
        <f t="shared" si="40"/>
        <v>0.3549222797927461</v>
      </c>
      <c r="Q201" s="11">
        <v>20</v>
      </c>
      <c r="R201" s="35">
        <v>0.1</v>
      </c>
      <c r="S201" s="35">
        <v>0.1</v>
      </c>
      <c r="T201" s="4">
        <f t="shared" si="41"/>
        <v>1</v>
      </c>
      <c r="U201" s="11">
        <v>30</v>
      </c>
      <c r="V201" s="35">
        <v>0.3</v>
      </c>
      <c r="W201" s="35">
        <v>0.3</v>
      </c>
      <c r="X201" s="4">
        <f t="shared" si="42"/>
        <v>1</v>
      </c>
      <c r="Y201" s="11">
        <v>20</v>
      </c>
      <c r="Z201" s="44">
        <f t="shared" si="49"/>
        <v>0.81569207994078452</v>
      </c>
      <c r="AA201" s="45">
        <v>516</v>
      </c>
      <c r="AB201" s="35">
        <f t="shared" si="43"/>
        <v>46.909090909090907</v>
      </c>
      <c r="AC201" s="35">
        <f t="shared" si="44"/>
        <v>38.299999999999997</v>
      </c>
      <c r="AD201" s="35">
        <f t="shared" si="45"/>
        <v>-8.6090909090909093</v>
      </c>
      <c r="AE201" s="35">
        <v>0.5</v>
      </c>
      <c r="AF201" s="35">
        <f t="shared" si="46"/>
        <v>38.799999999999997</v>
      </c>
      <c r="AG201" s="35"/>
      <c r="AH201" s="35">
        <f t="shared" si="47"/>
        <v>38.799999999999997</v>
      </c>
      <c r="AI201" s="35">
        <v>38.799999999999997</v>
      </c>
      <c r="AJ201" s="35">
        <f t="shared" si="48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10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10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10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10"/>
      <c r="GC201" s="9"/>
      <c r="GD201" s="9"/>
    </row>
    <row r="202" spans="1:186" s="2" customFormat="1" ht="17" customHeight="1">
      <c r="A202" s="14" t="s">
        <v>199</v>
      </c>
      <c r="B202" s="35">
        <v>0</v>
      </c>
      <c r="C202" s="35">
        <v>0</v>
      </c>
      <c r="D202" s="4">
        <f t="shared" si="39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279.60000000000002</v>
      </c>
      <c r="O202" s="35">
        <v>114.3</v>
      </c>
      <c r="P202" s="4">
        <f t="shared" si="40"/>
        <v>0.40879828326180251</v>
      </c>
      <c r="Q202" s="11">
        <v>20</v>
      </c>
      <c r="R202" s="35">
        <v>101</v>
      </c>
      <c r="S202" s="35">
        <v>70</v>
      </c>
      <c r="T202" s="4">
        <f t="shared" si="41"/>
        <v>0.69306930693069302</v>
      </c>
      <c r="U202" s="11">
        <v>35</v>
      </c>
      <c r="V202" s="35">
        <v>3</v>
      </c>
      <c r="W202" s="35">
        <v>2.5</v>
      </c>
      <c r="X202" s="4">
        <f t="shared" si="42"/>
        <v>0.83333333333333337</v>
      </c>
      <c r="Y202" s="11">
        <v>15</v>
      </c>
      <c r="Z202" s="44">
        <f t="shared" si="49"/>
        <v>0.64190559154014726</v>
      </c>
      <c r="AA202" s="45">
        <v>1433</v>
      </c>
      <c r="AB202" s="35">
        <f t="shared" si="43"/>
        <v>130.27272727272728</v>
      </c>
      <c r="AC202" s="35">
        <f t="shared" si="44"/>
        <v>83.6</v>
      </c>
      <c r="AD202" s="35">
        <f t="shared" si="45"/>
        <v>-46.672727272727286</v>
      </c>
      <c r="AE202" s="35">
        <v>0.7</v>
      </c>
      <c r="AF202" s="35">
        <f t="shared" si="46"/>
        <v>84.3</v>
      </c>
      <c r="AG202" s="35">
        <f>MIN(AF202,63.9)</f>
        <v>63.9</v>
      </c>
      <c r="AH202" s="35">
        <f t="shared" si="47"/>
        <v>20.399999999999999</v>
      </c>
      <c r="AI202" s="35">
        <v>20.399999999999999</v>
      </c>
      <c r="AJ202" s="35">
        <f t="shared" si="48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0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10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10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10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10"/>
      <c r="GC202" s="9"/>
      <c r="GD202" s="9"/>
    </row>
    <row r="203" spans="1:186" s="2" customFormat="1" ht="17" customHeight="1">
      <c r="A203" s="14" t="s">
        <v>200</v>
      </c>
      <c r="B203" s="35">
        <v>0</v>
      </c>
      <c r="C203" s="35">
        <v>0</v>
      </c>
      <c r="D203" s="4">
        <f t="shared" si="39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40.1</v>
      </c>
      <c r="O203" s="35">
        <v>16.100000000000001</v>
      </c>
      <c r="P203" s="4">
        <f t="shared" si="40"/>
        <v>0.40149625935162098</v>
      </c>
      <c r="Q203" s="11">
        <v>20</v>
      </c>
      <c r="R203" s="35">
        <v>8</v>
      </c>
      <c r="S203" s="35">
        <v>8.1</v>
      </c>
      <c r="T203" s="4">
        <f t="shared" si="41"/>
        <v>1.0125</v>
      </c>
      <c r="U203" s="11">
        <v>35</v>
      </c>
      <c r="V203" s="35">
        <v>0</v>
      </c>
      <c r="W203" s="35">
        <v>0</v>
      </c>
      <c r="X203" s="4">
        <f t="shared" si="42"/>
        <v>1</v>
      </c>
      <c r="Y203" s="11">
        <v>15</v>
      </c>
      <c r="Z203" s="44">
        <f t="shared" si="49"/>
        <v>0.83524893124332023</v>
      </c>
      <c r="AA203" s="45">
        <v>449</v>
      </c>
      <c r="AB203" s="35">
        <f t="shared" si="43"/>
        <v>40.81818181818182</v>
      </c>
      <c r="AC203" s="35">
        <f t="shared" si="44"/>
        <v>34.1</v>
      </c>
      <c r="AD203" s="35">
        <f t="shared" si="45"/>
        <v>-6.7181818181818187</v>
      </c>
      <c r="AE203" s="35">
        <v>0.6</v>
      </c>
      <c r="AF203" s="35">
        <f t="shared" si="46"/>
        <v>34.700000000000003</v>
      </c>
      <c r="AG203" s="35"/>
      <c r="AH203" s="35">
        <f t="shared" si="47"/>
        <v>34.700000000000003</v>
      </c>
      <c r="AI203" s="35">
        <v>34.700000000000003</v>
      </c>
      <c r="AJ203" s="35">
        <f t="shared" si="48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0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10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10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10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10"/>
      <c r="GC203" s="9"/>
      <c r="GD203" s="9"/>
    </row>
    <row r="204" spans="1:186" s="2" customFormat="1" ht="17" customHeight="1">
      <c r="A204" s="14" t="s">
        <v>201</v>
      </c>
      <c r="B204" s="35">
        <v>0</v>
      </c>
      <c r="C204" s="35">
        <v>0</v>
      </c>
      <c r="D204" s="4">
        <f t="shared" si="39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86.3</v>
      </c>
      <c r="O204" s="35">
        <v>34.799999999999997</v>
      </c>
      <c r="P204" s="4">
        <f t="shared" si="40"/>
        <v>0.40324449594438005</v>
      </c>
      <c r="Q204" s="11">
        <v>20</v>
      </c>
      <c r="R204" s="35">
        <v>0.1</v>
      </c>
      <c r="S204" s="35">
        <v>0.1</v>
      </c>
      <c r="T204" s="4">
        <f t="shared" si="41"/>
        <v>1</v>
      </c>
      <c r="U204" s="11">
        <v>35</v>
      </c>
      <c r="V204" s="35">
        <v>0.2</v>
      </c>
      <c r="W204" s="35">
        <v>0.4</v>
      </c>
      <c r="X204" s="4">
        <f t="shared" si="42"/>
        <v>1.28</v>
      </c>
      <c r="Y204" s="11">
        <v>15</v>
      </c>
      <c r="Z204" s="44">
        <f t="shared" si="49"/>
        <v>0.88949842741268004</v>
      </c>
      <c r="AA204" s="45">
        <v>676</v>
      </c>
      <c r="AB204" s="35">
        <f t="shared" si="43"/>
        <v>61.454545454545453</v>
      </c>
      <c r="AC204" s="35">
        <f t="shared" si="44"/>
        <v>54.7</v>
      </c>
      <c r="AD204" s="35">
        <f t="shared" si="45"/>
        <v>-6.7545454545454504</v>
      </c>
      <c r="AE204" s="35">
        <v>5</v>
      </c>
      <c r="AF204" s="35">
        <f t="shared" si="46"/>
        <v>59.7</v>
      </c>
      <c r="AG204" s="35"/>
      <c r="AH204" s="35">
        <f t="shared" si="47"/>
        <v>59.7</v>
      </c>
      <c r="AI204" s="35">
        <v>59.7</v>
      </c>
      <c r="AJ204" s="35">
        <f t="shared" si="48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0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10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10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10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10"/>
      <c r="GC204" s="9"/>
      <c r="GD204" s="9"/>
    </row>
    <row r="205" spans="1:186" s="2" customFormat="1" ht="17" customHeight="1">
      <c r="A205" s="18" t="s">
        <v>202</v>
      </c>
      <c r="B205" s="6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35"/>
      <c r="AF205" s="35"/>
      <c r="AG205" s="35"/>
      <c r="AH205" s="35"/>
      <c r="AI205" s="35"/>
      <c r="AJ205" s="35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10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10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10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10"/>
      <c r="GC205" s="9"/>
      <c r="GD205" s="9"/>
    </row>
    <row r="206" spans="1:186" s="2" customFormat="1" ht="16.7" customHeight="1">
      <c r="A206" s="46" t="s">
        <v>203</v>
      </c>
      <c r="B206" s="35">
        <v>68</v>
      </c>
      <c r="C206" s="35">
        <v>0</v>
      </c>
      <c r="D206" s="4">
        <f t="shared" si="39"/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151.69999999999999</v>
      </c>
      <c r="O206" s="35">
        <v>0</v>
      </c>
      <c r="P206" s="4">
        <f t="shared" si="40"/>
        <v>0</v>
      </c>
      <c r="Q206" s="11">
        <v>20</v>
      </c>
      <c r="R206" s="35">
        <v>86</v>
      </c>
      <c r="S206" s="35">
        <v>82.4</v>
      </c>
      <c r="T206" s="4">
        <f t="shared" si="41"/>
        <v>0.95813953488372094</v>
      </c>
      <c r="U206" s="11">
        <v>15</v>
      </c>
      <c r="V206" s="35">
        <v>0.3</v>
      </c>
      <c r="W206" s="35">
        <v>0.3</v>
      </c>
      <c r="X206" s="4">
        <f t="shared" si="42"/>
        <v>1</v>
      </c>
      <c r="Y206" s="11">
        <v>35</v>
      </c>
      <c r="Z206" s="44">
        <f t="shared" si="49"/>
        <v>0.6171511627906977</v>
      </c>
      <c r="AA206" s="45">
        <v>904</v>
      </c>
      <c r="AB206" s="35">
        <f t="shared" si="43"/>
        <v>82.181818181818187</v>
      </c>
      <c r="AC206" s="35">
        <f t="shared" si="44"/>
        <v>50.7</v>
      </c>
      <c r="AD206" s="35">
        <f t="shared" si="45"/>
        <v>-31.481818181818184</v>
      </c>
      <c r="AE206" s="35">
        <v>0</v>
      </c>
      <c r="AF206" s="35">
        <f t="shared" si="46"/>
        <v>50.7</v>
      </c>
      <c r="AG206" s="35"/>
      <c r="AH206" s="35">
        <f t="shared" si="47"/>
        <v>50.7</v>
      </c>
      <c r="AI206" s="35">
        <v>50.7</v>
      </c>
      <c r="AJ206" s="35">
        <f t="shared" si="48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0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10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10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10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10"/>
      <c r="GC206" s="9"/>
      <c r="GD206" s="9"/>
    </row>
    <row r="207" spans="1:186" s="2" customFormat="1" ht="17" customHeight="1">
      <c r="A207" s="46" t="s">
        <v>204</v>
      </c>
      <c r="B207" s="35">
        <v>0</v>
      </c>
      <c r="C207" s="35">
        <v>0</v>
      </c>
      <c r="D207" s="4">
        <f t="shared" si="39"/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313.2</v>
      </c>
      <c r="O207" s="35">
        <v>217.2</v>
      </c>
      <c r="P207" s="4">
        <f t="shared" si="40"/>
        <v>0.69348659003831414</v>
      </c>
      <c r="Q207" s="11">
        <v>20</v>
      </c>
      <c r="R207" s="35">
        <v>5</v>
      </c>
      <c r="S207" s="35">
        <v>5.9</v>
      </c>
      <c r="T207" s="4">
        <f t="shared" si="41"/>
        <v>1.1800000000000002</v>
      </c>
      <c r="U207" s="11">
        <v>20</v>
      </c>
      <c r="V207" s="35">
        <v>0.3</v>
      </c>
      <c r="W207" s="35">
        <v>0.3</v>
      </c>
      <c r="X207" s="4">
        <f t="shared" si="42"/>
        <v>1</v>
      </c>
      <c r="Y207" s="11">
        <v>30</v>
      </c>
      <c r="Z207" s="44">
        <f t="shared" si="49"/>
        <v>0.96385331143951836</v>
      </c>
      <c r="AA207" s="45">
        <v>1867</v>
      </c>
      <c r="AB207" s="35">
        <f t="shared" si="43"/>
        <v>169.72727272727272</v>
      </c>
      <c r="AC207" s="35">
        <f t="shared" si="44"/>
        <v>163.6</v>
      </c>
      <c r="AD207" s="35">
        <f t="shared" si="45"/>
        <v>-6.1272727272727252</v>
      </c>
      <c r="AE207" s="35">
        <v>1.4</v>
      </c>
      <c r="AF207" s="35">
        <f t="shared" si="46"/>
        <v>165</v>
      </c>
      <c r="AG207" s="35"/>
      <c r="AH207" s="35">
        <f t="shared" si="47"/>
        <v>165</v>
      </c>
      <c r="AI207" s="35">
        <v>165</v>
      </c>
      <c r="AJ207" s="35">
        <f t="shared" si="48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0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10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10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10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10"/>
      <c r="GC207" s="9"/>
      <c r="GD207" s="9"/>
    </row>
    <row r="208" spans="1:186" s="2" customFormat="1" ht="17" customHeight="1">
      <c r="A208" s="46" t="s">
        <v>205</v>
      </c>
      <c r="B208" s="35">
        <v>39856</v>
      </c>
      <c r="C208" s="35">
        <v>134108.5</v>
      </c>
      <c r="D208" s="4">
        <f t="shared" si="39"/>
        <v>1.3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1881.6</v>
      </c>
      <c r="O208" s="35">
        <v>1655.2</v>
      </c>
      <c r="P208" s="4">
        <f t="shared" si="40"/>
        <v>0.87967687074829937</v>
      </c>
      <c r="Q208" s="11">
        <v>20</v>
      </c>
      <c r="R208" s="35">
        <v>0.1</v>
      </c>
      <c r="S208" s="35">
        <v>0.1</v>
      </c>
      <c r="T208" s="4">
        <f t="shared" si="41"/>
        <v>1</v>
      </c>
      <c r="U208" s="11">
        <v>5</v>
      </c>
      <c r="V208" s="35">
        <v>0.5</v>
      </c>
      <c r="W208" s="35">
        <v>0.5</v>
      </c>
      <c r="X208" s="4">
        <f t="shared" si="42"/>
        <v>1</v>
      </c>
      <c r="Y208" s="11">
        <v>45</v>
      </c>
      <c r="Z208" s="44">
        <f t="shared" si="49"/>
        <v>1.0074192176870749</v>
      </c>
      <c r="AA208" s="45">
        <v>12</v>
      </c>
      <c r="AB208" s="35">
        <f t="shared" si="43"/>
        <v>1.0909090909090908</v>
      </c>
      <c r="AC208" s="35">
        <f t="shared" si="44"/>
        <v>1.1000000000000001</v>
      </c>
      <c r="AD208" s="35">
        <f t="shared" si="45"/>
        <v>9.0909090909092605E-3</v>
      </c>
      <c r="AE208" s="35">
        <v>0</v>
      </c>
      <c r="AF208" s="35">
        <f t="shared" si="46"/>
        <v>1.1000000000000001</v>
      </c>
      <c r="AG208" s="35"/>
      <c r="AH208" s="35">
        <f t="shared" si="47"/>
        <v>1.1000000000000001</v>
      </c>
      <c r="AI208" s="35">
        <v>1.1000000000000001</v>
      </c>
      <c r="AJ208" s="35">
        <f t="shared" si="48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0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10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10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10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10"/>
      <c r="GC208" s="9"/>
      <c r="GD208" s="9"/>
    </row>
    <row r="209" spans="1:186" s="2" customFormat="1" ht="17" customHeight="1">
      <c r="A209" s="46" t="s">
        <v>206</v>
      </c>
      <c r="B209" s="35">
        <v>3315</v>
      </c>
      <c r="C209" s="35">
        <v>3257.5</v>
      </c>
      <c r="D209" s="4">
        <f t="shared" si="39"/>
        <v>0.98265460030165908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148</v>
      </c>
      <c r="O209" s="35">
        <v>253.1</v>
      </c>
      <c r="P209" s="4">
        <f t="shared" si="40"/>
        <v>1.2510135135135134</v>
      </c>
      <c r="Q209" s="11">
        <v>20</v>
      </c>
      <c r="R209" s="35">
        <v>7</v>
      </c>
      <c r="S209" s="35">
        <v>10.3</v>
      </c>
      <c r="T209" s="4">
        <f t="shared" si="41"/>
        <v>1.2271428571428571</v>
      </c>
      <c r="U209" s="11">
        <v>30</v>
      </c>
      <c r="V209" s="35">
        <v>0.5</v>
      </c>
      <c r="W209" s="35">
        <v>0.5</v>
      </c>
      <c r="X209" s="4">
        <f t="shared" si="42"/>
        <v>1</v>
      </c>
      <c r="Y209" s="11">
        <v>20</v>
      </c>
      <c r="Z209" s="44">
        <f t="shared" si="49"/>
        <v>1.145763774844657</v>
      </c>
      <c r="AA209" s="45">
        <v>1220</v>
      </c>
      <c r="AB209" s="35">
        <f t="shared" si="43"/>
        <v>110.90909090909091</v>
      </c>
      <c r="AC209" s="35">
        <f t="shared" si="44"/>
        <v>127.1</v>
      </c>
      <c r="AD209" s="35">
        <f t="shared" si="45"/>
        <v>16.190909090909088</v>
      </c>
      <c r="AE209" s="35">
        <v>-12.7</v>
      </c>
      <c r="AF209" s="35">
        <f t="shared" si="46"/>
        <v>114.39999999999999</v>
      </c>
      <c r="AG209" s="35">
        <f>MIN(AF209,19.9)</f>
        <v>19.899999999999999</v>
      </c>
      <c r="AH209" s="35">
        <f t="shared" si="47"/>
        <v>94.5</v>
      </c>
      <c r="AI209" s="35">
        <v>94.5</v>
      </c>
      <c r="AJ209" s="35">
        <f t="shared" si="48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10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10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10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10"/>
      <c r="GC209" s="9"/>
      <c r="GD209" s="9"/>
    </row>
    <row r="210" spans="1:186" s="2" customFormat="1" ht="17" customHeight="1">
      <c r="A210" s="46" t="s">
        <v>207</v>
      </c>
      <c r="B210" s="35">
        <v>54731</v>
      </c>
      <c r="C210" s="35">
        <v>30426.3</v>
      </c>
      <c r="D210" s="4">
        <f t="shared" si="39"/>
        <v>0.55592443039593653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6561.1</v>
      </c>
      <c r="O210" s="35">
        <v>2744.3</v>
      </c>
      <c r="P210" s="4">
        <f t="shared" si="40"/>
        <v>0.41826827818506046</v>
      </c>
      <c r="Q210" s="11">
        <v>20</v>
      </c>
      <c r="R210" s="35">
        <v>156</v>
      </c>
      <c r="S210" s="35">
        <v>147</v>
      </c>
      <c r="T210" s="4">
        <f t="shared" si="41"/>
        <v>0.94230769230769229</v>
      </c>
      <c r="U210" s="11">
        <v>40</v>
      </c>
      <c r="V210" s="35">
        <v>11</v>
      </c>
      <c r="W210" s="35">
        <v>11.9</v>
      </c>
      <c r="X210" s="4">
        <f t="shared" si="42"/>
        <v>1.0818181818181818</v>
      </c>
      <c r="Y210" s="11">
        <v>10</v>
      </c>
      <c r="Z210" s="44">
        <f t="shared" si="49"/>
        <v>0.78043874222687615</v>
      </c>
      <c r="AA210" s="45">
        <v>2132</v>
      </c>
      <c r="AB210" s="35">
        <f t="shared" si="43"/>
        <v>193.81818181818181</v>
      </c>
      <c r="AC210" s="35">
        <f t="shared" si="44"/>
        <v>151.30000000000001</v>
      </c>
      <c r="AD210" s="35">
        <f t="shared" si="45"/>
        <v>-42.518181818181802</v>
      </c>
      <c r="AE210" s="35">
        <v>-1.6</v>
      </c>
      <c r="AF210" s="35">
        <f t="shared" si="46"/>
        <v>149.70000000000002</v>
      </c>
      <c r="AG210" s="35"/>
      <c r="AH210" s="35">
        <f t="shared" si="47"/>
        <v>149.70000000000002</v>
      </c>
      <c r="AI210" s="35">
        <v>149.70000000000002</v>
      </c>
      <c r="AJ210" s="35">
        <f t="shared" si="48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10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10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10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10"/>
      <c r="GC210" s="9"/>
      <c r="GD210" s="9"/>
    </row>
    <row r="211" spans="1:186" s="2" customFormat="1" ht="17" customHeight="1">
      <c r="A211" s="46" t="s">
        <v>208</v>
      </c>
      <c r="B211" s="35">
        <v>8323</v>
      </c>
      <c r="C211" s="35">
        <v>4766</v>
      </c>
      <c r="D211" s="4">
        <f t="shared" si="39"/>
        <v>0.57263006127598226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1280</v>
      </c>
      <c r="O211" s="35">
        <v>792.6</v>
      </c>
      <c r="P211" s="4">
        <f t="shared" si="40"/>
        <v>0.61921875000000004</v>
      </c>
      <c r="Q211" s="11">
        <v>20</v>
      </c>
      <c r="R211" s="35">
        <v>0.1</v>
      </c>
      <c r="S211" s="35">
        <v>0.1</v>
      </c>
      <c r="T211" s="4">
        <f t="shared" si="41"/>
        <v>1</v>
      </c>
      <c r="U211" s="11">
        <v>15</v>
      </c>
      <c r="V211" s="35">
        <v>0.3</v>
      </c>
      <c r="W211" s="35">
        <v>0.3</v>
      </c>
      <c r="X211" s="4">
        <f t="shared" si="42"/>
        <v>1</v>
      </c>
      <c r="Y211" s="11">
        <v>35</v>
      </c>
      <c r="Z211" s="44">
        <f t="shared" si="49"/>
        <v>0.85138344515949771</v>
      </c>
      <c r="AA211" s="45">
        <v>532</v>
      </c>
      <c r="AB211" s="35">
        <f t="shared" si="43"/>
        <v>48.363636363636367</v>
      </c>
      <c r="AC211" s="35">
        <f t="shared" si="44"/>
        <v>41.2</v>
      </c>
      <c r="AD211" s="35">
        <f t="shared" si="45"/>
        <v>-7.163636363636364</v>
      </c>
      <c r="AE211" s="35">
        <v>-0.1</v>
      </c>
      <c r="AF211" s="35">
        <f t="shared" si="46"/>
        <v>41.1</v>
      </c>
      <c r="AG211" s="35"/>
      <c r="AH211" s="35">
        <f t="shared" si="47"/>
        <v>41.1</v>
      </c>
      <c r="AI211" s="35">
        <v>41.1</v>
      </c>
      <c r="AJ211" s="35">
        <f t="shared" si="48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0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10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10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10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10"/>
      <c r="GC211" s="9"/>
      <c r="GD211" s="9"/>
    </row>
    <row r="212" spans="1:186" s="2" customFormat="1" ht="17" customHeight="1">
      <c r="A212" s="46" t="s">
        <v>209</v>
      </c>
      <c r="B212" s="35">
        <v>237555</v>
      </c>
      <c r="C212" s="35">
        <v>257986</v>
      </c>
      <c r="D212" s="4">
        <f t="shared" si="39"/>
        <v>1.0860053461303698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2461.6</v>
      </c>
      <c r="O212" s="35">
        <v>2339.1999999999998</v>
      </c>
      <c r="P212" s="4">
        <f t="shared" si="40"/>
        <v>0.95027624309392267</v>
      </c>
      <c r="Q212" s="11">
        <v>20</v>
      </c>
      <c r="R212" s="35">
        <v>2</v>
      </c>
      <c r="S212" s="35">
        <v>2.4</v>
      </c>
      <c r="T212" s="4">
        <f t="shared" si="41"/>
        <v>1.2</v>
      </c>
      <c r="U212" s="11">
        <v>30</v>
      </c>
      <c r="V212" s="35">
        <v>4</v>
      </c>
      <c r="W212" s="35">
        <v>4.0999999999999996</v>
      </c>
      <c r="X212" s="4">
        <f t="shared" si="42"/>
        <v>1.0249999999999999</v>
      </c>
      <c r="Y212" s="11">
        <v>20</v>
      </c>
      <c r="Z212" s="44">
        <f t="shared" si="49"/>
        <v>1.0795697290397768</v>
      </c>
      <c r="AA212" s="45">
        <v>47</v>
      </c>
      <c r="AB212" s="35">
        <f t="shared" si="43"/>
        <v>4.2727272727272725</v>
      </c>
      <c r="AC212" s="35">
        <f t="shared" si="44"/>
        <v>4.5999999999999996</v>
      </c>
      <c r="AD212" s="35">
        <f t="shared" si="45"/>
        <v>0.32727272727272716</v>
      </c>
      <c r="AE212" s="35">
        <v>0.1</v>
      </c>
      <c r="AF212" s="35">
        <f t="shared" si="46"/>
        <v>4.6999999999999993</v>
      </c>
      <c r="AG212" s="35"/>
      <c r="AH212" s="35">
        <f t="shared" si="47"/>
        <v>4.6999999999999993</v>
      </c>
      <c r="AI212" s="35">
        <v>4.6999999999999993</v>
      </c>
      <c r="AJ212" s="35">
        <f t="shared" si="48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0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10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10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10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10"/>
      <c r="GC212" s="9"/>
      <c r="GD212" s="9"/>
    </row>
    <row r="213" spans="1:186" s="2" customFormat="1" ht="17" customHeight="1">
      <c r="A213" s="46" t="s">
        <v>210</v>
      </c>
      <c r="B213" s="35">
        <v>11577</v>
      </c>
      <c r="C213" s="35">
        <v>6494.3</v>
      </c>
      <c r="D213" s="4">
        <f t="shared" si="39"/>
        <v>0.56096570786905076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415.3</v>
      </c>
      <c r="O213" s="35">
        <v>331.9</v>
      </c>
      <c r="P213" s="4">
        <f t="shared" si="40"/>
        <v>0.79918131471225617</v>
      </c>
      <c r="Q213" s="11">
        <v>20</v>
      </c>
      <c r="R213" s="35">
        <v>11</v>
      </c>
      <c r="S213" s="35">
        <v>17.7</v>
      </c>
      <c r="T213" s="4">
        <f t="shared" si="41"/>
        <v>1.240909090909091</v>
      </c>
      <c r="U213" s="11">
        <v>30</v>
      </c>
      <c r="V213" s="35">
        <v>1</v>
      </c>
      <c r="W213" s="35">
        <v>1.2</v>
      </c>
      <c r="X213" s="4">
        <f t="shared" si="42"/>
        <v>1.2</v>
      </c>
      <c r="Y213" s="11">
        <v>20</v>
      </c>
      <c r="Z213" s="44">
        <f t="shared" si="49"/>
        <v>1.0352569512526046</v>
      </c>
      <c r="AA213" s="45">
        <v>2797</v>
      </c>
      <c r="AB213" s="35">
        <f t="shared" si="43"/>
        <v>254.27272727272728</v>
      </c>
      <c r="AC213" s="35">
        <f t="shared" si="44"/>
        <v>263.2</v>
      </c>
      <c r="AD213" s="35">
        <f t="shared" si="45"/>
        <v>8.9272727272727082</v>
      </c>
      <c r="AE213" s="35">
        <v>-2.2000000000000002</v>
      </c>
      <c r="AF213" s="35">
        <f t="shared" si="46"/>
        <v>261</v>
      </c>
      <c r="AG213" s="35">
        <f>MIN(AF213,6.2)</f>
        <v>6.2</v>
      </c>
      <c r="AH213" s="35">
        <f t="shared" si="47"/>
        <v>254.8</v>
      </c>
      <c r="AI213" s="35">
        <v>254.8</v>
      </c>
      <c r="AJ213" s="35">
        <f t="shared" si="48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10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10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10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10"/>
      <c r="GC213" s="9"/>
      <c r="GD213" s="9"/>
    </row>
    <row r="214" spans="1:186" s="2" customFormat="1" ht="17" customHeight="1">
      <c r="A214" s="46" t="s">
        <v>211</v>
      </c>
      <c r="B214" s="35">
        <v>117899</v>
      </c>
      <c r="C214" s="35">
        <v>157118.6</v>
      </c>
      <c r="D214" s="4">
        <f t="shared" si="39"/>
        <v>1.2132654220985759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2050.8000000000002</v>
      </c>
      <c r="O214" s="35">
        <v>3384.7</v>
      </c>
      <c r="P214" s="4">
        <f t="shared" si="40"/>
        <v>1.2450429100838696</v>
      </c>
      <c r="Q214" s="11">
        <v>20</v>
      </c>
      <c r="R214" s="35">
        <v>174</v>
      </c>
      <c r="S214" s="35">
        <v>105.9</v>
      </c>
      <c r="T214" s="4">
        <f t="shared" si="41"/>
        <v>0.60862068965517246</v>
      </c>
      <c r="U214" s="11">
        <v>10</v>
      </c>
      <c r="V214" s="35">
        <v>366</v>
      </c>
      <c r="W214" s="35">
        <v>271.8</v>
      </c>
      <c r="X214" s="4">
        <f t="shared" si="42"/>
        <v>0.74262295081967211</v>
      </c>
      <c r="Y214" s="11">
        <v>40</v>
      </c>
      <c r="Z214" s="44">
        <f t="shared" si="49"/>
        <v>0.91030796690002203</v>
      </c>
      <c r="AA214" s="45">
        <v>147</v>
      </c>
      <c r="AB214" s="35">
        <f t="shared" si="43"/>
        <v>13.363636363636363</v>
      </c>
      <c r="AC214" s="35">
        <f t="shared" si="44"/>
        <v>12.2</v>
      </c>
      <c r="AD214" s="35">
        <f t="shared" si="45"/>
        <v>-1.163636363636364</v>
      </c>
      <c r="AE214" s="35">
        <v>0</v>
      </c>
      <c r="AF214" s="35">
        <f t="shared" si="46"/>
        <v>12.2</v>
      </c>
      <c r="AG214" s="35"/>
      <c r="AH214" s="35">
        <f t="shared" si="47"/>
        <v>12.2</v>
      </c>
      <c r="AI214" s="35">
        <v>12.2</v>
      </c>
      <c r="AJ214" s="35">
        <f t="shared" si="48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10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10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10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10"/>
      <c r="GC214" s="9"/>
      <c r="GD214" s="9"/>
    </row>
    <row r="215" spans="1:186" s="2" customFormat="1" ht="17" customHeight="1">
      <c r="A215" s="46" t="s">
        <v>212</v>
      </c>
      <c r="B215" s="35">
        <v>0</v>
      </c>
      <c r="C215" s="35">
        <v>0</v>
      </c>
      <c r="D215" s="4">
        <f t="shared" si="39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47</v>
      </c>
      <c r="O215" s="35">
        <v>102.6</v>
      </c>
      <c r="P215" s="4">
        <f t="shared" si="40"/>
        <v>1.2982978723404255</v>
      </c>
      <c r="Q215" s="11">
        <v>20</v>
      </c>
      <c r="R215" s="35">
        <v>5</v>
      </c>
      <c r="S215" s="35">
        <v>5.3</v>
      </c>
      <c r="T215" s="4">
        <f t="shared" si="41"/>
        <v>1.06</v>
      </c>
      <c r="U215" s="11">
        <v>25</v>
      </c>
      <c r="V215" s="35">
        <v>0.4</v>
      </c>
      <c r="W215" s="35">
        <v>0.4</v>
      </c>
      <c r="X215" s="4">
        <f t="shared" si="42"/>
        <v>1</v>
      </c>
      <c r="Y215" s="11">
        <v>25</v>
      </c>
      <c r="Z215" s="44">
        <f t="shared" si="49"/>
        <v>1.1066565349544073</v>
      </c>
      <c r="AA215" s="45">
        <v>991</v>
      </c>
      <c r="AB215" s="35">
        <f t="shared" si="43"/>
        <v>90.090909090909093</v>
      </c>
      <c r="AC215" s="35">
        <f t="shared" si="44"/>
        <v>99.7</v>
      </c>
      <c r="AD215" s="35">
        <f t="shared" si="45"/>
        <v>9.6090909090909093</v>
      </c>
      <c r="AE215" s="35">
        <v>2.6</v>
      </c>
      <c r="AF215" s="35">
        <f t="shared" si="46"/>
        <v>102.3</v>
      </c>
      <c r="AG215" s="35"/>
      <c r="AH215" s="35">
        <f t="shared" si="47"/>
        <v>102.3</v>
      </c>
      <c r="AI215" s="35">
        <v>102.3</v>
      </c>
      <c r="AJ215" s="35">
        <f t="shared" si="48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0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10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10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10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10"/>
      <c r="GC215" s="9"/>
      <c r="GD215" s="9"/>
    </row>
    <row r="216" spans="1:186" s="2" customFormat="1" ht="17" customHeight="1">
      <c r="A216" s="46" t="s">
        <v>213</v>
      </c>
      <c r="B216" s="35">
        <v>1277</v>
      </c>
      <c r="C216" s="35">
        <v>1051.0999999999999</v>
      </c>
      <c r="D216" s="4">
        <f t="shared" si="39"/>
        <v>0.82310101801096314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179.7</v>
      </c>
      <c r="O216" s="35">
        <v>214.9</v>
      </c>
      <c r="P216" s="4">
        <f t="shared" si="40"/>
        <v>1.1958820255982194</v>
      </c>
      <c r="Q216" s="11">
        <v>20</v>
      </c>
      <c r="R216" s="35">
        <v>60</v>
      </c>
      <c r="S216" s="35">
        <v>59.9</v>
      </c>
      <c r="T216" s="4">
        <f t="shared" si="41"/>
        <v>0.99833333333333329</v>
      </c>
      <c r="U216" s="11">
        <v>15</v>
      </c>
      <c r="V216" s="35">
        <v>143</v>
      </c>
      <c r="W216" s="35">
        <v>169.8</v>
      </c>
      <c r="X216" s="4">
        <f t="shared" si="42"/>
        <v>1.1874125874125876</v>
      </c>
      <c r="Y216" s="11">
        <v>35</v>
      </c>
      <c r="Z216" s="44">
        <f t="shared" si="49"/>
        <v>1.1085386406439324</v>
      </c>
      <c r="AA216" s="45">
        <v>2207</v>
      </c>
      <c r="AB216" s="35">
        <f t="shared" si="43"/>
        <v>200.63636363636363</v>
      </c>
      <c r="AC216" s="35">
        <f t="shared" si="44"/>
        <v>222.4</v>
      </c>
      <c r="AD216" s="35">
        <f t="shared" si="45"/>
        <v>21.76363636363638</v>
      </c>
      <c r="AE216" s="35">
        <v>-12.4</v>
      </c>
      <c r="AF216" s="35">
        <f t="shared" si="46"/>
        <v>210</v>
      </c>
      <c r="AG216" s="35"/>
      <c r="AH216" s="35">
        <f t="shared" si="47"/>
        <v>210</v>
      </c>
      <c r="AI216" s="35">
        <v>210</v>
      </c>
      <c r="AJ216" s="35">
        <f t="shared" si="48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0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10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10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10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10"/>
      <c r="GC216" s="9"/>
      <c r="GD216" s="9"/>
    </row>
    <row r="217" spans="1:186" s="2" customFormat="1" ht="17" customHeight="1">
      <c r="A217" s="46" t="s">
        <v>214</v>
      </c>
      <c r="B217" s="35">
        <v>696</v>
      </c>
      <c r="C217" s="35">
        <v>2347.1999999999998</v>
      </c>
      <c r="D217" s="4">
        <f t="shared" si="39"/>
        <v>1.3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2186.1999999999998</v>
      </c>
      <c r="O217" s="35">
        <v>1119.3</v>
      </c>
      <c r="P217" s="4">
        <f t="shared" si="40"/>
        <v>0.51198426493458971</v>
      </c>
      <c r="Q217" s="11">
        <v>20</v>
      </c>
      <c r="R217" s="35">
        <v>62</v>
      </c>
      <c r="S217" s="35">
        <v>65.7</v>
      </c>
      <c r="T217" s="4">
        <f t="shared" si="41"/>
        <v>1.0596774193548388</v>
      </c>
      <c r="U217" s="11">
        <v>30</v>
      </c>
      <c r="V217" s="35">
        <v>5</v>
      </c>
      <c r="W217" s="35">
        <v>5.3</v>
      </c>
      <c r="X217" s="4">
        <f t="shared" si="42"/>
        <v>1.06</v>
      </c>
      <c r="Y217" s="11">
        <v>20</v>
      </c>
      <c r="Z217" s="44">
        <f t="shared" si="49"/>
        <v>0.95287509849171204</v>
      </c>
      <c r="AA217" s="45">
        <v>641</v>
      </c>
      <c r="AB217" s="35">
        <f t="shared" si="43"/>
        <v>58.272727272727273</v>
      </c>
      <c r="AC217" s="35">
        <f t="shared" si="44"/>
        <v>55.5</v>
      </c>
      <c r="AD217" s="35">
        <f t="shared" si="45"/>
        <v>-2.7727272727272734</v>
      </c>
      <c r="AE217" s="35">
        <v>0.1</v>
      </c>
      <c r="AF217" s="35">
        <f t="shared" si="46"/>
        <v>55.6</v>
      </c>
      <c r="AG217" s="35"/>
      <c r="AH217" s="35">
        <f t="shared" si="47"/>
        <v>55.6</v>
      </c>
      <c r="AI217" s="35">
        <v>55.6</v>
      </c>
      <c r="AJ217" s="35">
        <f t="shared" si="48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10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10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10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10"/>
      <c r="GC217" s="9"/>
      <c r="GD217" s="9"/>
    </row>
    <row r="218" spans="1:186" s="2" customFormat="1" ht="17" customHeight="1">
      <c r="A218" s="46" t="s">
        <v>215</v>
      </c>
      <c r="B218" s="35">
        <v>0</v>
      </c>
      <c r="C218" s="35">
        <v>0</v>
      </c>
      <c r="D218" s="4">
        <f t="shared" si="39"/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33.4</v>
      </c>
      <c r="O218" s="35">
        <v>26.7</v>
      </c>
      <c r="P218" s="4">
        <f t="shared" si="40"/>
        <v>0.79940119760479045</v>
      </c>
      <c r="Q218" s="11">
        <v>20</v>
      </c>
      <c r="R218" s="35">
        <v>53</v>
      </c>
      <c r="S218" s="35">
        <v>40.700000000000003</v>
      </c>
      <c r="T218" s="4">
        <f t="shared" si="41"/>
        <v>0.76792452830188684</v>
      </c>
      <c r="U218" s="11">
        <v>40</v>
      </c>
      <c r="V218" s="35">
        <v>0.3</v>
      </c>
      <c r="W218" s="35">
        <v>0.9</v>
      </c>
      <c r="X218" s="4">
        <f t="shared" si="42"/>
        <v>1.3</v>
      </c>
      <c r="Y218" s="11">
        <v>10</v>
      </c>
      <c r="Z218" s="44">
        <f t="shared" si="49"/>
        <v>0.85292864405958979</v>
      </c>
      <c r="AA218" s="45">
        <v>730</v>
      </c>
      <c r="AB218" s="35">
        <f t="shared" si="43"/>
        <v>66.36363636363636</v>
      </c>
      <c r="AC218" s="35">
        <f t="shared" si="44"/>
        <v>56.6</v>
      </c>
      <c r="AD218" s="35">
        <f t="shared" si="45"/>
        <v>-9.7636363636363583</v>
      </c>
      <c r="AE218" s="35">
        <v>2.1</v>
      </c>
      <c r="AF218" s="35">
        <f t="shared" si="46"/>
        <v>58.7</v>
      </c>
      <c r="AG218" s="35"/>
      <c r="AH218" s="35">
        <f t="shared" si="47"/>
        <v>58.7</v>
      </c>
      <c r="AI218" s="35">
        <v>58.7</v>
      </c>
      <c r="AJ218" s="35">
        <f t="shared" si="48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0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10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10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10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10"/>
      <c r="GC218" s="9"/>
      <c r="GD218" s="9"/>
    </row>
    <row r="219" spans="1:186" s="2" customFormat="1" ht="17" customHeight="1">
      <c r="A219" s="18" t="s">
        <v>216</v>
      </c>
      <c r="B219" s="6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35"/>
      <c r="AF219" s="35"/>
      <c r="AG219" s="35"/>
      <c r="AH219" s="35"/>
      <c r="AI219" s="35"/>
      <c r="AJ219" s="3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0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10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10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10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10"/>
      <c r="GC219" s="9"/>
      <c r="GD219" s="9"/>
    </row>
    <row r="220" spans="1:186" s="2" customFormat="1" ht="17" customHeight="1">
      <c r="A220" s="14" t="s">
        <v>217</v>
      </c>
      <c r="B220" s="35">
        <v>0</v>
      </c>
      <c r="C220" s="35">
        <v>0</v>
      </c>
      <c r="D220" s="4">
        <f t="shared" si="39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111.2</v>
      </c>
      <c r="O220" s="35">
        <v>94.2</v>
      </c>
      <c r="P220" s="4">
        <f t="shared" si="40"/>
        <v>0.84712230215827333</v>
      </c>
      <c r="Q220" s="11">
        <v>20</v>
      </c>
      <c r="R220" s="35">
        <v>0</v>
      </c>
      <c r="S220" s="35">
        <v>0.1</v>
      </c>
      <c r="T220" s="4">
        <f t="shared" si="41"/>
        <v>1</v>
      </c>
      <c r="U220" s="11">
        <v>20</v>
      </c>
      <c r="V220" s="35">
        <v>0</v>
      </c>
      <c r="W220" s="35">
        <v>0.3</v>
      </c>
      <c r="X220" s="4">
        <f t="shared" si="42"/>
        <v>1</v>
      </c>
      <c r="Y220" s="11">
        <v>30</v>
      </c>
      <c r="Z220" s="44">
        <f t="shared" si="49"/>
        <v>0.95632065775950659</v>
      </c>
      <c r="AA220" s="45">
        <v>874</v>
      </c>
      <c r="AB220" s="35">
        <f t="shared" si="43"/>
        <v>79.454545454545453</v>
      </c>
      <c r="AC220" s="35">
        <f t="shared" si="44"/>
        <v>76</v>
      </c>
      <c r="AD220" s="35">
        <f t="shared" si="45"/>
        <v>-3.4545454545454533</v>
      </c>
      <c r="AE220" s="35">
        <v>0.5</v>
      </c>
      <c r="AF220" s="35">
        <f t="shared" si="46"/>
        <v>76.5</v>
      </c>
      <c r="AG220" s="35">
        <f>MIN(AF220,39.7)</f>
        <v>39.700000000000003</v>
      </c>
      <c r="AH220" s="35">
        <f t="shared" si="47"/>
        <v>36.799999999999997</v>
      </c>
      <c r="AI220" s="35">
        <v>36.799999999999997</v>
      </c>
      <c r="AJ220" s="35">
        <f t="shared" si="48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0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10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10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10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10"/>
      <c r="GC220" s="9"/>
      <c r="GD220" s="9"/>
    </row>
    <row r="221" spans="1:186" s="2" customFormat="1" ht="17" customHeight="1">
      <c r="A221" s="14" t="s">
        <v>146</v>
      </c>
      <c r="B221" s="35">
        <v>0</v>
      </c>
      <c r="C221" s="35">
        <v>0</v>
      </c>
      <c r="D221" s="4">
        <f t="shared" si="39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229.6</v>
      </c>
      <c r="O221" s="35">
        <v>112.8</v>
      </c>
      <c r="P221" s="4">
        <f t="shared" si="40"/>
        <v>0.49128919860627179</v>
      </c>
      <c r="Q221" s="11">
        <v>20</v>
      </c>
      <c r="R221" s="35">
        <v>33</v>
      </c>
      <c r="S221" s="35">
        <v>38.1</v>
      </c>
      <c r="T221" s="4">
        <f t="shared" si="41"/>
        <v>1.1545454545454545</v>
      </c>
      <c r="U221" s="11">
        <v>30</v>
      </c>
      <c r="V221" s="35">
        <v>3</v>
      </c>
      <c r="W221" s="35">
        <v>3.6</v>
      </c>
      <c r="X221" s="4">
        <f t="shared" si="42"/>
        <v>1.2</v>
      </c>
      <c r="Y221" s="11">
        <v>20</v>
      </c>
      <c r="Z221" s="44">
        <f t="shared" si="49"/>
        <v>0.97803068012127226</v>
      </c>
      <c r="AA221" s="45">
        <v>613</v>
      </c>
      <c r="AB221" s="35">
        <f t="shared" si="43"/>
        <v>55.727272727272727</v>
      </c>
      <c r="AC221" s="35">
        <f t="shared" si="44"/>
        <v>54.5</v>
      </c>
      <c r="AD221" s="35">
        <f t="shared" si="45"/>
        <v>-1.2272727272727266</v>
      </c>
      <c r="AE221" s="35">
        <v>-2.2999999999999998</v>
      </c>
      <c r="AF221" s="35">
        <f t="shared" si="46"/>
        <v>52.2</v>
      </c>
      <c r="AG221" s="35"/>
      <c r="AH221" s="35">
        <f t="shared" si="47"/>
        <v>52.2</v>
      </c>
      <c r="AI221" s="35">
        <v>52.2</v>
      </c>
      <c r="AJ221" s="35">
        <f t="shared" si="48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10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10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10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10"/>
      <c r="GC221" s="9"/>
      <c r="GD221" s="9"/>
    </row>
    <row r="222" spans="1:186" s="2" customFormat="1" ht="17" customHeight="1">
      <c r="A222" s="14" t="s">
        <v>218</v>
      </c>
      <c r="B222" s="35">
        <v>0</v>
      </c>
      <c r="C222" s="35">
        <v>0</v>
      </c>
      <c r="D222" s="4">
        <f t="shared" si="39"/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48.1</v>
      </c>
      <c r="O222" s="35">
        <v>47.6</v>
      </c>
      <c r="P222" s="4">
        <f t="shared" si="40"/>
        <v>0.98960498960498966</v>
      </c>
      <c r="Q222" s="11">
        <v>20</v>
      </c>
      <c r="R222" s="35">
        <v>50</v>
      </c>
      <c r="S222" s="35">
        <v>50.3</v>
      </c>
      <c r="T222" s="4">
        <f t="shared" si="41"/>
        <v>1.006</v>
      </c>
      <c r="U222" s="11">
        <v>15</v>
      </c>
      <c r="V222" s="35">
        <v>2</v>
      </c>
      <c r="W222" s="35">
        <v>2.1</v>
      </c>
      <c r="X222" s="4">
        <f t="shared" si="42"/>
        <v>1.05</v>
      </c>
      <c r="Y222" s="11">
        <v>35</v>
      </c>
      <c r="Z222" s="44">
        <f t="shared" si="49"/>
        <v>1.0233157113157114</v>
      </c>
      <c r="AA222" s="45">
        <v>983</v>
      </c>
      <c r="AB222" s="35">
        <f t="shared" si="43"/>
        <v>89.36363636363636</v>
      </c>
      <c r="AC222" s="35">
        <f t="shared" si="44"/>
        <v>91.4</v>
      </c>
      <c r="AD222" s="35">
        <f t="shared" si="45"/>
        <v>2.0363636363636459</v>
      </c>
      <c r="AE222" s="35">
        <v>0.3</v>
      </c>
      <c r="AF222" s="35">
        <f t="shared" si="46"/>
        <v>91.7</v>
      </c>
      <c r="AG222" s="35"/>
      <c r="AH222" s="35">
        <f t="shared" si="47"/>
        <v>91.7</v>
      </c>
      <c r="AI222" s="35">
        <v>91.7</v>
      </c>
      <c r="AJ222" s="35">
        <f t="shared" si="48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0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10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10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10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10"/>
      <c r="GC222" s="9"/>
      <c r="GD222" s="9"/>
    </row>
    <row r="223" spans="1:186" s="2" customFormat="1" ht="17" customHeight="1">
      <c r="A223" s="14" t="s">
        <v>219</v>
      </c>
      <c r="B223" s="35">
        <v>0</v>
      </c>
      <c r="C223" s="35">
        <v>0</v>
      </c>
      <c r="D223" s="4">
        <f t="shared" si="39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90.6</v>
      </c>
      <c r="O223" s="35">
        <v>194</v>
      </c>
      <c r="P223" s="4">
        <f t="shared" si="40"/>
        <v>1.2941280353200884</v>
      </c>
      <c r="Q223" s="11">
        <v>20</v>
      </c>
      <c r="R223" s="35">
        <v>6</v>
      </c>
      <c r="S223" s="35">
        <v>6</v>
      </c>
      <c r="T223" s="4">
        <f t="shared" si="41"/>
        <v>1</v>
      </c>
      <c r="U223" s="11">
        <v>25</v>
      </c>
      <c r="V223" s="35">
        <v>1</v>
      </c>
      <c r="W223" s="35">
        <v>1</v>
      </c>
      <c r="X223" s="4">
        <f t="shared" si="42"/>
        <v>1</v>
      </c>
      <c r="Y223" s="11">
        <v>25</v>
      </c>
      <c r="Z223" s="44">
        <f t="shared" si="49"/>
        <v>1.0840365815200252</v>
      </c>
      <c r="AA223" s="45">
        <v>885</v>
      </c>
      <c r="AB223" s="35">
        <f t="shared" si="43"/>
        <v>80.454545454545453</v>
      </c>
      <c r="AC223" s="35">
        <f t="shared" si="44"/>
        <v>87.2</v>
      </c>
      <c r="AD223" s="35">
        <f t="shared" si="45"/>
        <v>6.7454545454545496</v>
      </c>
      <c r="AE223" s="35">
        <v>1.7</v>
      </c>
      <c r="AF223" s="35">
        <f t="shared" si="46"/>
        <v>88.9</v>
      </c>
      <c r="AG223" s="35"/>
      <c r="AH223" s="35">
        <f t="shared" si="47"/>
        <v>88.9</v>
      </c>
      <c r="AI223" s="35">
        <v>88.9</v>
      </c>
      <c r="AJ223" s="35">
        <f t="shared" si="48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0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10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10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10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10"/>
      <c r="GC223" s="9"/>
      <c r="GD223" s="9"/>
    </row>
    <row r="224" spans="1:186" s="2" customFormat="1" ht="17" customHeight="1">
      <c r="A224" s="46" t="s">
        <v>220</v>
      </c>
      <c r="B224" s="35">
        <v>6650</v>
      </c>
      <c r="C224" s="35">
        <v>6631</v>
      </c>
      <c r="D224" s="4">
        <f t="shared" si="39"/>
        <v>0.99714285714285711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255.6</v>
      </c>
      <c r="O224" s="35">
        <v>44.6</v>
      </c>
      <c r="P224" s="4">
        <f t="shared" si="40"/>
        <v>0.17449139280125198</v>
      </c>
      <c r="Q224" s="11">
        <v>20</v>
      </c>
      <c r="R224" s="35">
        <v>0.5</v>
      </c>
      <c r="S224" s="35">
        <v>0.6</v>
      </c>
      <c r="T224" s="4">
        <f t="shared" si="41"/>
        <v>1.2</v>
      </c>
      <c r="U224" s="11">
        <v>15</v>
      </c>
      <c r="V224" s="35">
        <v>1</v>
      </c>
      <c r="W224" s="35">
        <v>0</v>
      </c>
      <c r="X224" s="4">
        <f t="shared" si="42"/>
        <v>0</v>
      </c>
      <c r="Y224" s="11">
        <v>35</v>
      </c>
      <c r="Z224" s="44">
        <f t="shared" si="49"/>
        <v>0.39326570534317018</v>
      </c>
      <c r="AA224" s="45">
        <v>263</v>
      </c>
      <c r="AB224" s="35">
        <f t="shared" si="43"/>
        <v>23.90909090909091</v>
      </c>
      <c r="AC224" s="35">
        <f t="shared" si="44"/>
        <v>9.4</v>
      </c>
      <c r="AD224" s="35">
        <f t="shared" si="45"/>
        <v>-14.50909090909091</v>
      </c>
      <c r="AE224" s="35">
        <v>1</v>
      </c>
      <c r="AF224" s="35">
        <f t="shared" si="46"/>
        <v>10.4</v>
      </c>
      <c r="AG224" s="35"/>
      <c r="AH224" s="35">
        <f t="shared" si="47"/>
        <v>10.4</v>
      </c>
      <c r="AI224" s="35">
        <v>10.4</v>
      </c>
      <c r="AJ224" s="35">
        <f t="shared" si="48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0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10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10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10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10"/>
      <c r="GC224" s="9"/>
      <c r="GD224" s="9"/>
    </row>
    <row r="225" spans="1:186" s="2" customFormat="1" ht="17" customHeight="1">
      <c r="A225" s="14" t="s">
        <v>221</v>
      </c>
      <c r="B225" s="35">
        <v>1000000</v>
      </c>
      <c r="C225" s="35">
        <v>766425.8</v>
      </c>
      <c r="D225" s="4">
        <f t="shared" si="39"/>
        <v>0.76642580000000005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4037.1</v>
      </c>
      <c r="O225" s="35">
        <v>4568.5</v>
      </c>
      <c r="P225" s="4">
        <f t="shared" si="40"/>
        <v>1.1316291397290135</v>
      </c>
      <c r="Q225" s="11">
        <v>20</v>
      </c>
      <c r="R225" s="35">
        <v>0</v>
      </c>
      <c r="S225" s="35">
        <v>0</v>
      </c>
      <c r="T225" s="4">
        <f t="shared" si="41"/>
        <v>1</v>
      </c>
      <c r="U225" s="11">
        <v>15</v>
      </c>
      <c r="V225" s="35">
        <v>0</v>
      </c>
      <c r="W225" s="35">
        <v>0</v>
      </c>
      <c r="X225" s="4">
        <f t="shared" si="42"/>
        <v>1</v>
      </c>
      <c r="Y225" s="11">
        <v>35</v>
      </c>
      <c r="Z225" s="44">
        <f t="shared" si="49"/>
        <v>1.0037105099322534</v>
      </c>
      <c r="AA225" s="45">
        <v>0</v>
      </c>
      <c r="AB225" s="35">
        <f t="shared" si="43"/>
        <v>0</v>
      </c>
      <c r="AC225" s="35">
        <f t="shared" si="44"/>
        <v>0</v>
      </c>
      <c r="AD225" s="35">
        <f t="shared" si="45"/>
        <v>0</v>
      </c>
      <c r="AE225" s="35">
        <v>0</v>
      </c>
      <c r="AF225" s="35">
        <f t="shared" si="46"/>
        <v>0</v>
      </c>
      <c r="AG225" s="35"/>
      <c r="AH225" s="35">
        <f t="shared" si="47"/>
        <v>0</v>
      </c>
      <c r="AI225" s="35">
        <v>0</v>
      </c>
      <c r="AJ225" s="35">
        <f t="shared" si="48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10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10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10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10"/>
      <c r="GC225" s="9"/>
      <c r="GD225" s="9"/>
    </row>
    <row r="226" spans="1:186" s="2" customFormat="1" ht="17" customHeight="1">
      <c r="A226" s="14" t="s">
        <v>222</v>
      </c>
      <c r="B226" s="35">
        <v>0</v>
      </c>
      <c r="C226" s="35">
        <v>0</v>
      </c>
      <c r="D226" s="4">
        <f t="shared" si="39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54.2</v>
      </c>
      <c r="O226" s="35">
        <v>31.2</v>
      </c>
      <c r="P226" s="4">
        <f t="shared" si="40"/>
        <v>0.57564575645756455</v>
      </c>
      <c r="Q226" s="11">
        <v>20</v>
      </c>
      <c r="R226" s="35">
        <v>128</v>
      </c>
      <c r="S226" s="35">
        <v>110</v>
      </c>
      <c r="T226" s="4">
        <f t="shared" si="41"/>
        <v>0.859375</v>
      </c>
      <c r="U226" s="11">
        <v>30</v>
      </c>
      <c r="V226" s="35">
        <v>10</v>
      </c>
      <c r="W226" s="35">
        <v>1.1000000000000001</v>
      </c>
      <c r="X226" s="4">
        <f t="shared" si="42"/>
        <v>0.11000000000000001</v>
      </c>
      <c r="Y226" s="11">
        <v>20</v>
      </c>
      <c r="Z226" s="44">
        <f t="shared" si="49"/>
        <v>0.56420235898787574</v>
      </c>
      <c r="AA226" s="45">
        <v>1200</v>
      </c>
      <c r="AB226" s="35">
        <f t="shared" si="43"/>
        <v>109.09090909090909</v>
      </c>
      <c r="AC226" s="35">
        <f t="shared" si="44"/>
        <v>61.5</v>
      </c>
      <c r="AD226" s="35">
        <f t="shared" si="45"/>
        <v>-47.590909090909093</v>
      </c>
      <c r="AE226" s="35">
        <v>0.4</v>
      </c>
      <c r="AF226" s="35">
        <f t="shared" si="46"/>
        <v>61.9</v>
      </c>
      <c r="AG226" s="35">
        <f>MIN(AF226,2.7)</f>
        <v>2.7</v>
      </c>
      <c r="AH226" s="35">
        <f t="shared" si="47"/>
        <v>59.199999999999996</v>
      </c>
      <c r="AI226" s="35">
        <v>59.199999999999996</v>
      </c>
      <c r="AJ226" s="35">
        <f t="shared" si="48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0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10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10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10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10"/>
      <c r="GC226" s="9"/>
      <c r="GD226" s="9"/>
    </row>
    <row r="227" spans="1:186" s="2" customFormat="1" ht="17" customHeight="1">
      <c r="A227" s="14" t="s">
        <v>223</v>
      </c>
      <c r="B227" s="35">
        <v>0</v>
      </c>
      <c r="C227" s="35">
        <v>0</v>
      </c>
      <c r="D227" s="4">
        <f t="shared" si="39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874</v>
      </c>
      <c r="O227" s="35">
        <v>691</v>
      </c>
      <c r="P227" s="4">
        <f t="shared" si="40"/>
        <v>0.79061784897025167</v>
      </c>
      <c r="Q227" s="11">
        <v>20</v>
      </c>
      <c r="R227" s="35">
        <v>0.5</v>
      </c>
      <c r="S227" s="35">
        <v>0.8</v>
      </c>
      <c r="T227" s="4">
        <f t="shared" si="41"/>
        <v>1.24</v>
      </c>
      <c r="U227" s="11">
        <v>25</v>
      </c>
      <c r="V227" s="35">
        <v>1</v>
      </c>
      <c r="W227" s="35">
        <v>1</v>
      </c>
      <c r="X227" s="4">
        <f t="shared" si="42"/>
        <v>1</v>
      </c>
      <c r="Y227" s="11">
        <v>25</v>
      </c>
      <c r="Z227" s="44">
        <f t="shared" si="49"/>
        <v>1.0258908139915004</v>
      </c>
      <c r="AA227" s="45">
        <v>1446</v>
      </c>
      <c r="AB227" s="35">
        <f t="shared" si="43"/>
        <v>131.45454545454547</v>
      </c>
      <c r="AC227" s="35">
        <f t="shared" si="44"/>
        <v>134.9</v>
      </c>
      <c r="AD227" s="35">
        <f t="shared" si="45"/>
        <v>3.4454545454545382</v>
      </c>
      <c r="AE227" s="35">
        <v>3</v>
      </c>
      <c r="AF227" s="35">
        <f t="shared" si="46"/>
        <v>137.9</v>
      </c>
      <c r="AG227" s="35"/>
      <c r="AH227" s="35">
        <f t="shared" si="47"/>
        <v>137.9</v>
      </c>
      <c r="AI227" s="35">
        <v>137.9</v>
      </c>
      <c r="AJ227" s="35">
        <f t="shared" si="48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0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10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10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10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10"/>
      <c r="GC227" s="9"/>
      <c r="GD227" s="9"/>
    </row>
    <row r="228" spans="1:186" s="2" customFormat="1" ht="17" customHeight="1">
      <c r="A228" s="14" t="s">
        <v>224</v>
      </c>
      <c r="B228" s="35">
        <v>52600</v>
      </c>
      <c r="C228" s="35">
        <v>51293.4</v>
      </c>
      <c r="D228" s="4">
        <f t="shared" si="39"/>
        <v>0.97515969581749051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840.6</v>
      </c>
      <c r="O228" s="35">
        <v>422</v>
      </c>
      <c r="P228" s="4">
        <f t="shared" si="40"/>
        <v>0.50202236497739705</v>
      </c>
      <c r="Q228" s="11">
        <v>20</v>
      </c>
      <c r="R228" s="35">
        <v>6</v>
      </c>
      <c r="S228" s="35">
        <v>6.2</v>
      </c>
      <c r="T228" s="4">
        <f t="shared" si="41"/>
        <v>1.0333333333333334</v>
      </c>
      <c r="U228" s="11">
        <v>20</v>
      </c>
      <c r="V228" s="35">
        <v>4</v>
      </c>
      <c r="W228" s="35">
        <v>4.7</v>
      </c>
      <c r="X228" s="4">
        <f t="shared" si="42"/>
        <v>1.175</v>
      </c>
      <c r="Y228" s="11">
        <v>30</v>
      </c>
      <c r="Z228" s="44">
        <f t="shared" si="49"/>
        <v>0.94635888655486899</v>
      </c>
      <c r="AA228" s="45">
        <v>1740</v>
      </c>
      <c r="AB228" s="35">
        <f t="shared" si="43"/>
        <v>158.18181818181819</v>
      </c>
      <c r="AC228" s="35">
        <f t="shared" si="44"/>
        <v>149.69999999999999</v>
      </c>
      <c r="AD228" s="35">
        <f t="shared" si="45"/>
        <v>-8.4818181818181984</v>
      </c>
      <c r="AE228" s="35">
        <v>5.4</v>
      </c>
      <c r="AF228" s="35">
        <f t="shared" si="46"/>
        <v>155.1</v>
      </c>
      <c r="AG228" s="35">
        <f>MIN(AF228,79.1)</f>
        <v>79.099999999999994</v>
      </c>
      <c r="AH228" s="35">
        <f t="shared" si="47"/>
        <v>76</v>
      </c>
      <c r="AI228" s="35">
        <v>76</v>
      </c>
      <c r="AJ228" s="35">
        <f t="shared" si="48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0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10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10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10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10"/>
      <c r="GC228" s="9"/>
      <c r="GD228" s="9"/>
    </row>
    <row r="229" spans="1:186" s="2" customFormat="1" ht="17" customHeight="1">
      <c r="A229" s="18" t="s">
        <v>225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35"/>
      <c r="AF229" s="35"/>
      <c r="AG229" s="35"/>
      <c r="AH229" s="35"/>
      <c r="AI229" s="35"/>
      <c r="AJ229" s="35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10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10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10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10"/>
      <c r="GC229" s="9"/>
      <c r="GD229" s="9"/>
    </row>
    <row r="230" spans="1:186" s="2" customFormat="1" ht="17" customHeight="1">
      <c r="A230" s="14" t="s">
        <v>226</v>
      </c>
      <c r="B230" s="35">
        <v>0</v>
      </c>
      <c r="C230" s="35">
        <v>0</v>
      </c>
      <c r="D230" s="4">
        <f t="shared" si="39"/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192.2</v>
      </c>
      <c r="O230" s="35">
        <v>202.9</v>
      </c>
      <c r="P230" s="4">
        <f t="shared" si="40"/>
        <v>1.0556711758584809</v>
      </c>
      <c r="Q230" s="11">
        <v>20</v>
      </c>
      <c r="R230" s="35">
        <v>8</v>
      </c>
      <c r="S230" s="35">
        <v>9.3000000000000007</v>
      </c>
      <c r="T230" s="4">
        <f t="shared" si="41"/>
        <v>1.1625000000000001</v>
      </c>
      <c r="U230" s="11">
        <v>20</v>
      </c>
      <c r="V230" s="35">
        <v>1</v>
      </c>
      <c r="W230" s="35">
        <v>0</v>
      </c>
      <c r="X230" s="4">
        <f t="shared" si="42"/>
        <v>0</v>
      </c>
      <c r="Y230" s="11">
        <v>30</v>
      </c>
      <c r="Z230" s="44">
        <f t="shared" si="49"/>
        <v>0.63376319310242313</v>
      </c>
      <c r="AA230" s="45">
        <v>1904</v>
      </c>
      <c r="AB230" s="35">
        <f t="shared" si="43"/>
        <v>173.09090909090909</v>
      </c>
      <c r="AC230" s="35">
        <f t="shared" si="44"/>
        <v>109.7</v>
      </c>
      <c r="AD230" s="35">
        <f t="shared" si="45"/>
        <v>-63.390909090909091</v>
      </c>
      <c r="AE230" s="35">
        <v>-0.6</v>
      </c>
      <c r="AF230" s="35">
        <f t="shared" si="46"/>
        <v>109.10000000000001</v>
      </c>
      <c r="AG230" s="35"/>
      <c r="AH230" s="35">
        <f t="shared" si="47"/>
        <v>109.10000000000001</v>
      </c>
      <c r="AI230" s="35">
        <v>109.10000000000001</v>
      </c>
      <c r="AJ230" s="35">
        <f t="shared" si="48"/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0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10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10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10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10"/>
      <c r="GC230" s="9"/>
      <c r="GD230" s="9"/>
    </row>
    <row r="231" spans="1:186" s="2" customFormat="1" ht="17" customHeight="1">
      <c r="A231" s="14" t="s">
        <v>227</v>
      </c>
      <c r="B231" s="35">
        <v>0</v>
      </c>
      <c r="C231" s="35">
        <v>0</v>
      </c>
      <c r="D231" s="4">
        <f t="shared" si="39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96.1</v>
      </c>
      <c r="O231" s="35">
        <v>17.5</v>
      </c>
      <c r="P231" s="4">
        <f t="shared" si="40"/>
        <v>0.18210197710718004</v>
      </c>
      <c r="Q231" s="11">
        <v>20</v>
      </c>
      <c r="R231" s="35">
        <v>33</v>
      </c>
      <c r="S231" s="35">
        <v>33</v>
      </c>
      <c r="T231" s="4">
        <f t="shared" si="41"/>
        <v>1</v>
      </c>
      <c r="U231" s="11">
        <v>25</v>
      </c>
      <c r="V231" s="35">
        <v>2</v>
      </c>
      <c r="W231" s="35">
        <v>4.2</v>
      </c>
      <c r="X231" s="4">
        <f t="shared" si="42"/>
        <v>1.29</v>
      </c>
      <c r="Y231" s="11">
        <v>25</v>
      </c>
      <c r="Z231" s="44">
        <f t="shared" si="49"/>
        <v>0.86988627917348005</v>
      </c>
      <c r="AA231" s="45">
        <v>1216</v>
      </c>
      <c r="AB231" s="35">
        <f t="shared" si="43"/>
        <v>110.54545454545455</v>
      </c>
      <c r="AC231" s="35">
        <f t="shared" si="44"/>
        <v>96.2</v>
      </c>
      <c r="AD231" s="35">
        <f t="shared" si="45"/>
        <v>-14.345454545454544</v>
      </c>
      <c r="AE231" s="35">
        <v>-8.6</v>
      </c>
      <c r="AF231" s="35">
        <f t="shared" si="46"/>
        <v>87.600000000000009</v>
      </c>
      <c r="AG231" s="35"/>
      <c r="AH231" s="35">
        <f t="shared" si="47"/>
        <v>87.600000000000009</v>
      </c>
      <c r="AI231" s="35">
        <v>87.600000000000009</v>
      </c>
      <c r="AJ231" s="35">
        <f t="shared" si="48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0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10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10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10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10"/>
      <c r="GC231" s="9"/>
      <c r="GD231" s="9"/>
    </row>
    <row r="232" spans="1:186" s="2" customFormat="1" ht="17" customHeight="1">
      <c r="A232" s="14" t="s">
        <v>228</v>
      </c>
      <c r="B232" s="35">
        <v>0</v>
      </c>
      <c r="C232" s="35">
        <v>0</v>
      </c>
      <c r="D232" s="4">
        <f t="shared" si="39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366.7</v>
      </c>
      <c r="O232" s="35">
        <v>150.69999999999999</v>
      </c>
      <c r="P232" s="4">
        <f t="shared" si="40"/>
        <v>0.41096263976002179</v>
      </c>
      <c r="Q232" s="11">
        <v>20</v>
      </c>
      <c r="R232" s="35">
        <v>39</v>
      </c>
      <c r="S232" s="35">
        <v>47.8</v>
      </c>
      <c r="T232" s="4">
        <f t="shared" si="41"/>
        <v>1.2025641025641025</v>
      </c>
      <c r="U232" s="11">
        <v>15</v>
      </c>
      <c r="V232" s="35">
        <v>7</v>
      </c>
      <c r="W232" s="35">
        <v>7.5</v>
      </c>
      <c r="X232" s="4">
        <f t="shared" si="42"/>
        <v>1.0714285714285714</v>
      </c>
      <c r="Y232" s="11">
        <v>35</v>
      </c>
      <c r="Z232" s="44">
        <f t="shared" si="49"/>
        <v>0.91082449048088532</v>
      </c>
      <c r="AA232" s="45">
        <v>3117</v>
      </c>
      <c r="AB232" s="35">
        <f t="shared" si="43"/>
        <v>283.36363636363637</v>
      </c>
      <c r="AC232" s="35">
        <f t="shared" si="44"/>
        <v>258.10000000000002</v>
      </c>
      <c r="AD232" s="35">
        <f t="shared" si="45"/>
        <v>-25.263636363636351</v>
      </c>
      <c r="AE232" s="35">
        <v>-11.9</v>
      </c>
      <c r="AF232" s="35">
        <f t="shared" si="46"/>
        <v>246.20000000000002</v>
      </c>
      <c r="AG232" s="35"/>
      <c r="AH232" s="35">
        <f t="shared" si="47"/>
        <v>246.20000000000002</v>
      </c>
      <c r="AI232" s="35">
        <v>246.20000000000002</v>
      </c>
      <c r="AJ232" s="35">
        <f t="shared" si="48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10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10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10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10"/>
      <c r="GC232" s="9"/>
      <c r="GD232" s="9"/>
    </row>
    <row r="233" spans="1:186" s="2" customFormat="1" ht="17" customHeight="1">
      <c r="A233" s="14" t="s">
        <v>229</v>
      </c>
      <c r="B233" s="35">
        <v>995</v>
      </c>
      <c r="C233" s="35">
        <v>107.5</v>
      </c>
      <c r="D233" s="4">
        <f t="shared" si="39"/>
        <v>0.10804020100502512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561.1</v>
      </c>
      <c r="O233" s="35">
        <v>281.8</v>
      </c>
      <c r="P233" s="4">
        <f t="shared" si="40"/>
        <v>0.50222776688647297</v>
      </c>
      <c r="Q233" s="11">
        <v>20</v>
      </c>
      <c r="R233" s="35">
        <v>15</v>
      </c>
      <c r="S233" s="35">
        <v>15.3</v>
      </c>
      <c r="T233" s="4">
        <f t="shared" si="41"/>
        <v>1.02</v>
      </c>
      <c r="U233" s="11">
        <v>15</v>
      </c>
      <c r="V233" s="35">
        <v>3</v>
      </c>
      <c r="W233" s="35">
        <v>3.9</v>
      </c>
      <c r="X233" s="4">
        <f t="shared" si="42"/>
        <v>1.21</v>
      </c>
      <c r="Y233" s="11">
        <v>35</v>
      </c>
      <c r="Z233" s="44">
        <f t="shared" si="49"/>
        <v>0.85968696684724644</v>
      </c>
      <c r="AA233" s="45">
        <v>2200</v>
      </c>
      <c r="AB233" s="35">
        <f t="shared" si="43"/>
        <v>200</v>
      </c>
      <c r="AC233" s="35">
        <f t="shared" si="44"/>
        <v>171.9</v>
      </c>
      <c r="AD233" s="35">
        <f t="shared" si="45"/>
        <v>-28.099999999999994</v>
      </c>
      <c r="AE233" s="35">
        <v>-0.4</v>
      </c>
      <c r="AF233" s="35">
        <f t="shared" si="46"/>
        <v>171.5</v>
      </c>
      <c r="AG233" s="35"/>
      <c r="AH233" s="35">
        <f t="shared" si="47"/>
        <v>171.5</v>
      </c>
      <c r="AI233" s="35">
        <v>171.5</v>
      </c>
      <c r="AJ233" s="35">
        <f t="shared" si="48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10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10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10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10"/>
      <c r="GC233" s="9"/>
      <c r="GD233" s="9"/>
    </row>
    <row r="234" spans="1:186" s="2" customFormat="1" ht="17" customHeight="1">
      <c r="A234" s="14" t="s">
        <v>230</v>
      </c>
      <c r="B234" s="35">
        <v>0</v>
      </c>
      <c r="C234" s="35">
        <v>0</v>
      </c>
      <c r="D234" s="4">
        <f t="shared" si="39"/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109.6</v>
      </c>
      <c r="O234" s="35">
        <v>40.700000000000003</v>
      </c>
      <c r="P234" s="4">
        <f t="shared" si="40"/>
        <v>0.37135036496350371</v>
      </c>
      <c r="Q234" s="11">
        <v>20</v>
      </c>
      <c r="R234" s="35">
        <v>10</v>
      </c>
      <c r="S234" s="35">
        <v>15</v>
      </c>
      <c r="T234" s="4">
        <f t="shared" si="41"/>
        <v>1.23</v>
      </c>
      <c r="U234" s="11">
        <v>20</v>
      </c>
      <c r="V234" s="35">
        <v>2</v>
      </c>
      <c r="W234" s="35">
        <v>0</v>
      </c>
      <c r="X234" s="4">
        <f t="shared" si="42"/>
        <v>0</v>
      </c>
      <c r="Y234" s="11">
        <v>30</v>
      </c>
      <c r="Z234" s="44">
        <f t="shared" si="49"/>
        <v>0.45752867570385819</v>
      </c>
      <c r="AA234" s="45">
        <v>870</v>
      </c>
      <c r="AB234" s="35">
        <f t="shared" si="43"/>
        <v>79.090909090909093</v>
      </c>
      <c r="AC234" s="35">
        <f t="shared" si="44"/>
        <v>36.200000000000003</v>
      </c>
      <c r="AD234" s="35">
        <f t="shared" si="45"/>
        <v>-42.890909090909091</v>
      </c>
      <c r="AE234" s="35">
        <v>0.4</v>
      </c>
      <c r="AF234" s="35">
        <f t="shared" si="46"/>
        <v>36.6</v>
      </c>
      <c r="AG234" s="35"/>
      <c r="AH234" s="35">
        <f t="shared" si="47"/>
        <v>36.6</v>
      </c>
      <c r="AI234" s="35">
        <v>36.6</v>
      </c>
      <c r="AJ234" s="35">
        <f t="shared" si="48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0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10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10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10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10"/>
      <c r="GC234" s="9"/>
      <c r="GD234" s="9"/>
    </row>
    <row r="235" spans="1:186" s="2" customFormat="1" ht="17" customHeight="1">
      <c r="A235" s="14" t="s">
        <v>231</v>
      </c>
      <c r="B235" s="35">
        <v>0</v>
      </c>
      <c r="C235" s="35">
        <v>0</v>
      </c>
      <c r="D235" s="4">
        <f t="shared" si="39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246.8</v>
      </c>
      <c r="O235" s="35">
        <v>89.2</v>
      </c>
      <c r="P235" s="4">
        <f t="shared" si="40"/>
        <v>0.36142625607779577</v>
      </c>
      <c r="Q235" s="11">
        <v>20</v>
      </c>
      <c r="R235" s="35">
        <v>30</v>
      </c>
      <c r="S235" s="35">
        <v>26.4</v>
      </c>
      <c r="T235" s="4">
        <f t="shared" si="41"/>
        <v>0.88</v>
      </c>
      <c r="U235" s="11">
        <v>20</v>
      </c>
      <c r="V235" s="35">
        <v>2</v>
      </c>
      <c r="W235" s="35">
        <v>7.4</v>
      </c>
      <c r="X235" s="4">
        <f t="shared" si="42"/>
        <v>1.3</v>
      </c>
      <c r="Y235" s="11">
        <v>30</v>
      </c>
      <c r="Z235" s="44">
        <f t="shared" si="49"/>
        <v>0.91183607316508442</v>
      </c>
      <c r="AA235" s="45">
        <v>2098</v>
      </c>
      <c r="AB235" s="35">
        <f t="shared" si="43"/>
        <v>190.72727272727272</v>
      </c>
      <c r="AC235" s="35">
        <f t="shared" si="44"/>
        <v>173.9</v>
      </c>
      <c r="AD235" s="35">
        <f t="shared" si="45"/>
        <v>-16.827272727272714</v>
      </c>
      <c r="AE235" s="35">
        <v>0.7</v>
      </c>
      <c r="AF235" s="35">
        <f t="shared" si="46"/>
        <v>174.6</v>
      </c>
      <c r="AG235" s="35"/>
      <c r="AH235" s="35">
        <f t="shared" si="47"/>
        <v>174.6</v>
      </c>
      <c r="AI235" s="35">
        <v>174.6</v>
      </c>
      <c r="AJ235" s="35">
        <f t="shared" si="48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0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10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10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10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10"/>
      <c r="GC235" s="9"/>
      <c r="GD235" s="9"/>
    </row>
    <row r="236" spans="1:186" s="2" customFormat="1" ht="17" customHeight="1">
      <c r="A236" s="14" t="s">
        <v>232</v>
      </c>
      <c r="B236" s="35">
        <v>2190</v>
      </c>
      <c r="C236" s="35">
        <v>1250</v>
      </c>
      <c r="D236" s="4">
        <f t="shared" si="39"/>
        <v>0.57077625570776258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54.5</v>
      </c>
      <c r="O236" s="35">
        <v>141.4</v>
      </c>
      <c r="P236" s="4">
        <f t="shared" si="40"/>
        <v>1.3</v>
      </c>
      <c r="Q236" s="11">
        <v>20</v>
      </c>
      <c r="R236" s="35">
        <v>16</v>
      </c>
      <c r="S236" s="35">
        <v>14.2</v>
      </c>
      <c r="T236" s="4">
        <f t="shared" si="41"/>
        <v>0.88749999999999996</v>
      </c>
      <c r="U236" s="11">
        <v>15</v>
      </c>
      <c r="V236" s="35">
        <v>3</v>
      </c>
      <c r="W236" s="35">
        <v>4</v>
      </c>
      <c r="X236" s="4">
        <f t="shared" si="42"/>
        <v>1.2133333333333334</v>
      </c>
      <c r="Y236" s="11">
        <v>35</v>
      </c>
      <c r="Z236" s="44">
        <f t="shared" si="49"/>
        <v>1.0935866152968037</v>
      </c>
      <c r="AA236" s="45">
        <v>4903</v>
      </c>
      <c r="AB236" s="35">
        <f t="shared" si="43"/>
        <v>445.72727272727275</v>
      </c>
      <c r="AC236" s="35">
        <f t="shared" si="44"/>
        <v>487.4</v>
      </c>
      <c r="AD236" s="35">
        <f t="shared" si="45"/>
        <v>41.672727272727229</v>
      </c>
      <c r="AE236" s="35">
        <v>-15.6</v>
      </c>
      <c r="AF236" s="35">
        <f t="shared" si="46"/>
        <v>471.79999999999995</v>
      </c>
      <c r="AG236" s="35"/>
      <c r="AH236" s="35">
        <f t="shared" si="47"/>
        <v>471.79999999999995</v>
      </c>
      <c r="AI236" s="35">
        <v>471.79999999999995</v>
      </c>
      <c r="AJ236" s="35">
        <f t="shared" si="48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0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10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10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10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10"/>
      <c r="GC236" s="9"/>
      <c r="GD236" s="9"/>
    </row>
    <row r="237" spans="1:186" s="2" customFormat="1" ht="17" customHeight="1">
      <c r="A237" s="14" t="s">
        <v>233</v>
      </c>
      <c r="B237" s="35">
        <v>113100</v>
      </c>
      <c r="C237" s="35">
        <v>113526.5</v>
      </c>
      <c r="D237" s="4">
        <f t="shared" si="39"/>
        <v>1.0037709991158268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1886.3</v>
      </c>
      <c r="O237" s="35">
        <v>1483.4</v>
      </c>
      <c r="P237" s="4">
        <f t="shared" si="40"/>
        <v>0.78640725229284847</v>
      </c>
      <c r="Q237" s="11">
        <v>20</v>
      </c>
      <c r="R237" s="35">
        <v>12</v>
      </c>
      <c r="S237" s="35">
        <v>12.7</v>
      </c>
      <c r="T237" s="4">
        <f t="shared" si="41"/>
        <v>1.0583333333333333</v>
      </c>
      <c r="U237" s="11">
        <v>10</v>
      </c>
      <c r="V237" s="35">
        <v>2</v>
      </c>
      <c r="W237" s="35">
        <v>2.7</v>
      </c>
      <c r="X237" s="4">
        <f t="shared" si="42"/>
        <v>1.2149999999999999</v>
      </c>
      <c r="Y237" s="11">
        <v>40</v>
      </c>
      <c r="Z237" s="44">
        <f t="shared" si="49"/>
        <v>1.061864854629357</v>
      </c>
      <c r="AA237" s="45">
        <v>2218</v>
      </c>
      <c r="AB237" s="35">
        <f t="shared" si="43"/>
        <v>201.63636363636363</v>
      </c>
      <c r="AC237" s="35">
        <f t="shared" si="44"/>
        <v>214.1</v>
      </c>
      <c r="AD237" s="35">
        <f t="shared" si="45"/>
        <v>12.463636363636368</v>
      </c>
      <c r="AE237" s="35">
        <f>-13.7-4.2</f>
        <v>-17.899999999999999</v>
      </c>
      <c r="AF237" s="35">
        <f t="shared" si="46"/>
        <v>196.2</v>
      </c>
      <c r="AG237" s="35"/>
      <c r="AH237" s="35">
        <f t="shared" si="47"/>
        <v>196.2</v>
      </c>
      <c r="AI237" s="35">
        <v>196.2</v>
      </c>
      <c r="AJ237" s="35">
        <f t="shared" si="48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0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10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10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10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10"/>
      <c r="GC237" s="9"/>
      <c r="GD237" s="9"/>
    </row>
    <row r="238" spans="1:186" s="2" customFormat="1" ht="17" customHeight="1">
      <c r="A238" s="18" t="s">
        <v>234</v>
      </c>
      <c r="B238" s="6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35"/>
      <c r="AF238" s="35"/>
      <c r="AG238" s="35"/>
      <c r="AH238" s="35"/>
      <c r="AI238" s="35"/>
      <c r="AJ238" s="35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0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10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10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10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10"/>
      <c r="GC238" s="9"/>
      <c r="GD238" s="9"/>
    </row>
    <row r="239" spans="1:186" s="2" customFormat="1" ht="17" customHeight="1">
      <c r="A239" s="14" t="s">
        <v>235</v>
      </c>
      <c r="B239" s="35">
        <v>2067</v>
      </c>
      <c r="C239" s="35">
        <v>2107</v>
      </c>
      <c r="D239" s="4">
        <f t="shared" ref="D239:D302" si="50">IF(E239=0,0,IF(B239=0,1,IF(C239&lt;0,0,IF(C239/B239&gt;1.2,IF((C239/B239-1.2)*0.1+1.2&gt;1.3,1.3,(C239/B239-1.2)*0.1+1.2),C239/B239))))</f>
        <v>1.0193517174649249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75.900000000000006</v>
      </c>
      <c r="O239" s="35">
        <v>196.3</v>
      </c>
      <c r="P239" s="4">
        <f t="shared" ref="P239:P302" si="51">IF(Q239=0,0,IF(N239=0,1,IF(O239&lt;0,0,IF(O239/N239&gt;1.2,IF((O239/N239-1.2)*0.1+1.2&gt;1.3,1.3,(O239/N239-1.2)*0.1+1.2),O239/N239))))</f>
        <v>1.3</v>
      </c>
      <c r="Q239" s="11">
        <v>20</v>
      </c>
      <c r="R239" s="35">
        <v>92.3</v>
      </c>
      <c r="S239" s="35">
        <v>100.7</v>
      </c>
      <c r="T239" s="4">
        <f t="shared" ref="T239:T302" si="52">IF(U239=0,0,IF(R239=0,1,IF(S239&lt;0,0,IF(S239/R239&gt;1.2,IF((S239/R239-1.2)*0.1+1.2&gt;1.3,1.3,(S239/R239-1.2)*0.1+1.2),S239/R239))))</f>
        <v>1.0910075839653306</v>
      </c>
      <c r="U239" s="11">
        <v>20</v>
      </c>
      <c r="V239" s="35">
        <v>4.7</v>
      </c>
      <c r="W239" s="35">
        <v>13.8</v>
      </c>
      <c r="X239" s="4">
        <f t="shared" ref="X239:X302" si="53">IF(Y239=0,0,IF(V239=0,1,IF(W239&lt;0,0,IF(W239/V239&gt;1.2,IF((W239/V239-1.2)*0.1+1.2&gt;1.3,1.3,(W239/V239-1.2)*0.1+1.2),W239/V239))))</f>
        <v>1.3</v>
      </c>
      <c r="Y239" s="11">
        <v>30</v>
      </c>
      <c r="Z239" s="44">
        <f t="shared" si="49"/>
        <v>1.2126708606744483</v>
      </c>
      <c r="AA239" s="45">
        <v>985</v>
      </c>
      <c r="AB239" s="35">
        <f t="shared" ref="AB239:AB302" si="54">AA239/11</f>
        <v>89.545454545454547</v>
      </c>
      <c r="AC239" s="35">
        <f t="shared" ref="AC239:AC302" si="55">ROUND(Z239*AB239,1)</f>
        <v>108.6</v>
      </c>
      <c r="AD239" s="35">
        <f t="shared" ref="AD239:AD302" si="56">AC239-AB239</f>
        <v>19.054545454545448</v>
      </c>
      <c r="AE239" s="35">
        <v>-2.5</v>
      </c>
      <c r="AF239" s="35">
        <f t="shared" ref="AF239:AF302" si="57">AC239+AE239</f>
        <v>106.1</v>
      </c>
      <c r="AG239" s="35"/>
      <c r="AH239" s="35">
        <f t="shared" ref="AH239:AH302" si="58">AF239-AG239</f>
        <v>106.1</v>
      </c>
      <c r="AI239" s="35">
        <v>106.1</v>
      </c>
      <c r="AJ239" s="35">
        <f t="shared" ref="AJ239:AJ302" si="59">ROUND(AH239-AI239,1)</f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0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10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10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10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10"/>
      <c r="GC239" s="9"/>
      <c r="GD239" s="9"/>
    </row>
    <row r="240" spans="1:186" s="2" customFormat="1" ht="17" customHeight="1">
      <c r="A240" s="14" t="s">
        <v>236</v>
      </c>
      <c r="B240" s="35">
        <v>0</v>
      </c>
      <c r="C240" s="35">
        <v>0</v>
      </c>
      <c r="D240" s="4">
        <f t="shared" si="50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159.1</v>
      </c>
      <c r="O240" s="35">
        <v>242.7</v>
      </c>
      <c r="P240" s="4">
        <f t="shared" si="51"/>
        <v>1.2325455688246385</v>
      </c>
      <c r="Q240" s="11">
        <v>20</v>
      </c>
      <c r="R240" s="35">
        <v>6.4</v>
      </c>
      <c r="S240" s="35">
        <v>6.5</v>
      </c>
      <c r="T240" s="4">
        <f t="shared" si="52"/>
        <v>1.015625</v>
      </c>
      <c r="U240" s="11">
        <v>10</v>
      </c>
      <c r="V240" s="35">
        <v>0.3</v>
      </c>
      <c r="W240" s="35">
        <v>1</v>
      </c>
      <c r="X240" s="4">
        <f t="shared" si="53"/>
        <v>1.3</v>
      </c>
      <c r="Y240" s="11">
        <v>40</v>
      </c>
      <c r="Z240" s="44">
        <f t="shared" ref="Z240:Z303" si="60">(D240*E240+P240*Q240+T240*U240+X240*Y240)/(E240+Q240+U240+Y240)</f>
        <v>1.2401023053784681</v>
      </c>
      <c r="AA240" s="45">
        <v>1413</v>
      </c>
      <c r="AB240" s="35">
        <f t="shared" si="54"/>
        <v>128.45454545454547</v>
      </c>
      <c r="AC240" s="35">
        <f t="shared" si="55"/>
        <v>159.30000000000001</v>
      </c>
      <c r="AD240" s="35">
        <f t="shared" si="56"/>
        <v>30.845454545454544</v>
      </c>
      <c r="AE240" s="35">
        <v>4.0999999999999996</v>
      </c>
      <c r="AF240" s="35">
        <f t="shared" si="57"/>
        <v>163.4</v>
      </c>
      <c r="AG240" s="35"/>
      <c r="AH240" s="35">
        <f t="shared" si="58"/>
        <v>163.4</v>
      </c>
      <c r="AI240" s="35">
        <v>163.4</v>
      </c>
      <c r="AJ240" s="35">
        <f t="shared" si="59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0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10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10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10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10"/>
      <c r="GC240" s="9"/>
      <c r="GD240" s="9"/>
    </row>
    <row r="241" spans="1:186" s="2" customFormat="1" ht="17" customHeight="1">
      <c r="A241" s="14" t="s">
        <v>237</v>
      </c>
      <c r="B241" s="35">
        <v>643</v>
      </c>
      <c r="C241" s="35">
        <v>588</v>
      </c>
      <c r="D241" s="4">
        <f t="shared" si="50"/>
        <v>0.9144634525660964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230</v>
      </c>
      <c r="O241" s="35">
        <v>138</v>
      </c>
      <c r="P241" s="4">
        <f t="shared" si="51"/>
        <v>0.6</v>
      </c>
      <c r="Q241" s="11">
        <v>20</v>
      </c>
      <c r="R241" s="35">
        <v>41.7</v>
      </c>
      <c r="S241" s="35">
        <v>41.9</v>
      </c>
      <c r="T241" s="4">
        <f t="shared" si="52"/>
        <v>1.0047961630695443</v>
      </c>
      <c r="U241" s="11">
        <v>25</v>
      </c>
      <c r="V241" s="35">
        <v>5</v>
      </c>
      <c r="W241" s="35">
        <v>5.0999999999999996</v>
      </c>
      <c r="X241" s="4">
        <f t="shared" si="53"/>
        <v>1.02</v>
      </c>
      <c r="Y241" s="11">
        <v>25</v>
      </c>
      <c r="Z241" s="44">
        <f t="shared" si="60"/>
        <v>0.89705673252999463</v>
      </c>
      <c r="AA241" s="45">
        <v>1091</v>
      </c>
      <c r="AB241" s="35">
        <f t="shared" si="54"/>
        <v>99.181818181818187</v>
      </c>
      <c r="AC241" s="35">
        <f t="shared" si="55"/>
        <v>89</v>
      </c>
      <c r="AD241" s="35">
        <f t="shared" si="56"/>
        <v>-10.181818181818187</v>
      </c>
      <c r="AE241" s="35">
        <v>1.9</v>
      </c>
      <c r="AF241" s="35">
        <f t="shared" si="57"/>
        <v>90.9</v>
      </c>
      <c r="AG241" s="35"/>
      <c r="AH241" s="35">
        <f t="shared" si="58"/>
        <v>90.9</v>
      </c>
      <c r="AI241" s="35">
        <v>90.9</v>
      </c>
      <c r="AJ241" s="35">
        <f t="shared" si="59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0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10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10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10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10"/>
      <c r="GC241" s="9"/>
      <c r="GD241" s="9"/>
    </row>
    <row r="242" spans="1:186" s="2" customFormat="1" ht="17" customHeight="1">
      <c r="A242" s="14" t="s">
        <v>238</v>
      </c>
      <c r="B242" s="35">
        <v>0</v>
      </c>
      <c r="C242" s="35">
        <v>0</v>
      </c>
      <c r="D242" s="4">
        <f t="shared" si="50"/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170.6</v>
      </c>
      <c r="O242" s="35">
        <v>99.4</v>
      </c>
      <c r="P242" s="4">
        <f t="shared" si="51"/>
        <v>0.58264947245017595</v>
      </c>
      <c r="Q242" s="11">
        <v>20</v>
      </c>
      <c r="R242" s="35">
        <v>20</v>
      </c>
      <c r="S242" s="35">
        <v>19.3</v>
      </c>
      <c r="T242" s="4">
        <f t="shared" si="52"/>
        <v>0.96500000000000008</v>
      </c>
      <c r="U242" s="11">
        <v>20</v>
      </c>
      <c r="V242" s="35">
        <v>2.4</v>
      </c>
      <c r="W242" s="35">
        <v>3.2</v>
      </c>
      <c r="X242" s="4">
        <f t="shared" si="53"/>
        <v>1.2133333333333334</v>
      </c>
      <c r="Y242" s="11">
        <v>30</v>
      </c>
      <c r="Z242" s="44">
        <f t="shared" si="60"/>
        <v>0.96218556355719309</v>
      </c>
      <c r="AA242" s="45">
        <v>1348</v>
      </c>
      <c r="AB242" s="35">
        <f t="shared" si="54"/>
        <v>122.54545454545455</v>
      </c>
      <c r="AC242" s="35">
        <f t="shared" si="55"/>
        <v>117.9</v>
      </c>
      <c r="AD242" s="35">
        <f t="shared" si="56"/>
        <v>-4.6454545454545411</v>
      </c>
      <c r="AE242" s="35">
        <v>-2.9</v>
      </c>
      <c r="AF242" s="35">
        <f t="shared" si="57"/>
        <v>115</v>
      </c>
      <c r="AG242" s="35"/>
      <c r="AH242" s="35">
        <f t="shared" si="58"/>
        <v>115</v>
      </c>
      <c r="AI242" s="35">
        <v>115</v>
      </c>
      <c r="AJ242" s="35">
        <f t="shared" si="59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0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10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10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10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10"/>
      <c r="GC242" s="9"/>
      <c r="GD242" s="9"/>
    </row>
    <row r="243" spans="1:186" s="2" customFormat="1" ht="17" customHeight="1">
      <c r="A243" s="14" t="s">
        <v>239</v>
      </c>
      <c r="B243" s="35">
        <v>0</v>
      </c>
      <c r="C243" s="35">
        <v>0</v>
      </c>
      <c r="D243" s="4">
        <f t="shared" si="50"/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81.3</v>
      </c>
      <c r="O243" s="35">
        <v>34.9</v>
      </c>
      <c r="P243" s="4">
        <f t="shared" si="51"/>
        <v>0.42927429274292744</v>
      </c>
      <c r="Q243" s="11">
        <v>20</v>
      </c>
      <c r="R243" s="35">
        <v>3.1</v>
      </c>
      <c r="S243" s="35">
        <v>3.3</v>
      </c>
      <c r="T243" s="4">
        <f t="shared" si="52"/>
        <v>1.064516129032258</v>
      </c>
      <c r="U243" s="11">
        <v>25</v>
      </c>
      <c r="V243" s="35">
        <v>0.2</v>
      </c>
      <c r="W243" s="35">
        <v>0.2</v>
      </c>
      <c r="X243" s="4">
        <f t="shared" si="53"/>
        <v>1</v>
      </c>
      <c r="Y243" s="11">
        <v>25</v>
      </c>
      <c r="Z243" s="44">
        <f t="shared" si="60"/>
        <v>0.85997698686664281</v>
      </c>
      <c r="AA243" s="45">
        <v>819</v>
      </c>
      <c r="AB243" s="35">
        <f t="shared" si="54"/>
        <v>74.454545454545453</v>
      </c>
      <c r="AC243" s="35">
        <f t="shared" si="55"/>
        <v>64</v>
      </c>
      <c r="AD243" s="35">
        <f t="shared" si="56"/>
        <v>-10.454545454545453</v>
      </c>
      <c r="AE243" s="35">
        <v>-1.7</v>
      </c>
      <c r="AF243" s="35">
        <f t="shared" si="57"/>
        <v>62.3</v>
      </c>
      <c r="AG243" s="35">
        <f>MIN(AF243,37.2)</f>
        <v>37.200000000000003</v>
      </c>
      <c r="AH243" s="35">
        <f t="shared" si="58"/>
        <v>25.099999999999994</v>
      </c>
      <c r="AI243" s="35">
        <v>25.099999999999994</v>
      </c>
      <c r="AJ243" s="35">
        <f t="shared" si="59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0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10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10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10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10"/>
      <c r="GC243" s="9"/>
      <c r="GD243" s="9"/>
    </row>
    <row r="244" spans="1:186" s="2" customFormat="1" ht="17" customHeight="1">
      <c r="A244" s="14" t="s">
        <v>240</v>
      </c>
      <c r="B244" s="35">
        <v>0</v>
      </c>
      <c r="C244" s="35">
        <v>0</v>
      </c>
      <c r="D244" s="4">
        <f t="shared" si="50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211.8</v>
      </c>
      <c r="O244" s="35">
        <v>74.2</v>
      </c>
      <c r="P244" s="4">
        <f t="shared" si="51"/>
        <v>0.35033050047214354</v>
      </c>
      <c r="Q244" s="11">
        <v>20</v>
      </c>
      <c r="R244" s="35">
        <v>37.9</v>
      </c>
      <c r="S244" s="35">
        <v>35</v>
      </c>
      <c r="T244" s="4">
        <f t="shared" si="52"/>
        <v>0.92348284960422167</v>
      </c>
      <c r="U244" s="11">
        <v>40</v>
      </c>
      <c r="V244" s="35">
        <v>1</v>
      </c>
      <c r="W244" s="35">
        <v>1.9</v>
      </c>
      <c r="X244" s="4">
        <f t="shared" si="53"/>
        <v>1.27</v>
      </c>
      <c r="Y244" s="11">
        <v>10</v>
      </c>
      <c r="Z244" s="44">
        <f t="shared" si="60"/>
        <v>0.80922748562302493</v>
      </c>
      <c r="AA244" s="45">
        <v>1098</v>
      </c>
      <c r="AB244" s="35">
        <f t="shared" si="54"/>
        <v>99.818181818181813</v>
      </c>
      <c r="AC244" s="35">
        <f t="shared" si="55"/>
        <v>80.8</v>
      </c>
      <c r="AD244" s="35">
        <f t="shared" si="56"/>
        <v>-19.018181818181816</v>
      </c>
      <c r="AE244" s="35">
        <v>-10.8</v>
      </c>
      <c r="AF244" s="35">
        <f t="shared" si="57"/>
        <v>70</v>
      </c>
      <c r="AG244" s="35">
        <f>MIN(AF244,25.5)</f>
        <v>25.5</v>
      </c>
      <c r="AH244" s="35">
        <f t="shared" si="58"/>
        <v>44.5</v>
      </c>
      <c r="AI244" s="35">
        <v>44.5</v>
      </c>
      <c r="AJ244" s="35">
        <f t="shared" si="59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10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10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10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10"/>
      <c r="GC244" s="9"/>
      <c r="GD244" s="9"/>
    </row>
    <row r="245" spans="1:186" s="2" customFormat="1" ht="17" customHeight="1">
      <c r="A245" s="14" t="s">
        <v>241</v>
      </c>
      <c r="B245" s="35">
        <v>0</v>
      </c>
      <c r="C245" s="35">
        <v>0</v>
      </c>
      <c r="D245" s="4">
        <f t="shared" si="50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68.099999999999994</v>
      </c>
      <c r="O245" s="35">
        <v>287</v>
      </c>
      <c r="P245" s="4">
        <f t="shared" si="51"/>
        <v>1.3</v>
      </c>
      <c r="Q245" s="11">
        <v>20</v>
      </c>
      <c r="R245" s="35">
        <v>21.9</v>
      </c>
      <c r="S245" s="35">
        <v>26.1</v>
      </c>
      <c r="T245" s="4">
        <f t="shared" si="52"/>
        <v>1.1917808219178083</v>
      </c>
      <c r="U245" s="11">
        <v>25</v>
      </c>
      <c r="V245" s="35">
        <v>0.9</v>
      </c>
      <c r="W245" s="35">
        <v>5.2</v>
      </c>
      <c r="X245" s="4">
        <f t="shared" si="53"/>
        <v>1.3</v>
      </c>
      <c r="Y245" s="11">
        <v>25</v>
      </c>
      <c r="Z245" s="44">
        <f t="shared" si="60"/>
        <v>1.2613502935420744</v>
      </c>
      <c r="AA245" s="45">
        <v>1336</v>
      </c>
      <c r="AB245" s="35">
        <f t="shared" si="54"/>
        <v>121.45454545454545</v>
      </c>
      <c r="AC245" s="35">
        <f t="shared" si="55"/>
        <v>153.19999999999999</v>
      </c>
      <c r="AD245" s="35">
        <f t="shared" si="56"/>
        <v>31.745454545454535</v>
      </c>
      <c r="AE245" s="35">
        <v>-6.3</v>
      </c>
      <c r="AF245" s="35">
        <f t="shared" si="57"/>
        <v>146.89999999999998</v>
      </c>
      <c r="AG245" s="35">
        <f>MIN(AF245,28.5)</f>
        <v>28.5</v>
      </c>
      <c r="AH245" s="35">
        <f t="shared" si="58"/>
        <v>118.39999999999998</v>
      </c>
      <c r="AI245" s="35">
        <v>118.39999999999998</v>
      </c>
      <c r="AJ245" s="35">
        <f t="shared" si="59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0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10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10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10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10"/>
      <c r="GC245" s="9"/>
      <c r="GD245" s="9"/>
    </row>
    <row r="246" spans="1:186" s="2" customFormat="1" ht="17" customHeight="1">
      <c r="A246" s="14" t="s">
        <v>242</v>
      </c>
      <c r="B246" s="35">
        <v>0</v>
      </c>
      <c r="C246" s="35">
        <v>0</v>
      </c>
      <c r="D246" s="4">
        <f t="shared" si="50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293.2</v>
      </c>
      <c r="O246" s="35">
        <v>162.6</v>
      </c>
      <c r="P246" s="4">
        <f t="shared" si="51"/>
        <v>0.55457025920873126</v>
      </c>
      <c r="Q246" s="11">
        <v>20</v>
      </c>
      <c r="R246" s="35">
        <v>158.19999999999999</v>
      </c>
      <c r="S246" s="35">
        <v>176.9</v>
      </c>
      <c r="T246" s="4">
        <f t="shared" si="52"/>
        <v>1.1182048040455121</v>
      </c>
      <c r="U246" s="11">
        <v>20</v>
      </c>
      <c r="V246" s="35">
        <v>1.2</v>
      </c>
      <c r="W246" s="35">
        <v>5.2</v>
      </c>
      <c r="X246" s="4">
        <f t="shared" si="53"/>
        <v>1.3</v>
      </c>
      <c r="Y246" s="11">
        <v>30</v>
      </c>
      <c r="Z246" s="44">
        <f t="shared" si="60"/>
        <v>1.0350785895012125</v>
      </c>
      <c r="AA246" s="45">
        <v>1194</v>
      </c>
      <c r="AB246" s="35">
        <f t="shared" si="54"/>
        <v>108.54545454545455</v>
      </c>
      <c r="AC246" s="35">
        <f t="shared" si="55"/>
        <v>112.4</v>
      </c>
      <c r="AD246" s="35">
        <f t="shared" si="56"/>
        <v>3.8545454545454589</v>
      </c>
      <c r="AE246" s="35">
        <v>-4</v>
      </c>
      <c r="AF246" s="35">
        <f t="shared" si="57"/>
        <v>108.4</v>
      </c>
      <c r="AG246" s="35"/>
      <c r="AH246" s="35">
        <f t="shared" si="58"/>
        <v>108.4</v>
      </c>
      <c r="AI246" s="35">
        <v>108.4</v>
      </c>
      <c r="AJ246" s="35">
        <f t="shared" si="59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10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10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10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10"/>
      <c r="GC246" s="9"/>
      <c r="GD246" s="9"/>
    </row>
    <row r="247" spans="1:186" s="2" customFormat="1" ht="17" customHeight="1">
      <c r="A247" s="14" t="s">
        <v>243</v>
      </c>
      <c r="B247" s="35">
        <v>13852</v>
      </c>
      <c r="C247" s="35">
        <v>6913</v>
      </c>
      <c r="D247" s="4">
        <f t="shared" si="50"/>
        <v>0.49906150736355759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261.3</v>
      </c>
      <c r="O247" s="35">
        <v>428.9</v>
      </c>
      <c r="P247" s="4">
        <f t="shared" si="51"/>
        <v>1.2441408342900879</v>
      </c>
      <c r="Q247" s="11">
        <v>20</v>
      </c>
      <c r="R247" s="35">
        <v>17.100000000000001</v>
      </c>
      <c r="S247" s="35">
        <v>13.4</v>
      </c>
      <c r="T247" s="4">
        <f t="shared" si="52"/>
        <v>0.783625730994152</v>
      </c>
      <c r="U247" s="11">
        <v>25</v>
      </c>
      <c r="V247" s="35">
        <v>0.5</v>
      </c>
      <c r="W247" s="35">
        <v>0.5</v>
      </c>
      <c r="X247" s="4">
        <f t="shared" si="53"/>
        <v>1</v>
      </c>
      <c r="Y247" s="11">
        <v>25</v>
      </c>
      <c r="Z247" s="44">
        <f t="shared" si="60"/>
        <v>0.93080093792863905</v>
      </c>
      <c r="AA247" s="45">
        <v>1325</v>
      </c>
      <c r="AB247" s="35">
        <f t="shared" si="54"/>
        <v>120.45454545454545</v>
      </c>
      <c r="AC247" s="35">
        <f t="shared" si="55"/>
        <v>112.1</v>
      </c>
      <c r="AD247" s="35">
        <f t="shared" si="56"/>
        <v>-8.3545454545454589</v>
      </c>
      <c r="AE247" s="35">
        <v>2.9</v>
      </c>
      <c r="AF247" s="35">
        <f t="shared" si="57"/>
        <v>115</v>
      </c>
      <c r="AG247" s="35"/>
      <c r="AH247" s="35">
        <f t="shared" si="58"/>
        <v>115</v>
      </c>
      <c r="AI247" s="35">
        <v>115</v>
      </c>
      <c r="AJ247" s="35">
        <f t="shared" si="59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0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10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10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10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10"/>
      <c r="GC247" s="9"/>
      <c r="GD247" s="9"/>
    </row>
    <row r="248" spans="1:186" s="2" customFormat="1" ht="17" customHeight="1">
      <c r="A248" s="14" t="s">
        <v>244</v>
      </c>
      <c r="B248" s="35">
        <v>0</v>
      </c>
      <c r="C248" s="35">
        <v>0</v>
      </c>
      <c r="D248" s="4">
        <f t="shared" si="50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336</v>
      </c>
      <c r="O248" s="35">
        <v>92.6</v>
      </c>
      <c r="P248" s="4">
        <f t="shared" si="51"/>
        <v>0.27559523809523806</v>
      </c>
      <c r="Q248" s="11">
        <v>20</v>
      </c>
      <c r="R248" s="35">
        <v>10.9</v>
      </c>
      <c r="S248" s="35">
        <v>11.2</v>
      </c>
      <c r="T248" s="4">
        <f t="shared" si="52"/>
        <v>1.0275229357798163</v>
      </c>
      <c r="U248" s="11">
        <v>20</v>
      </c>
      <c r="V248" s="35">
        <v>0.7</v>
      </c>
      <c r="W248" s="35">
        <v>0.9</v>
      </c>
      <c r="X248" s="4">
        <f t="shared" si="53"/>
        <v>1.2085714285714286</v>
      </c>
      <c r="Y248" s="11">
        <v>30</v>
      </c>
      <c r="Z248" s="44">
        <f t="shared" si="60"/>
        <v>0.89027866192348493</v>
      </c>
      <c r="AA248" s="45">
        <v>966</v>
      </c>
      <c r="AB248" s="35">
        <f t="shared" si="54"/>
        <v>87.818181818181813</v>
      </c>
      <c r="AC248" s="35">
        <f t="shared" si="55"/>
        <v>78.2</v>
      </c>
      <c r="AD248" s="35">
        <f t="shared" si="56"/>
        <v>-9.6181818181818102</v>
      </c>
      <c r="AE248" s="35">
        <v>3.7</v>
      </c>
      <c r="AF248" s="35">
        <f t="shared" si="57"/>
        <v>81.900000000000006</v>
      </c>
      <c r="AG248" s="35">
        <f>MIN(AF248,40.8)</f>
        <v>40.799999999999997</v>
      </c>
      <c r="AH248" s="35">
        <f t="shared" si="58"/>
        <v>41.100000000000009</v>
      </c>
      <c r="AI248" s="35">
        <v>41.100000000000009</v>
      </c>
      <c r="AJ248" s="35">
        <f t="shared" si="59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0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10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10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10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10"/>
      <c r="GC248" s="9"/>
      <c r="GD248" s="9"/>
    </row>
    <row r="249" spans="1:186" s="2" customFormat="1" ht="17" customHeight="1">
      <c r="A249" s="14" t="s">
        <v>245</v>
      </c>
      <c r="B249" s="35">
        <v>1533</v>
      </c>
      <c r="C249" s="35">
        <v>1502</v>
      </c>
      <c r="D249" s="4">
        <f t="shared" si="50"/>
        <v>0.97977821265492493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382.7</v>
      </c>
      <c r="O249" s="35">
        <v>453.2</v>
      </c>
      <c r="P249" s="4">
        <f t="shared" si="51"/>
        <v>1.184217402665273</v>
      </c>
      <c r="Q249" s="11">
        <v>20</v>
      </c>
      <c r="R249" s="35">
        <v>444.5</v>
      </c>
      <c r="S249" s="35">
        <v>427.1</v>
      </c>
      <c r="T249" s="4">
        <f t="shared" si="52"/>
        <v>0.9608548931383577</v>
      </c>
      <c r="U249" s="11">
        <v>10</v>
      </c>
      <c r="V249" s="35">
        <v>434.7</v>
      </c>
      <c r="W249" s="35">
        <v>546.70000000000005</v>
      </c>
      <c r="X249" s="4">
        <f t="shared" si="53"/>
        <v>1.2057648953301128</v>
      </c>
      <c r="Y249" s="11">
        <v>40</v>
      </c>
      <c r="Z249" s="44">
        <f t="shared" si="60"/>
        <v>1.141515936555535</v>
      </c>
      <c r="AA249" s="45">
        <v>1522</v>
      </c>
      <c r="AB249" s="35">
        <f t="shared" si="54"/>
        <v>138.36363636363637</v>
      </c>
      <c r="AC249" s="35">
        <f t="shared" si="55"/>
        <v>157.9</v>
      </c>
      <c r="AD249" s="35">
        <f t="shared" si="56"/>
        <v>19.536363636363632</v>
      </c>
      <c r="AE249" s="35">
        <v>-12</v>
      </c>
      <c r="AF249" s="35">
        <f t="shared" si="57"/>
        <v>145.9</v>
      </c>
      <c r="AG249" s="35"/>
      <c r="AH249" s="35">
        <f t="shared" si="58"/>
        <v>145.9</v>
      </c>
      <c r="AI249" s="35">
        <v>145.9</v>
      </c>
      <c r="AJ249" s="35">
        <f t="shared" si="59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0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10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10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10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10"/>
      <c r="GC249" s="9"/>
      <c r="GD249" s="9"/>
    </row>
    <row r="250" spans="1:186" s="2" customFormat="1" ht="17" customHeight="1">
      <c r="A250" s="14" t="s">
        <v>246</v>
      </c>
      <c r="B250" s="35">
        <v>0</v>
      </c>
      <c r="C250" s="35">
        <v>0</v>
      </c>
      <c r="D250" s="4">
        <f t="shared" si="50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175.4</v>
      </c>
      <c r="O250" s="35">
        <v>206.1</v>
      </c>
      <c r="P250" s="4">
        <f t="shared" si="51"/>
        <v>1.1750285062713797</v>
      </c>
      <c r="Q250" s="11">
        <v>20</v>
      </c>
      <c r="R250" s="35">
        <v>97.8</v>
      </c>
      <c r="S250" s="35">
        <v>98.3</v>
      </c>
      <c r="T250" s="4">
        <f t="shared" si="52"/>
        <v>1.0051124744376279</v>
      </c>
      <c r="U250" s="11">
        <v>30</v>
      </c>
      <c r="V250" s="35">
        <v>6.9</v>
      </c>
      <c r="W250" s="35">
        <v>7.8</v>
      </c>
      <c r="X250" s="4">
        <f t="shared" si="53"/>
        <v>1.1304347826086956</v>
      </c>
      <c r="Y250" s="11">
        <v>20</v>
      </c>
      <c r="Z250" s="44">
        <f t="shared" si="60"/>
        <v>1.0894662858675763</v>
      </c>
      <c r="AA250" s="45">
        <v>1776</v>
      </c>
      <c r="AB250" s="35">
        <f t="shared" si="54"/>
        <v>161.45454545454547</v>
      </c>
      <c r="AC250" s="35">
        <f t="shared" si="55"/>
        <v>175.9</v>
      </c>
      <c r="AD250" s="35">
        <f t="shared" si="56"/>
        <v>14.445454545454538</v>
      </c>
      <c r="AE250" s="35">
        <v>1.8</v>
      </c>
      <c r="AF250" s="35">
        <f t="shared" si="57"/>
        <v>177.70000000000002</v>
      </c>
      <c r="AG250" s="35"/>
      <c r="AH250" s="35">
        <f t="shared" si="58"/>
        <v>177.70000000000002</v>
      </c>
      <c r="AI250" s="35">
        <v>177.70000000000002</v>
      </c>
      <c r="AJ250" s="35">
        <f t="shared" si="59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0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10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10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10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10"/>
      <c r="GC250" s="9"/>
      <c r="GD250" s="9"/>
    </row>
    <row r="251" spans="1:186" s="2" customFormat="1" ht="17" customHeight="1">
      <c r="A251" s="14" t="s">
        <v>247</v>
      </c>
      <c r="B251" s="35">
        <v>0</v>
      </c>
      <c r="C251" s="35">
        <v>0</v>
      </c>
      <c r="D251" s="4">
        <f t="shared" si="50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89.7</v>
      </c>
      <c r="O251" s="35">
        <v>97.8</v>
      </c>
      <c r="P251" s="4">
        <f t="shared" si="51"/>
        <v>1.0903010033444815</v>
      </c>
      <c r="Q251" s="11">
        <v>20</v>
      </c>
      <c r="R251" s="35">
        <v>14.4</v>
      </c>
      <c r="S251" s="35">
        <v>9</v>
      </c>
      <c r="T251" s="4">
        <f t="shared" si="52"/>
        <v>0.625</v>
      </c>
      <c r="U251" s="11">
        <v>20</v>
      </c>
      <c r="V251" s="35">
        <v>0.6</v>
      </c>
      <c r="W251" s="35">
        <v>0.6</v>
      </c>
      <c r="X251" s="4">
        <f t="shared" si="53"/>
        <v>1</v>
      </c>
      <c r="Y251" s="11">
        <v>30</v>
      </c>
      <c r="Z251" s="44">
        <f t="shared" si="60"/>
        <v>0.9186574295269947</v>
      </c>
      <c r="AA251" s="45">
        <v>869</v>
      </c>
      <c r="AB251" s="35">
        <f t="shared" si="54"/>
        <v>79</v>
      </c>
      <c r="AC251" s="35">
        <f t="shared" si="55"/>
        <v>72.599999999999994</v>
      </c>
      <c r="AD251" s="35">
        <f t="shared" si="56"/>
        <v>-6.4000000000000057</v>
      </c>
      <c r="AE251" s="35">
        <v>1.1000000000000001</v>
      </c>
      <c r="AF251" s="35">
        <f t="shared" si="57"/>
        <v>73.699999999999989</v>
      </c>
      <c r="AG251" s="35">
        <f>MIN(AF251,39.5)</f>
        <v>39.5</v>
      </c>
      <c r="AH251" s="35">
        <f t="shared" si="58"/>
        <v>34.199999999999989</v>
      </c>
      <c r="AI251" s="35">
        <v>34.199999999999989</v>
      </c>
      <c r="AJ251" s="35">
        <f t="shared" si="59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0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10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10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10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10"/>
      <c r="GC251" s="9"/>
      <c r="GD251" s="9"/>
    </row>
    <row r="252" spans="1:186" s="2" customFormat="1" ht="17" customHeight="1">
      <c r="A252" s="14" t="s">
        <v>248</v>
      </c>
      <c r="B252" s="35">
        <v>0</v>
      </c>
      <c r="C252" s="35">
        <v>0</v>
      </c>
      <c r="D252" s="4">
        <f t="shared" si="50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145.69999999999999</v>
      </c>
      <c r="O252" s="35">
        <v>170.3</v>
      </c>
      <c r="P252" s="4">
        <f t="shared" si="51"/>
        <v>1.1688400823610159</v>
      </c>
      <c r="Q252" s="11">
        <v>20</v>
      </c>
      <c r="R252" s="35">
        <v>3.6</v>
      </c>
      <c r="S252" s="35">
        <v>3.8</v>
      </c>
      <c r="T252" s="4">
        <f t="shared" si="52"/>
        <v>1.0555555555555556</v>
      </c>
      <c r="U252" s="11">
        <v>25</v>
      </c>
      <c r="V252" s="35">
        <v>0.2</v>
      </c>
      <c r="W252" s="35">
        <v>0.6</v>
      </c>
      <c r="X252" s="4">
        <f t="shared" si="53"/>
        <v>1.3</v>
      </c>
      <c r="Y252" s="11">
        <v>25</v>
      </c>
      <c r="Z252" s="44">
        <f t="shared" si="60"/>
        <v>1.1752241505158458</v>
      </c>
      <c r="AA252" s="45">
        <v>863</v>
      </c>
      <c r="AB252" s="35">
        <f t="shared" si="54"/>
        <v>78.454545454545453</v>
      </c>
      <c r="AC252" s="35">
        <f t="shared" si="55"/>
        <v>92.2</v>
      </c>
      <c r="AD252" s="35">
        <f t="shared" si="56"/>
        <v>13.74545454545455</v>
      </c>
      <c r="AE252" s="35">
        <v>-5</v>
      </c>
      <c r="AF252" s="35">
        <f t="shared" si="57"/>
        <v>87.2</v>
      </c>
      <c r="AG252" s="35"/>
      <c r="AH252" s="35">
        <f t="shared" si="58"/>
        <v>87.2</v>
      </c>
      <c r="AI252" s="35">
        <v>87.2</v>
      </c>
      <c r="AJ252" s="35">
        <f t="shared" si="59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0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10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10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10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10"/>
      <c r="GC252" s="9"/>
      <c r="GD252" s="9"/>
    </row>
    <row r="253" spans="1:186" s="2" customFormat="1" ht="17" customHeight="1">
      <c r="A253" s="14" t="s">
        <v>249</v>
      </c>
      <c r="B253" s="35">
        <v>1553</v>
      </c>
      <c r="C253" s="35">
        <v>1470.2</v>
      </c>
      <c r="D253" s="4">
        <f t="shared" si="50"/>
        <v>0.94668383773341924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98</v>
      </c>
      <c r="O253" s="35">
        <v>274.39999999999998</v>
      </c>
      <c r="P253" s="4">
        <f t="shared" si="51"/>
        <v>1.3</v>
      </c>
      <c r="Q253" s="11">
        <v>20</v>
      </c>
      <c r="R253" s="35">
        <v>64.3</v>
      </c>
      <c r="S253" s="35">
        <v>75.8</v>
      </c>
      <c r="T253" s="4">
        <f t="shared" si="52"/>
        <v>1.1788491446345257</v>
      </c>
      <c r="U253" s="11">
        <v>30</v>
      </c>
      <c r="V253" s="35">
        <v>1.1000000000000001</v>
      </c>
      <c r="W253" s="35">
        <v>1.8</v>
      </c>
      <c r="X253" s="4">
        <f t="shared" si="53"/>
        <v>1.2436363636363637</v>
      </c>
      <c r="Y253" s="11">
        <v>20</v>
      </c>
      <c r="Z253" s="44">
        <f t="shared" si="60"/>
        <v>1.1963129998637154</v>
      </c>
      <c r="AA253" s="45">
        <v>1147</v>
      </c>
      <c r="AB253" s="35">
        <f t="shared" si="54"/>
        <v>104.27272727272727</v>
      </c>
      <c r="AC253" s="35">
        <f t="shared" si="55"/>
        <v>124.7</v>
      </c>
      <c r="AD253" s="35">
        <f t="shared" si="56"/>
        <v>20.427272727272737</v>
      </c>
      <c r="AE253" s="35">
        <v>-1.7</v>
      </c>
      <c r="AF253" s="35">
        <f t="shared" si="57"/>
        <v>123</v>
      </c>
      <c r="AG253" s="35"/>
      <c r="AH253" s="35">
        <f t="shared" si="58"/>
        <v>123</v>
      </c>
      <c r="AI253" s="35">
        <v>123</v>
      </c>
      <c r="AJ253" s="35">
        <f t="shared" si="59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0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10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10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10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10"/>
      <c r="GC253" s="9"/>
      <c r="GD253" s="9"/>
    </row>
    <row r="254" spans="1:186" s="2" customFormat="1" ht="17" customHeight="1">
      <c r="A254" s="18" t="s">
        <v>250</v>
      </c>
      <c r="B254" s="6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35"/>
      <c r="AF254" s="35"/>
      <c r="AG254" s="35"/>
      <c r="AH254" s="35"/>
      <c r="AI254" s="35"/>
      <c r="AJ254" s="35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0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10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10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10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10"/>
      <c r="GC254" s="9"/>
      <c r="GD254" s="9"/>
    </row>
    <row r="255" spans="1:186" s="2" customFormat="1" ht="16.7" customHeight="1">
      <c r="A255" s="14" t="s">
        <v>251</v>
      </c>
      <c r="B255" s="35">
        <v>0</v>
      </c>
      <c r="C255" s="35">
        <v>0</v>
      </c>
      <c r="D255" s="4">
        <f t="shared" si="50"/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112.9</v>
      </c>
      <c r="O255" s="35">
        <v>143.6</v>
      </c>
      <c r="P255" s="4">
        <f t="shared" si="51"/>
        <v>1.2071922054915853</v>
      </c>
      <c r="Q255" s="11">
        <v>20</v>
      </c>
      <c r="R255" s="35">
        <v>14</v>
      </c>
      <c r="S255" s="35">
        <v>15</v>
      </c>
      <c r="T255" s="4">
        <f t="shared" si="52"/>
        <v>1.0714285714285714</v>
      </c>
      <c r="U255" s="11">
        <v>25</v>
      </c>
      <c r="V255" s="35">
        <v>1.5</v>
      </c>
      <c r="W255" s="35">
        <v>1.5</v>
      </c>
      <c r="X255" s="4">
        <f t="shared" si="53"/>
        <v>1</v>
      </c>
      <c r="Y255" s="11">
        <v>25</v>
      </c>
      <c r="Z255" s="44">
        <f t="shared" si="60"/>
        <v>1.0847079770792285</v>
      </c>
      <c r="AA255" s="45">
        <v>1304</v>
      </c>
      <c r="AB255" s="35">
        <f t="shared" si="54"/>
        <v>118.54545454545455</v>
      </c>
      <c r="AC255" s="35">
        <f t="shared" si="55"/>
        <v>128.6</v>
      </c>
      <c r="AD255" s="35">
        <f t="shared" si="56"/>
        <v>10.054545454545448</v>
      </c>
      <c r="AE255" s="35">
        <v>-0.9</v>
      </c>
      <c r="AF255" s="35">
        <f t="shared" si="57"/>
        <v>127.69999999999999</v>
      </c>
      <c r="AG255" s="35"/>
      <c r="AH255" s="35">
        <f t="shared" si="58"/>
        <v>127.69999999999999</v>
      </c>
      <c r="AI255" s="35">
        <v>127.69999999999999</v>
      </c>
      <c r="AJ255" s="35">
        <f t="shared" si="59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0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10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10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10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10"/>
      <c r="GC255" s="9"/>
      <c r="GD255" s="9"/>
    </row>
    <row r="256" spans="1:186" s="2" customFormat="1" ht="17" customHeight="1">
      <c r="A256" s="14" t="s">
        <v>252</v>
      </c>
      <c r="B256" s="35">
        <v>0</v>
      </c>
      <c r="C256" s="35">
        <v>0</v>
      </c>
      <c r="D256" s="4">
        <f t="shared" si="50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73.7</v>
      </c>
      <c r="O256" s="35">
        <v>14.2</v>
      </c>
      <c r="P256" s="4">
        <f t="shared" si="51"/>
        <v>0.19267299864314788</v>
      </c>
      <c r="Q256" s="11">
        <v>20</v>
      </c>
      <c r="R256" s="35">
        <v>2</v>
      </c>
      <c r="S256" s="35">
        <v>2</v>
      </c>
      <c r="T256" s="4">
        <f t="shared" si="52"/>
        <v>1</v>
      </c>
      <c r="U256" s="11">
        <v>15</v>
      </c>
      <c r="V256" s="35">
        <v>1</v>
      </c>
      <c r="W256" s="35">
        <v>1</v>
      </c>
      <c r="X256" s="4">
        <f t="shared" si="53"/>
        <v>1</v>
      </c>
      <c r="Y256" s="11">
        <v>35</v>
      </c>
      <c r="Z256" s="44">
        <f t="shared" si="60"/>
        <v>0.76933514246947077</v>
      </c>
      <c r="AA256" s="45">
        <v>645</v>
      </c>
      <c r="AB256" s="35">
        <f t="shared" si="54"/>
        <v>58.636363636363633</v>
      </c>
      <c r="AC256" s="35">
        <f t="shared" si="55"/>
        <v>45.1</v>
      </c>
      <c r="AD256" s="35">
        <f t="shared" si="56"/>
        <v>-13.536363636363632</v>
      </c>
      <c r="AE256" s="35">
        <v>-2.5</v>
      </c>
      <c r="AF256" s="35">
        <f t="shared" si="57"/>
        <v>42.6</v>
      </c>
      <c r="AG256" s="35"/>
      <c r="AH256" s="35">
        <f t="shared" si="58"/>
        <v>42.6</v>
      </c>
      <c r="AI256" s="35">
        <v>42.6</v>
      </c>
      <c r="AJ256" s="35">
        <f t="shared" si="59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0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10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10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10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10"/>
      <c r="GC256" s="9"/>
      <c r="GD256" s="9"/>
    </row>
    <row r="257" spans="1:186" s="2" customFormat="1" ht="17" customHeight="1">
      <c r="A257" s="14" t="s">
        <v>253</v>
      </c>
      <c r="B257" s="35">
        <v>0</v>
      </c>
      <c r="C257" s="35">
        <v>0</v>
      </c>
      <c r="D257" s="4">
        <f t="shared" si="50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107.3</v>
      </c>
      <c r="O257" s="35">
        <v>48.9</v>
      </c>
      <c r="P257" s="4">
        <f t="shared" si="51"/>
        <v>0.45573159366262816</v>
      </c>
      <c r="Q257" s="11">
        <v>20</v>
      </c>
      <c r="R257" s="35">
        <v>8.5</v>
      </c>
      <c r="S257" s="35">
        <v>9.1</v>
      </c>
      <c r="T257" s="4">
        <f t="shared" si="52"/>
        <v>1.0705882352941176</v>
      </c>
      <c r="U257" s="11">
        <v>25</v>
      </c>
      <c r="V257" s="35">
        <v>3</v>
      </c>
      <c r="W257" s="35">
        <v>3</v>
      </c>
      <c r="X257" s="4">
        <f t="shared" si="53"/>
        <v>1</v>
      </c>
      <c r="Y257" s="11">
        <v>25</v>
      </c>
      <c r="Z257" s="44">
        <f t="shared" si="60"/>
        <v>0.86970482508007863</v>
      </c>
      <c r="AA257" s="45">
        <v>1203</v>
      </c>
      <c r="AB257" s="35">
        <f t="shared" si="54"/>
        <v>109.36363636363636</v>
      </c>
      <c r="AC257" s="35">
        <f t="shared" si="55"/>
        <v>95.1</v>
      </c>
      <c r="AD257" s="35">
        <f t="shared" si="56"/>
        <v>-14.263636363636365</v>
      </c>
      <c r="AE257" s="35">
        <v>-1.9</v>
      </c>
      <c r="AF257" s="35">
        <f t="shared" si="57"/>
        <v>93.199999999999989</v>
      </c>
      <c r="AG257" s="35">
        <f>MIN(AF257,5.6)</f>
        <v>5.6</v>
      </c>
      <c r="AH257" s="35">
        <f t="shared" si="58"/>
        <v>87.6</v>
      </c>
      <c r="AI257" s="35">
        <v>87.6</v>
      </c>
      <c r="AJ257" s="35">
        <f t="shared" si="59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0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10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10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10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10"/>
      <c r="GC257" s="9"/>
      <c r="GD257" s="9"/>
    </row>
    <row r="258" spans="1:186" s="2" customFormat="1" ht="17" customHeight="1">
      <c r="A258" s="14" t="s">
        <v>254</v>
      </c>
      <c r="B258" s="35">
        <v>0</v>
      </c>
      <c r="C258" s="35">
        <v>0</v>
      </c>
      <c r="D258" s="4">
        <f t="shared" si="50"/>
        <v>1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283.2</v>
      </c>
      <c r="O258" s="35">
        <v>115.1</v>
      </c>
      <c r="P258" s="4">
        <f t="shared" si="51"/>
        <v>0.40642655367231639</v>
      </c>
      <c r="Q258" s="11">
        <v>20</v>
      </c>
      <c r="R258" s="35">
        <v>17</v>
      </c>
      <c r="S258" s="35">
        <v>20</v>
      </c>
      <c r="T258" s="4">
        <f t="shared" si="52"/>
        <v>1.1764705882352942</v>
      </c>
      <c r="U258" s="11">
        <v>10</v>
      </c>
      <c r="V258" s="35">
        <v>11.5</v>
      </c>
      <c r="W258" s="35">
        <v>13.4</v>
      </c>
      <c r="X258" s="4">
        <f t="shared" si="53"/>
        <v>1.1652173913043478</v>
      </c>
      <c r="Y258" s="11">
        <v>40</v>
      </c>
      <c r="Z258" s="44">
        <f t="shared" si="60"/>
        <v>0.95627415759966472</v>
      </c>
      <c r="AA258" s="45">
        <v>338</v>
      </c>
      <c r="AB258" s="35">
        <f t="shared" si="54"/>
        <v>30.727272727272727</v>
      </c>
      <c r="AC258" s="35">
        <f t="shared" si="55"/>
        <v>29.4</v>
      </c>
      <c r="AD258" s="35">
        <f t="shared" si="56"/>
        <v>-1.327272727272728</v>
      </c>
      <c r="AE258" s="35">
        <v>-0.5</v>
      </c>
      <c r="AF258" s="35">
        <f t="shared" si="57"/>
        <v>28.9</v>
      </c>
      <c r="AG258" s="35">
        <f>MIN(AF258,12.4)</f>
        <v>12.4</v>
      </c>
      <c r="AH258" s="35">
        <f t="shared" si="58"/>
        <v>16.5</v>
      </c>
      <c r="AI258" s="35">
        <v>16.5</v>
      </c>
      <c r="AJ258" s="35">
        <f t="shared" si="59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0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10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10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10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10"/>
      <c r="GC258" s="9"/>
      <c r="GD258" s="9"/>
    </row>
    <row r="259" spans="1:186" s="2" customFormat="1" ht="17" customHeight="1">
      <c r="A259" s="14" t="s">
        <v>255</v>
      </c>
      <c r="B259" s="35">
        <v>787</v>
      </c>
      <c r="C259" s="35">
        <v>1053</v>
      </c>
      <c r="D259" s="4">
        <f t="shared" si="50"/>
        <v>1.2137992376111817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154.30000000000001</v>
      </c>
      <c r="O259" s="35">
        <v>233</v>
      </c>
      <c r="P259" s="4">
        <f t="shared" si="51"/>
        <v>1.2310045366169799</v>
      </c>
      <c r="Q259" s="11">
        <v>20</v>
      </c>
      <c r="R259" s="35">
        <v>31</v>
      </c>
      <c r="S259" s="35">
        <v>35.200000000000003</v>
      </c>
      <c r="T259" s="4">
        <f t="shared" si="52"/>
        <v>1.1354838709677419</v>
      </c>
      <c r="U259" s="11">
        <v>10</v>
      </c>
      <c r="V259" s="35">
        <v>11.5</v>
      </c>
      <c r="W259" s="35">
        <v>12</v>
      </c>
      <c r="X259" s="4">
        <f t="shared" si="53"/>
        <v>1.0434782608695652</v>
      </c>
      <c r="Y259" s="11">
        <v>40</v>
      </c>
      <c r="Z259" s="44">
        <f t="shared" si="60"/>
        <v>1.1231506531613931</v>
      </c>
      <c r="AA259" s="45">
        <v>2247</v>
      </c>
      <c r="AB259" s="35">
        <f t="shared" si="54"/>
        <v>204.27272727272728</v>
      </c>
      <c r="AC259" s="35">
        <f t="shared" si="55"/>
        <v>229.4</v>
      </c>
      <c r="AD259" s="35">
        <f t="shared" si="56"/>
        <v>25.127272727272725</v>
      </c>
      <c r="AE259" s="35">
        <v>-3.5</v>
      </c>
      <c r="AF259" s="35">
        <f t="shared" si="57"/>
        <v>225.9</v>
      </c>
      <c r="AG259" s="35"/>
      <c r="AH259" s="35">
        <f t="shared" si="58"/>
        <v>225.9</v>
      </c>
      <c r="AI259" s="35">
        <v>225.9</v>
      </c>
      <c r="AJ259" s="35">
        <f t="shared" si="59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0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10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10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10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10"/>
      <c r="GC259" s="9"/>
      <c r="GD259" s="9"/>
    </row>
    <row r="260" spans="1:186" s="2" customFormat="1" ht="17" customHeight="1">
      <c r="A260" s="14" t="s">
        <v>256</v>
      </c>
      <c r="B260" s="35">
        <v>10063</v>
      </c>
      <c r="C260" s="35">
        <v>10930.7</v>
      </c>
      <c r="D260" s="4">
        <f t="shared" si="50"/>
        <v>1.0862267713405547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969.4</v>
      </c>
      <c r="O260" s="35">
        <v>843.3</v>
      </c>
      <c r="P260" s="4">
        <f t="shared" si="51"/>
        <v>0.86991953785846909</v>
      </c>
      <c r="Q260" s="11">
        <v>20</v>
      </c>
      <c r="R260" s="35">
        <v>10.5</v>
      </c>
      <c r="S260" s="35">
        <v>10.6</v>
      </c>
      <c r="T260" s="4">
        <f t="shared" si="52"/>
        <v>1.0095238095238095</v>
      </c>
      <c r="U260" s="11">
        <v>25</v>
      </c>
      <c r="V260" s="35">
        <v>13</v>
      </c>
      <c r="W260" s="35">
        <v>14.3</v>
      </c>
      <c r="X260" s="4">
        <f t="shared" si="53"/>
        <v>1.1000000000000001</v>
      </c>
      <c r="Y260" s="11">
        <v>25</v>
      </c>
      <c r="Z260" s="44">
        <f t="shared" si="60"/>
        <v>1.012484421358377</v>
      </c>
      <c r="AA260" s="45">
        <v>1553</v>
      </c>
      <c r="AB260" s="35">
        <f t="shared" si="54"/>
        <v>141.18181818181819</v>
      </c>
      <c r="AC260" s="35">
        <f t="shared" si="55"/>
        <v>142.9</v>
      </c>
      <c r="AD260" s="35">
        <f t="shared" si="56"/>
        <v>1.7181818181818187</v>
      </c>
      <c r="AE260" s="35">
        <v>-2.2000000000000002</v>
      </c>
      <c r="AF260" s="35">
        <f t="shared" si="57"/>
        <v>140.70000000000002</v>
      </c>
      <c r="AG260" s="35"/>
      <c r="AH260" s="35">
        <f t="shared" si="58"/>
        <v>140.70000000000002</v>
      </c>
      <c r="AI260" s="35">
        <v>140.70000000000002</v>
      </c>
      <c r="AJ260" s="35">
        <f t="shared" si="59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0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10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10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10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10"/>
      <c r="GC260" s="9"/>
      <c r="GD260" s="9"/>
    </row>
    <row r="261" spans="1:186" s="2" customFormat="1" ht="17" customHeight="1">
      <c r="A261" s="14" t="s">
        <v>257</v>
      </c>
      <c r="B261" s="35">
        <v>2309</v>
      </c>
      <c r="C261" s="35">
        <v>2757.7</v>
      </c>
      <c r="D261" s="4">
        <f t="shared" si="50"/>
        <v>1.1943265482893026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372.4</v>
      </c>
      <c r="O261" s="35">
        <v>1107.2</v>
      </c>
      <c r="P261" s="4">
        <f t="shared" si="51"/>
        <v>1.3</v>
      </c>
      <c r="Q261" s="11">
        <v>20</v>
      </c>
      <c r="R261" s="35">
        <v>3.5</v>
      </c>
      <c r="S261" s="35">
        <v>3.5</v>
      </c>
      <c r="T261" s="4">
        <f t="shared" si="52"/>
        <v>1</v>
      </c>
      <c r="U261" s="11">
        <v>15</v>
      </c>
      <c r="V261" s="35">
        <v>4.5</v>
      </c>
      <c r="W261" s="35">
        <v>4.5999999999999996</v>
      </c>
      <c r="X261" s="4">
        <f t="shared" si="53"/>
        <v>1.0222222222222221</v>
      </c>
      <c r="Y261" s="11">
        <v>35</v>
      </c>
      <c r="Z261" s="44">
        <f t="shared" si="60"/>
        <v>1.1090130407583849</v>
      </c>
      <c r="AA261" s="45">
        <v>375</v>
      </c>
      <c r="AB261" s="35">
        <f t="shared" si="54"/>
        <v>34.090909090909093</v>
      </c>
      <c r="AC261" s="35">
        <f t="shared" si="55"/>
        <v>37.799999999999997</v>
      </c>
      <c r="AD261" s="35">
        <f t="shared" si="56"/>
        <v>3.7090909090909037</v>
      </c>
      <c r="AE261" s="35">
        <v>-0.3</v>
      </c>
      <c r="AF261" s="35">
        <f t="shared" si="57"/>
        <v>37.5</v>
      </c>
      <c r="AG261" s="35"/>
      <c r="AH261" s="35">
        <f t="shared" si="58"/>
        <v>37.5</v>
      </c>
      <c r="AI261" s="35">
        <v>37.5</v>
      </c>
      <c r="AJ261" s="35">
        <f t="shared" si="59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0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10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10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10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10"/>
      <c r="GC261" s="9"/>
      <c r="GD261" s="9"/>
    </row>
    <row r="262" spans="1:186" s="2" customFormat="1" ht="17" customHeight="1">
      <c r="A262" s="18" t="s">
        <v>258</v>
      </c>
      <c r="B262" s="6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35"/>
      <c r="AF262" s="35"/>
      <c r="AG262" s="35"/>
      <c r="AH262" s="35"/>
      <c r="AI262" s="35"/>
      <c r="AJ262" s="35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0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10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10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10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10"/>
      <c r="GC262" s="9"/>
      <c r="GD262" s="9"/>
    </row>
    <row r="263" spans="1:186" s="2" customFormat="1" ht="17" customHeight="1">
      <c r="A263" s="14" t="s">
        <v>259</v>
      </c>
      <c r="B263" s="35">
        <v>0</v>
      </c>
      <c r="C263" s="35">
        <v>3713.4</v>
      </c>
      <c r="D263" s="4">
        <f t="shared" si="50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26.8</v>
      </c>
      <c r="O263" s="35">
        <v>77</v>
      </c>
      <c r="P263" s="4">
        <f t="shared" si="51"/>
        <v>1.3</v>
      </c>
      <c r="Q263" s="11">
        <v>20</v>
      </c>
      <c r="R263" s="35">
        <v>0</v>
      </c>
      <c r="S263" s="35">
        <v>0</v>
      </c>
      <c r="T263" s="4">
        <f t="shared" si="52"/>
        <v>1</v>
      </c>
      <c r="U263" s="11">
        <v>10</v>
      </c>
      <c r="V263" s="35">
        <v>0</v>
      </c>
      <c r="W263" s="35">
        <v>0</v>
      </c>
      <c r="X263" s="4">
        <f t="shared" si="53"/>
        <v>1</v>
      </c>
      <c r="Y263" s="11">
        <v>40</v>
      </c>
      <c r="Z263" s="44">
        <f t="shared" si="60"/>
        <v>1.0857142857142856</v>
      </c>
      <c r="AA263" s="45">
        <v>317</v>
      </c>
      <c r="AB263" s="35">
        <f t="shared" si="54"/>
        <v>28.818181818181817</v>
      </c>
      <c r="AC263" s="35">
        <f t="shared" si="55"/>
        <v>31.3</v>
      </c>
      <c r="AD263" s="35">
        <f t="shared" si="56"/>
        <v>2.4818181818181841</v>
      </c>
      <c r="AE263" s="35">
        <v>-1.6</v>
      </c>
      <c r="AF263" s="35">
        <f t="shared" si="57"/>
        <v>29.7</v>
      </c>
      <c r="AG263" s="35">
        <f>MIN(AF263,14.4)</f>
        <v>14.4</v>
      </c>
      <c r="AH263" s="35">
        <f t="shared" si="58"/>
        <v>15.299999999999999</v>
      </c>
      <c r="AI263" s="35">
        <v>15.299999999999999</v>
      </c>
      <c r="AJ263" s="35">
        <f t="shared" si="59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0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10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10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10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10"/>
      <c r="GC263" s="9"/>
      <c r="GD263" s="9"/>
    </row>
    <row r="264" spans="1:186" s="2" customFormat="1" ht="17" customHeight="1">
      <c r="A264" s="14" t="s">
        <v>260</v>
      </c>
      <c r="B264" s="35">
        <v>0</v>
      </c>
      <c r="C264" s="35">
        <v>0</v>
      </c>
      <c r="D264" s="4">
        <f t="shared" si="50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100.2</v>
      </c>
      <c r="O264" s="35">
        <v>149.69999999999999</v>
      </c>
      <c r="P264" s="4">
        <f t="shared" si="51"/>
        <v>1.2294011976047903</v>
      </c>
      <c r="Q264" s="11">
        <v>20</v>
      </c>
      <c r="R264" s="35">
        <v>0</v>
      </c>
      <c r="S264" s="35">
        <v>0</v>
      </c>
      <c r="T264" s="4">
        <f t="shared" si="52"/>
        <v>1</v>
      </c>
      <c r="U264" s="11">
        <v>20</v>
      </c>
      <c r="V264" s="35">
        <v>0</v>
      </c>
      <c r="W264" s="35">
        <v>0</v>
      </c>
      <c r="X264" s="4">
        <f t="shared" si="53"/>
        <v>1</v>
      </c>
      <c r="Y264" s="11">
        <v>30</v>
      </c>
      <c r="Z264" s="44">
        <f t="shared" si="60"/>
        <v>1.0655431993156543</v>
      </c>
      <c r="AA264" s="45">
        <v>518</v>
      </c>
      <c r="AB264" s="35">
        <f t="shared" si="54"/>
        <v>47.090909090909093</v>
      </c>
      <c r="AC264" s="35">
        <f t="shared" si="55"/>
        <v>50.2</v>
      </c>
      <c r="AD264" s="35">
        <f t="shared" si="56"/>
        <v>3.1090909090909093</v>
      </c>
      <c r="AE264" s="35">
        <v>-0.9</v>
      </c>
      <c r="AF264" s="35">
        <f t="shared" si="57"/>
        <v>49.300000000000004</v>
      </c>
      <c r="AG264" s="35">
        <f>MIN(AF264,10.1)</f>
        <v>10.1</v>
      </c>
      <c r="AH264" s="35">
        <f t="shared" si="58"/>
        <v>39.200000000000003</v>
      </c>
      <c r="AI264" s="35">
        <v>39.200000000000003</v>
      </c>
      <c r="AJ264" s="35">
        <f t="shared" si="59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10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10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10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10"/>
      <c r="GC264" s="9"/>
      <c r="GD264" s="9"/>
    </row>
    <row r="265" spans="1:186" s="2" customFormat="1" ht="17" customHeight="1">
      <c r="A265" s="14" t="s">
        <v>261</v>
      </c>
      <c r="B265" s="35">
        <v>0</v>
      </c>
      <c r="C265" s="35">
        <v>0</v>
      </c>
      <c r="D265" s="4">
        <f t="shared" si="50"/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270.10000000000002</v>
      </c>
      <c r="O265" s="35">
        <v>260.2</v>
      </c>
      <c r="P265" s="4">
        <f t="shared" si="51"/>
        <v>0.96334690855238791</v>
      </c>
      <c r="Q265" s="11">
        <v>20</v>
      </c>
      <c r="R265" s="35">
        <v>0</v>
      </c>
      <c r="S265" s="35">
        <v>0</v>
      </c>
      <c r="T265" s="4">
        <f t="shared" si="52"/>
        <v>1</v>
      </c>
      <c r="U265" s="11">
        <v>10</v>
      </c>
      <c r="V265" s="35">
        <v>1.2</v>
      </c>
      <c r="W265" s="35">
        <v>1.2</v>
      </c>
      <c r="X265" s="4">
        <f t="shared" si="53"/>
        <v>1</v>
      </c>
      <c r="Y265" s="11">
        <v>40</v>
      </c>
      <c r="Z265" s="44">
        <f t="shared" si="60"/>
        <v>0.9895276881578251</v>
      </c>
      <c r="AA265" s="45">
        <v>424</v>
      </c>
      <c r="AB265" s="35">
        <f t="shared" si="54"/>
        <v>38.545454545454547</v>
      </c>
      <c r="AC265" s="35">
        <f t="shared" si="55"/>
        <v>38.1</v>
      </c>
      <c r="AD265" s="35">
        <f t="shared" si="56"/>
        <v>-0.44545454545454533</v>
      </c>
      <c r="AE265" s="35">
        <v>1.4</v>
      </c>
      <c r="AF265" s="35">
        <f t="shared" si="57"/>
        <v>39.5</v>
      </c>
      <c r="AG265" s="35">
        <f>MIN(AF265,3.5)</f>
        <v>3.5</v>
      </c>
      <c r="AH265" s="35">
        <f t="shared" si="58"/>
        <v>36</v>
      </c>
      <c r="AI265" s="35">
        <v>36</v>
      </c>
      <c r="AJ265" s="35">
        <f t="shared" si="59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10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10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10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10"/>
      <c r="GC265" s="9"/>
      <c r="GD265" s="9"/>
    </row>
    <row r="266" spans="1:186" s="2" customFormat="1" ht="17" customHeight="1">
      <c r="A266" s="14" t="s">
        <v>262</v>
      </c>
      <c r="B266" s="35">
        <v>0</v>
      </c>
      <c r="C266" s="35">
        <v>0</v>
      </c>
      <c r="D266" s="4">
        <f t="shared" si="50"/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98</v>
      </c>
      <c r="O266" s="35">
        <v>163</v>
      </c>
      <c r="P266" s="4">
        <f t="shared" si="51"/>
        <v>1.2463265306122449</v>
      </c>
      <c r="Q266" s="11">
        <v>20</v>
      </c>
      <c r="R266" s="35">
        <v>7</v>
      </c>
      <c r="S266" s="35">
        <v>7.8</v>
      </c>
      <c r="T266" s="4">
        <f t="shared" si="52"/>
        <v>1.1142857142857143</v>
      </c>
      <c r="U266" s="11">
        <v>20</v>
      </c>
      <c r="V266" s="35">
        <v>1</v>
      </c>
      <c r="W266" s="35">
        <v>1</v>
      </c>
      <c r="X266" s="4">
        <f t="shared" si="53"/>
        <v>1</v>
      </c>
      <c r="Y266" s="11">
        <v>30</v>
      </c>
      <c r="Z266" s="44">
        <f t="shared" si="60"/>
        <v>1.1030320699708454</v>
      </c>
      <c r="AA266" s="45">
        <v>1106</v>
      </c>
      <c r="AB266" s="35">
        <f t="shared" si="54"/>
        <v>100.54545454545455</v>
      </c>
      <c r="AC266" s="35">
        <f t="shared" si="55"/>
        <v>110.9</v>
      </c>
      <c r="AD266" s="35">
        <f t="shared" si="56"/>
        <v>10.354545454545459</v>
      </c>
      <c r="AE266" s="35">
        <v>0.9</v>
      </c>
      <c r="AF266" s="35">
        <f t="shared" si="57"/>
        <v>111.80000000000001</v>
      </c>
      <c r="AG266" s="35"/>
      <c r="AH266" s="35">
        <f t="shared" si="58"/>
        <v>111.80000000000001</v>
      </c>
      <c r="AI266" s="35">
        <v>111.80000000000001</v>
      </c>
      <c r="AJ266" s="35">
        <f t="shared" si="59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0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10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10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10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10"/>
      <c r="GC266" s="9"/>
      <c r="GD266" s="9"/>
    </row>
    <row r="267" spans="1:186" s="2" customFormat="1" ht="17" customHeight="1">
      <c r="A267" s="14" t="s">
        <v>263</v>
      </c>
      <c r="B267" s="35">
        <v>118</v>
      </c>
      <c r="C267" s="35">
        <v>175</v>
      </c>
      <c r="D267" s="4">
        <f t="shared" si="50"/>
        <v>1.2283050847457626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79.099999999999994</v>
      </c>
      <c r="O267" s="35">
        <v>191</v>
      </c>
      <c r="P267" s="4">
        <f t="shared" si="51"/>
        <v>1.3</v>
      </c>
      <c r="Q267" s="11">
        <v>20</v>
      </c>
      <c r="R267" s="35">
        <v>0</v>
      </c>
      <c r="S267" s="35">
        <v>0</v>
      </c>
      <c r="T267" s="4">
        <f t="shared" si="52"/>
        <v>1</v>
      </c>
      <c r="U267" s="11">
        <v>20</v>
      </c>
      <c r="V267" s="35">
        <v>0.5</v>
      </c>
      <c r="W267" s="35">
        <v>0.5</v>
      </c>
      <c r="X267" s="4">
        <f t="shared" si="53"/>
        <v>1</v>
      </c>
      <c r="Y267" s="11">
        <v>30</v>
      </c>
      <c r="Z267" s="44">
        <f t="shared" si="60"/>
        <v>1.1035381355932203</v>
      </c>
      <c r="AA267" s="45">
        <v>595</v>
      </c>
      <c r="AB267" s="35">
        <f t="shared" si="54"/>
        <v>54.090909090909093</v>
      </c>
      <c r="AC267" s="35">
        <f t="shared" si="55"/>
        <v>59.7</v>
      </c>
      <c r="AD267" s="35">
        <f t="shared" si="56"/>
        <v>5.6090909090909093</v>
      </c>
      <c r="AE267" s="35">
        <v>2.8</v>
      </c>
      <c r="AF267" s="35">
        <f t="shared" si="57"/>
        <v>62.5</v>
      </c>
      <c r="AG267" s="35"/>
      <c r="AH267" s="35">
        <f t="shared" si="58"/>
        <v>62.5</v>
      </c>
      <c r="AI267" s="35">
        <v>62.5</v>
      </c>
      <c r="AJ267" s="35">
        <f t="shared" si="59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0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10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10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10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10"/>
      <c r="GC267" s="9"/>
      <c r="GD267" s="9"/>
    </row>
    <row r="268" spans="1:186" s="2" customFormat="1" ht="17" customHeight="1">
      <c r="A268" s="14" t="s">
        <v>264</v>
      </c>
      <c r="B268" s="35">
        <v>0</v>
      </c>
      <c r="C268" s="35">
        <v>0</v>
      </c>
      <c r="D268" s="4">
        <f t="shared" si="50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147.30000000000001</v>
      </c>
      <c r="O268" s="35">
        <v>165.2</v>
      </c>
      <c r="P268" s="4">
        <f t="shared" si="51"/>
        <v>1.1215207060420909</v>
      </c>
      <c r="Q268" s="11">
        <v>20</v>
      </c>
      <c r="R268" s="35">
        <v>5</v>
      </c>
      <c r="S268" s="35">
        <v>5.0999999999999996</v>
      </c>
      <c r="T268" s="4">
        <f t="shared" si="52"/>
        <v>1.02</v>
      </c>
      <c r="U268" s="11">
        <v>15</v>
      </c>
      <c r="V268" s="35">
        <v>1.2</v>
      </c>
      <c r="W268" s="35">
        <v>1.2</v>
      </c>
      <c r="X268" s="4">
        <f t="shared" si="53"/>
        <v>1</v>
      </c>
      <c r="Y268" s="11">
        <v>35</v>
      </c>
      <c r="Z268" s="44">
        <f t="shared" si="60"/>
        <v>1.039005916012026</v>
      </c>
      <c r="AA268" s="45">
        <v>684</v>
      </c>
      <c r="AB268" s="35">
        <f t="shared" si="54"/>
        <v>62.18181818181818</v>
      </c>
      <c r="AC268" s="35">
        <f t="shared" si="55"/>
        <v>64.599999999999994</v>
      </c>
      <c r="AD268" s="35">
        <f t="shared" si="56"/>
        <v>2.4181818181818144</v>
      </c>
      <c r="AE268" s="35">
        <v>-2.4</v>
      </c>
      <c r="AF268" s="35">
        <f t="shared" si="57"/>
        <v>62.199999999999996</v>
      </c>
      <c r="AG268" s="35"/>
      <c r="AH268" s="35">
        <f t="shared" si="58"/>
        <v>62.199999999999996</v>
      </c>
      <c r="AI268" s="35">
        <v>62.199999999999996</v>
      </c>
      <c r="AJ268" s="35">
        <f t="shared" si="59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0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10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10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10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10"/>
      <c r="GC268" s="9"/>
      <c r="GD268" s="9"/>
    </row>
    <row r="269" spans="1:186" s="2" customFormat="1" ht="17" customHeight="1">
      <c r="A269" s="14" t="s">
        <v>265</v>
      </c>
      <c r="B269" s="35">
        <v>0</v>
      </c>
      <c r="C269" s="35">
        <v>0</v>
      </c>
      <c r="D269" s="4">
        <f t="shared" si="50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74.2</v>
      </c>
      <c r="O269" s="35">
        <v>167.5</v>
      </c>
      <c r="P269" s="4">
        <f t="shared" si="51"/>
        <v>1.3</v>
      </c>
      <c r="Q269" s="11">
        <v>20</v>
      </c>
      <c r="R269" s="35">
        <v>5</v>
      </c>
      <c r="S269" s="35">
        <v>6.4</v>
      </c>
      <c r="T269" s="4">
        <f t="shared" si="52"/>
        <v>1.208</v>
      </c>
      <c r="U269" s="11">
        <v>20</v>
      </c>
      <c r="V269" s="35">
        <v>1.2</v>
      </c>
      <c r="W269" s="35">
        <v>1.2</v>
      </c>
      <c r="X269" s="4">
        <f t="shared" si="53"/>
        <v>1</v>
      </c>
      <c r="Y269" s="11">
        <v>30</v>
      </c>
      <c r="Z269" s="44">
        <f t="shared" si="60"/>
        <v>1.145142857142857</v>
      </c>
      <c r="AA269" s="45">
        <v>799</v>
      </c>
      <c r="AB269" s="35">
        <f t="shared" si="54"/>
        <v>72.63636363636364</v>
      </c>
      <c r="AC269" s="35">
        <f t="shared" si="55"/>
        <v>83.2</v>
      </c>
      <c r="AD269" s="35">
        <f t="shared" si="56"/>
        <v>10.563636363636363</v>
      </c>
      <c r="AE269" s="35">
        <v>-0.1</v>
      </c>
      <c r="AF269" s="35">
        <f t="shared" si="57"/>
        <v>83.100000000000009</v>
      </c>
      <c r="AG269" s="35"/>
      <c r="AH269" s="35">
        <f t="shared" si="58"/>
        <v>83.100000000000009</v>
      </c>
      <c r="AI269" s="35">
        <v>83.100000000000009</v>
      </c>
      <c r="AJ269" s="35">
        <f t="shared" si="59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0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10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10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10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10"/>
      <c r="GC269" s="9"/>
      <c r="GD269" s="9"/>
    </row>
    <row r="270" spans="1:186" s="2" customFormat="1" ht="17" customHeight="1">
      <c r="A270" s="14" t="s">
        <v>266</v>
      </c>
      <c r="B270" s="35">
        <v>0</v>
      </c>
      <c r="C270" s="35">
        <v>0</v>
      </c>
      <c r="D270" s="4">
        <f t="shared" si="50"/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62.6</v>
      </c>
      <c r="O270" s="35">
        <v>36.200000000000003</v>
      </c>
      <c r="P270" s="4">
        <f t="shared" si="51"/>
        <v>0.57827476038338665</v>
      </c>
      <c r="Q270" s="11">
        <v>20</v>
      </c>
      <c r="R270" s="35">
        <v>0</v>
      </c>
      <c r="S270" s="35">
        <v>0</v>
      </c>
      <c r="T270" s="4">
        <f t="shared" si="52"/>
        <v>1</v>
      </c>
      <c r="U270" s="11">
        <v>30</v>
      </c>
      <c r="V270" s="35">
        <v>0.5</v>
      </c>
      <c r="W270" s="35">
        <v>0.5</v>
      </c>
      <c r="X270" s="4">
        <f t="shared" si="53"/>
        <v>1</v>
      </c>
      <c r="Y270" s="11">
        <v>20</v>
      </c>
      <c r="Z270" s="44">
        <f t="shared" si="60"/>
        <v>0.87950707439525344</v>
      </c>
      <c r="AA270" s="45">
        <v>836</v>
      </c>
      <c r="AB270" s="35">
        <f t="shared" si="54"/>
        <v>76</v>
      </c>
      <c r="AC270" s="35">
        <f t="shared" si="55"/>
        <v>66.8</v>
      </c>
      <c r="AD270" s="35">
        <f t="shared" si="56"/>
        <v>-9.2000000000000028</v>
      </c>
      <c r="AE270" s="35">
        <v>0.2</v>
      </c>
      <c r="AF270" s="35">
        <f t="shared" si="57"/>
        <v>67</v>
      </c>
      <c r="AG270" s="35"/>
      <c r="AH270" s="35">
        <f t="shared" si="58"/>
        <v>67</v>
      </c>
      <c r="AI270" s="35">
        <v>67</v>
      </c>
      <c r="AJ270" s="35">
        <f t="shared" si="59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0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10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10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10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10"/>
      <c r="GC270" s="9"/>
      <c r="GD270" s="9"/>
    </row>
    <row r="271" spans="1:186" s="2" customFormat="1" ht="17" customHeight="1">
      <c r="A271" s="14" t="s">
        <v>267</v>
      </c>
      <c r="B271" s="35">
        <v>0</v>
      </c>
      <c r="C271" s="35">
        <v>0</v>
      </c>
      <c r="D271" s="4">
        <f t="shared" si="50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39.5</v>
      </c>
      <c r="O271" s="35">
        <v>117.8</v>
      </c>
      <c r="P271" s="4">
        <f t="shared" si="51"/>
        <v>1.3</v>
      </c>
      <c r="Q271" s="11">
        <v>20</v>
      </c>
      <c r="R271" s="35">
        <v>0</v>
      </c>
      <c r="S271" s="35">
        <v>6</v>
      </c>
      <c r="T271" s="4">
        <f t="shared" si="52"/>
        <v>1</v>
      </c>
      <c r="U271" s="11">
        <v>20</v>
      </c>
      <c r="V271" s="35">
        <v>1</v>
      </c>
      <c r="W271" s="35">
        <v>1.1000000000000001</v>
      </c>
      <c r="X271" s="4">
        <f t="shared" si="53"/>
        <v>1.1000000000000001</v>
      </c>
      <c r="Y271" s="11">
        <v>30</v>
      </c>
      <c r="Z271" s="44">
        <f t="shared" si="60"/>
        <v>1.1285714285714286</v>
      </c>
      <c r="AA271" s="45">
        <v>627</v>
      </c>
      <c r="AB271" s="35">
        <f t="shared" si="54"/>
        <v>57</v>
      </c>
      <c r="AC271" s="35">
        <f t="shared" si="55"/>
        <v>64.3</v>
      </c>
      <c r="AD271" s="35">
        <f t="shared" si="56"/>
        <v>7.2999999999999972</v>
      </c>
      <c r="AE271" s="35">
        <v>5.0999999999999996</v>
      </c>
      <c r="AF271" s="35">
        <f t="shared" si="57"/>
        <v>69.399999999999991</v>
      </c>
      <c r="AG271" s="35"/>
      <c r="AH271" s="35">
        <f t="shared" si="58"/>
        <v>69.399999999999991</v>
      </c>
      <c r="AI271" s="35">
        <v>69.399999999999991</v>
      </c>
      <c r="AJ271" s="35">
        <f t="shared" si="59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0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10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10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10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10"/>
      <c r="GC271" s="9"/>
      <c r="GD271" s="9"/>
    </row>
    <row r="272" spans="1:186" s="2" customFormat="1" ht="17" customHeight="1">
      <c r="A272" s="14" t="s">
        <v>268</v>
      </c>
      <c r="B272" s="35">
        <v>0</v>
      </c>
      <c r="C272" s="35">
        <v>0</v>
      </c>
      <c r="D272" s="4">
        <f t="shared" si="50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135.30000000000001</v>
      </c>
      <c r="O272" s="35">
        <v>188.2</v>
      </c>
      <c r="P272" s="4">
        <f t="shared" si="51"/>
        <v>1.2190983000739097</v>
      </c>
      <c r="Q272" s="11">
        <v>20</v>
      </c>
      <c r="R272" s="35">
        <v>4</v>
      </c>
      <c r="S272" s="35">
        <v>4.0999999999999996</v>
      </c>
      <c r="T272" s="4">
        <f t="shared" si="52"/>
        <v>1.0249999999999999</v>
      </c>
      <c r="U272" s="11">
        <v>15</v>
      </c>
      <c r="V272" s="35">
        <v>1</v>
      </c>
      <c r="W272" s="35">
        <v>1</v>
      </c>
      <c r="X272" s="4">
        <f t="shared" si="53"/>
        <v>1</v>
      </c>
      <c r="Y272" s="11">
        <v>35</v>
      </c>
      <c r="Z272" s="44">
        <f t="shared" si="60"/>
        <v>1.0679566571639743</v>
      </c>
      <c r="AA272" s="45">
        <v>743</v>
      </c>
      <c r="AB272" s="35">
        <f t="shared" si="54"/>
        <v>67.545454545454547</v>
      </c>
      <c r="AC272" s="35">
        <f t="shared" si="55"/>
        <v>72.099999999999994</v>
      </c>
      <c r="AD272" s="35">
        <f t="shared" si="56"/>
        <v>4.5545454545454476</v>
      </c>
      <c r="AE272" s="35">
        <v>-1.6</v>
      </c>
      <c r="AF272" s="35">
        <f t="shared" si="57"/>
        <v>70.5</v>
      </c>
      <c r="AG272" s="35"/>
      <c r="AH272" s="35">
        <f t="shared" si="58"/>
        <v>70.5</v>
      </c>
      <c r="AI272" s="35">
        <v>70.5</v>
      </c>
      <c r="AJ272" s="35">
        <f t="shared" si="59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0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10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10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10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10"/>
      <c r="GC272" s="9"/>
      <c r="GD272" s="9"/>
    </row>
    <row r="273" spans="1:186" s="2" customFormat="1" ht="17" customHeight="1">
      <c r="A273" s="14" t="s">
        <v>269</v>
      </c>
      <c r="B273" s="35">
        <v>0</v>
      </c>
      <c r="C273" s="35">
        <v>0</v>
      </c>
      <c r="D273" s="4">
        <f t="shared" si="50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20.8</v>
      </c>
      <c r="O273" s="35">
        <v>128.80000000000001</v>
      </c>
      <c r="P273" s="4">
        <f t="shared" si="51"/>
        <v>1.3</v>
      </c>
      <c r="Q273" s="11">
        <v>20</v>
      </c>
      <c r="R273" s="35">
        <v>16</v>
      </c>
      <c r="S273" s="35">
        <v>16.5</v>
      </c>
      <c r="T273" s="4">
        <f t="shared" si="52"/>
        <v>1.03125</v>
      </c>
      <c r="U273" s="11">
        <v>25</v>
      </c>
      <c r="V273" s="35">
        <v>1</v>
      </c>
      <c r="W273" s="35">
        <v>1</v>
      </c>
      <c r="X273" s="4">
        <f t="shared" si="53"/>
        <v>1</v>
      </c>
      <c r="Y273" s="11">
        <v>25</v>
      </c>
      <c r="Z273" s="44">
        <f t="shared" si="60"/>
        <v>1.096875</v>
      </c>
      <c r="AA273" s="45">
        <v>740</v>
      </c>
      <c r="AB273" s="35">
        <f t="shared" si="54"/>
        <v>67.272727272727266</v>
      </c>
      <c r="AC273" s="35">
        <f t="shared" si="55"/>
        <v>73.8</v>
      </c>
      <c r="AD273" s="35">
        <f t="shared" si="56"/>
        <v>6.5272727272727309</v>
      </c>
      <c r="AE273" s="35">
        <v>0.7</v>
      </c>
      <c r="AF273" s="35">
        <f t="shared" si="57"/>
        <v>74.5</v>
      </c>
      <c r="AG273" s="35"/>
      <c r="AH273" s="35">
        <f t="shared" si="58"/>
        <v>74.5</v>
      </c>
      <c r="AI273" s="35">
        <v>74.5</v>
      </c>
      <c r="AJ273" s="35">
        <f t="shared" si="59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0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10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10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10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10"/>
      <c r="GC273" s="9"/>
      <c r="GD273" s="9"/>
    </row>
    <row r="274" spans="1:186" s="2" customFormat="1" ht="17" customHeight="1">
      <c r="A274" s="14" t="s">
        <v>270</v>
      </c>
      <c r="B274" s="35">
        <v>0</v>
      </c>
      <c r="C274" s="35">
        <v>0</v>
      </c>
      <c r="D274" s="4">
        <f t="shared" si="50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99.6</v>
      </c>
      <c r="O274" s="35">
        <v>179.4</v>
      </c>
      <c r="P274" s="4">
        <f t="shared" si="51"/>
        <v>1.2601204819277108</v>
      </c>
      <c r="Q274" s="11">
        <v>20</v>
      </c>
      <c r="R274" s="35">
        <v>9</v>
      </c>
      <c r="S274" s="35">
        <v>9.4</v>
      </c>
      <c r="T274" s="4">
        <f t="shared" si="52"/>
        <v>1.0444444444444445</v>
      </c>
      <c r="U274" s="11">
        <v>20</v>
      </c>
      <c r="V274" s="35">
        <v>1.2</v>
      </c>
      <c r="W274" s="35">
        <v>1.2</v>
      </c>
      <c r="X274" s="4">
        <f t="shared" si="53"/>
        <v>1</v>
      </c>
      <c r="Y274" s="11">
        <v>30</v>
      </c>
      <c r="Z274" s="44">
        <f t="shared" si="60"/>
        <v>1.0870185503920442</v>
      </c>
      <c r="AA274" s="45">
        <v>891</v>
      </c>
      <c r="AB274" s="35">
        <f t="shared" si="54"/>
        <v>81</v>
      </c>
      <c r="AC274" s="35">
        <f t="shared" si="55"/>
        <v>88</v>
      </c>
      <c r="AD274" s="35">
        <f t="shared" si="56"/>
        <v>7</v>
      </c>
      <c r="AE274" s="35">
        <v>1.2</v>
      </c>
      <c r="AF274" s="35">
        <f t="shared" si="57"/>
        <v>89.2</v>
      </c>
      <c r="AG274" s="35"/>
      <c r="AH274" s="35">
        <f t="shared" si="58"/>
        <v>89.2</v>
      </c>
      <c r="AI274" s="35">
        <v>89.2</v>
      </c>
      <c r="AJ274" s="35">
        <f t="shared" si="59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0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10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10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10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10"/>
      <c r="GC274" s="9"/>
      <c r="GD274" s="9"/>
    </row>
    <row r="275" spans="1:186" s="2" customFormat="1" ht="17" customHeight="1">
      <c r="A275" s="14" t="s">
        <v>271</v>
      </c>
      <c r="B275" s="35">
        <v>8347</v>
      </c>
      <c r="C275" s="35">
        <v>10855.6</v>
      </c>
      <c r="D275" s="4">
        <f t="shared" si="50"/>
        <v>1.2100539115850006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1419.1</v>
      </c>
      <c r="O275" s="35">
        <v>1522.4</v>
      </c>
      <c r="P275" s="4">
        <f t="shared" si="51"/>
        <v>1.0727926150377001</v>
      </c>
      <c r="Q275" s="11">
        <v>20</v>
      </c>
      <c r="R275" s="35">
        <v>4</v>
      </c>
      <c r="S275" s="35">
        <v>3.9</v>
      </c>
      <c r="T275" s="4">
        <f t="shared" si="52"/>
        <v>0.97499999999999998</v>
      </c>
      <c r="U275" s="11">
        <v>15</v>
      </c>
      <c r="V275" s="35">
        <v>0.5</v>
      </c>
      <c r="W275" s="35">
        <v>0.5</v>
      </c>
      <c r="X275" s="4">
        <f t="shared" si="53"/>
        <v>1</v>
      </c>
      <c r="Y275" s="11">
        <v>35</v>
      </c>
      <c r="Z275" s="44">
        <f t="shared" si="60"/>
        <v>1.0397673927075501</v>
      </c>
      <c r="AA275" s="45">
        <v>947</v>
      </c>
      <c r="AB275" s="35">
        <f t="shared" si="54"/>
        <v>86.090909090909093</v>
      </c>
      <c r="AC275" s="35">
        <f t="shared" si="55"/>
        <v>89.5</v>
      </c>
      <c r="AD275" s="35">
        <f t="shared" si="56"/>
        <v>3.4090909090909065</v>
      </c>
      <c r="AE275" s="35">
        <v>0.6</v>
      </c>
      <c r="AF275" s="35">
        <f t="shared" si="57"/>
        <v>90.1</v>
      </c>
      <c r="AG275" s="35">
        <f>MIN(AF275,2.5)</f>
        <v>2.5</v>
      </c>
      <c r="AH275" s="35">
        <f t="shared" si="58"/>
        <v>87.6</v>
      </c>
      <c r="AI275" s="35">
        <v>87.6</v>
      </c>
      <c r="AJ275" s="35">
        <f t="shared" si="59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0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10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10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10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10"/>
      <c r="GC275" s="9"/>
      <c r="GD275" s="9"/>
    </row>
    <row r="276" spans="1:186" s="2" customFormat="1" ht="17" customHeight="1">
      <c r="A276" s="14" t="s">
        <v>272</v>
      </c>
      <c r="B276" s="35">
        <v>3994</v>
      </c>
      <c r="C276" s="35">
        <v>2678</v>
      </c>
      <c r="D276" s="4">
        <f t="shared" si="50"/>
        <v>0.67050575863795692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667.5</v>
      </c>
      <c r="O276" s="35">
        <v>327.60000000000002</v>
      </c>
      <c r="P276" s="4">
        <f t="shared" si="51"/>
        <v>0.4907865168539326</v>
      </c>
      <c r="Q276" s="11">
        <v>20</v>
      </c>
      <c r="R276" s="35">
        <v>0</v>
      </c>
      <c r="S276" s="35">
        <v>0</v>
      </c>
      <c r="T276" s="4">
        <f t="shared" si="52"/>
        <v>1</v>
      </c>
      <c r="U276" s="11">
        <v>25</v>
      </c>
      <c r="V276" s="35">
        <v>0.1</v>
      </c>
      <c r="W276" s="35">
        <v>0</v>
      </c>
      <c r="X276" s="4">
        <f t="shared" si="53"/>
        <v>0</v>
      </c>
      <c r="Y276" s="11">
        <v>25</v>
      </c>
      <c r="Z276" s="44">
        <f t="shared" si="60"/>
        <v>0.51900984904322778</v>
      </c>
      <c r="AA276" s="45">
        <v>570</v>
      </c>
      <c r="AB276" s="35">
        <f t="shared" si="54"/>
        <v>51.81818181818182</v>
      </c>
      <c r="AC276" s="35">
        <f t="shared" si="55"/>
        <v>26.9</v>
      </c>
      <c r="AD276" s="35">
        <f t="shared" si="56"/>
        <v>-24.918181818181822</v>
      </c>
      <c r="AE276" s="35">
        <v>-0.9</v>
      </c>
      <c r="AF276" s="35">
        <f t="shared" si="57"/>
        <v>26</v>
      </c>
      <c r="AG276" s="35">
        <f>MIN(AF276,25.9)</f>
        <v>25.9</v>
      </c>
      <c r="AH276" s="35">
        <f t="shared" si="58"/>
        <v>0.10000000000000142</v>
      </c>
      <c r="AI276" s="35">
        <v>0.1</v>
      </c>
      <c r="AJ276" s="35">
        <f t="shared" si="59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0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10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10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10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10"/>
      <c r="GC276" s="9"/>
      <c r="GD276" s="9"/>
    </row>
    <row r="277" spans="1:186" s="2" customFormat="1" ht="17" customHeight="1">
      <c r="A277" s="14" t="s">
        <v>273</v>
      </c>
      <c r="B277" s="35">
        <v>59504</v>
      </c>
      <c r="C277" s="35">
        <v>39967.9</v>
      </c>
      <c r="D277" s="4">
        <f t="shared" si="50"/>
        <v>0.67168425652057007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638</v>
      </c>
      <c r="O277" s="35">
        <v>474.4</v>
      </c>
      <c r="P277" s="4">
        <f t="shared" si="51"/>
        <v>0.74357366771159872</v>
      </c>
      <c r="Q277" s="11">
        <v>20</v>
      </c>
      <c r="R277" s="35">
        <v>10</v>
      </c>
      <c r="S277" s="35">
        <v>9.1</v>
      </c>
      <c r="T277" s="4">
        <f t="shared" si="52"/>
        <v>0.90999999999999992</v>
      </c>
      <c r="U277" s="11">
        <v>5</v>
      </c>
      <c r="V277" s="35">
        <v>1.5</v>
      </c>
      <c r="W277" s="35">
        <v>1.6</v>
      </c>
      <c r="X277" s="4">
        <f t="shared" si="53"/>
        <v>1.0666666666666667</v>
      </c>
      <c r="Y277" s="11">
        <v>45</v>
      </c>
      <c r="Z277" s="44">
        <f t="shared" si="60"/>
        <v>0.92672894899297087</v>
      </c>
      <c r="AA277" s="45">
        <v>878</v>
      </c>
      <c r="AB277" s="35">
        <f t="shared" si="54"/>
        <v>79.818181818181813</v>
      </c>
      <c r="AC277" s="35">
        <f t="shared" si="55"/>
        <v>74</v>
      </c>
      <c r="AD277" s="35">
        <f t="shared" si="56"/>
        <v>-5.818181818181813</v>
      </c>
      <c r="AE277" s="35">
        <v>-0.7</v>
      </c>
      <c r="AF277" s="35">
        <f t="shared" si="57"/>
        <v>73.3</v>
      </c>
      <c r="AG277" s="35">
        <f>MIN(AF277,38)</f>
        <v>38</v>
      </c>
      <c r="AH277" s="35">
        <f t="shared" si="58"/>
        <v>35.299999999999997</v>
      </c>
      <c r="AI277" s="35">
        <v>35.299999999999997</v>
      </c>
      <c r="AJ277" s="35">
        <f t="shared" si="59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0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10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10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10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10"/>
      <c r="GC277" s="9"/>
      <c r="GD277" s="9"/>
    </row>
    <row r="278" spans="1:186" s="2" customFormat="1" ht="17" customHeight="1">
      <c r="A278" s="14" t="s">
        <v>274</v>
      </c>
      <c r="B278" s="35">
        <v>49124</v>
      </c>
      <c r="C278" s="35">
        <v>45517.4</v>
      </c>
      <c r="D278" s="4">
        <f t="shared" si="50"/>
        <v>0.92658171158700431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3412.6</v>
      </c>
      <c r="O278" s="35">
        <v>3035.1</v>
      </c>
      <c r="P278" s="4">
        <f t="shared" si="51"/>
        <v>0.88938053097345138</v>
      </c>
      <c r="Q278" s="11">
        <v>20</v>
      </c>
      <c r="R278" s="35">
        <v>0</v>
      </c>
      <c r="S278" s="35">
        <v>0</v>
      </c>
      <c r="T278" s="4">
        <f t="shared" si="52"/>
        <v>1</v>
      </c>
      <c r="U278" s="11">
        <v>10</v>
      </c>
      <c r="V278" s="35">
        <v>0.1</v>
      </c>
      <c r="W278" s="35">
        <v>0</v>
      </c>
      <c r="X278" s="4">
        <f t="shared" si="53"/>
        <v>0</v>
      </c>
      <c r="Y278" s="11">
        <v>40</v>
      </c>
      <c r="Z278" s="44">
        <f t="shared" si="60"/>
        <v>0.46316784669173838</v>
      </c>
      <c r="AA278" s="45">
        <v>0</v>
      </c>
      <c r="AB278" s="35">
        <f t="shared" si="54"/>
        <v>0</v>
      </c>
      <c r="AC278" s="35">
        <f t="shared" si="55"/>
        <v>0</v>
      </c>
      <c r="AD278" s="35">
        <f t="shared" si="56"/>
        <v>0</v>
      </c>
      <c r="AE278" s="35">
        <v>0</v>
      </c>
      <c r="AF278" s="35">
        <f t="shared" si="57"/>
        <v>0</v>
      </c>
      <c r="AG278" s="35"/>
      <c r="AH278" s="35">
        <f t="shared" si="58"/>
        <v>0</v>
      </c>
      <c r="AI278" s="35">
        <v>0</v>
      </c>
      <c r="AJ278" s="35">
        <f t="shared" si="59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0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10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10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10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10"/>
      <c r="GC278" s="9"/>
      <c r="GD278" s="9"/>
    </row>
    <row r="279" spans="1:186" s="2" customFormat="1" ht="17" customHeight="1">
      <c r="A279" s="14" t="s">
        <v>167</v>
      </c>
      <c r="B279" s="35">
        <v>0</v>
      </c>
      <c r="C279" s="35">
        <v>0</v>
      </c>
      <c r="D279" s="4">
        <f t="shared" si="50"/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80.599999999999994</v>
      </c>
      <c r="O279" s="35">
        <v>444</v>
      </c>
      <c r="P279" s="4">
        <f t="shared" si="51"/>
        <v>1.3</v>
      </c>
      <c r="Q279" s="11">
        <v>20</v>
      </c>
      <c r="R279" s="35">
        <v>96</v>
      </c>
      <c r="S279" s="35">
        <v>96.7</v>
      </c>
      <c r="T279" s="4">
        <f t="shared" si="52"/>
        <v>1.0072916666666667</v>
      </c>
      <c r="U279" s="11">
        <v>25</v>
      </c>
      <c r="V279" s="35">
        <v>2.5</v>
      </c>
      <c r="W279" s="35">
        <v>2.6</v>
      </c>
      <c r="X279" s="4">
        <f t="shared" si="53"/>
        <v>1.04</v>
      </c>
      <c r="Y279" s="11">
        <v>25</v>
      </c>
      <c r="Z279" s="44">
        <f t="shared" si="60"/>
        <v>1.1026041666666668</v>
      </c>
      <c r="AA279" s="45">
        <v>857</v>
      </c>
      <c r="AB279" s="35">
        <f t="shared" si="54"/>
        <v>77.909090909090907</v>
      </c>
      <c r="AC279" s="35">
        <f t="shared" si="55"/>
        <v>85.9</v>
      </c>
      <c r="AD279" s="35">
        <f t="shared" si="56"/>
        <v>7.9909090909090992</v>
      </c>
      <c r="AE279" s="35">
        <v>-1.5</v>
      </c>
      <c r="AF279" s="35">
        <f t="shared" si="57"/>
        <v>84.4</v>
      </c>
      <c r="AG279" s="35"/>
      <c r="AH279" s="35">
        <f t="shared" si="58"/>
        <v>84.4</v>
      </c>
      <c r="AI279" s="35">
        <v>84.4</v>
      </c>
      <c r="AJ279" s="35">
        <f t="shared" si="59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0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10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10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10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10"/>
      <c r="GC279" s="9"/>
      <c r="GD279" s="9"/>
    </row>
    <row r="280" spans="1:186" s="2" customFormat="1" ht="17" customHeight="1">
      <c r="A280" s="18" t="s">
        <v>275</v>
      </c>
      <c r="B280" s="6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35"/>
      <c r="AF280" s="35"/>
      <c r="AG280" s="35"/>
      <c r="AH280" s="35"/>
      <c r="AI280" s="35"/>
      <c r="AJ280" s="35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0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10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10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10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10"/>
      <c r="GC280" s="9"/>
      <c r="GD280" s="9"/>
    </row>
    <row r="281" spans="1:186" s="2" customFormat="1" ht="17" customHeight="1">
      <c r="A281" s="46" t="s">
        <v>71</v>
      </c>
      <c r="B281" s="35">
        <v>92094</v>
      </c>
      <c r="C281" s="35">
        <v>71974</v>
      </c>
      <c r="D281" s="4">
        <f t="shared" si="50"/>
        <v>0.78152756965708947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298</v>
      </c>
      <c r="O281" s="35">
        <v>223.7</v>
      </c>
      <c r="P281" s="4">
        <f t="shared" si="51"/>
        <v>0.7506711409395973</v>
      </c>
      <c r="Q281" s="11">
        <v>20</v>
      </c>
      <c r="R281" s="35">
        <v>0</v>
      </c>
      <c r="S281" s="35">
        <v>0</v>
      </c>
      <c r="T281" s="4">
        <f t="shared" si="52"/>
        <v>1</v>
      </c>
      <c r="U281" s="11">
        <v>5</v>
      </c>
      <c r="V281" s="35">
        <v>950</v>
      </c>
      <c r="W281" s="35">
        <v>746.8</v>
      </c>
      <c r="X281" s="4">
        <f t="shared" si="53"/>
        <v>0.78610526315789464</v>
      </c>
      <c r="Y281" s="11">
        <v>45</v>
      </c>
      <c r="Z281" s="44">
        <f t="shared" si="60"/>
        <v>0.79004294196835123</v>
      </c>
      <c r="AA281" s="45">
        <v>579</v>
      </c>
      <c r="AB281" s="35">
        <f t="shared" si="54"/>
        <v>52.636363636363633</v>
      </c>
      <c r="AC281" s="35">
        <f t="shared" si="55"/>
        <v>41.6</v>
      </c>
      <c r="AD281" s="35">
        <f t="shared" si="56"/>
        <v>-11.036363636363632</v>
      </c>
      <c r="AE281" s="35">
        <v>-1.2</v>
      </c>
      <c r="AF281" s="35">
        <f t="shared" si="57"/>
        <v>40.4</v>
      </c>
      <c r="AG281" s="35"/>
      <c r="AH281" s="35">
        <f t="shared" si="58"/>
        <v>40.4</v>
      </c>
      <c r="AI281" s="35">
        <v>40.4</v>
      </c>
      <c r="AJ281" s="35">
        <f t="shared" si="59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0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10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10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10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10"/>
      <c r="GC281" s="9"/>
      <c r="GD281" s="9"/>
    </row>
    <row r="282" spans="1:186" s="2" customFormat="1" ht="17" customHeight="1">
      <c r="A282" s="46" t="s">
        <v>276</v>
      </c>
      <c r="B282" s="35">
        <v>0</v>
      </c>
      <c r="C282" s="35">
        <v>127.4</v>
      </c>
      <c r="D282" s="4">
        <f t="shared" si="50"/>
        <v>1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30.8</v>
      </c>
      <c r="O282" s="35">
        <v>48.6</v>
      </c>
      <c r="P282" s="4">
        <f t="shared" si="51"/>
        <v>1.2377922077922077</v>
      </c>
      <c r="Q282" s="11">
        <v>20</v>
      </c>
      <c r="R282" s="35">
        <v>0</v>
      </c>
      <c r="S282" s="35">
        <v>0</v>
      </c>
      <c r="T282" s="4">
        <f t="shared" si="52"/>
        <v>1</v>
      </c>
      <c r="U282" s="11">
        <v>20</v>
      </c>
      <c r="V282" s="35">
        <v>0</v>
      </c>
      <c r="W282" s="35">
        <v>0</v>
      </c>
      <c r="X282" s="4">
        <f t="shared" si="53"/>
        <v>1</v>
      </c>
      <c r="Y282" s="11">
        <v>30</v>
      </c>
      <c r="Z282" s="44">
        <f t="shared" si="60"/>
        <v>1.059448051948052</v>
      </c>
      <c r="AA282" s="45">
        <v>561</v>
      </c>
      <c r="AB282" s="35">
        <f t="shared" si="54"/>
        <v>51</v>
      </c>
      <c r="AC282" s="35">
        <f t="shared" si="55"/>
        <v>54</v>
      </c>
      <c r="AD282" s="35">
        <f t="shared" si="56"/>
        <v>3</v>
      </c>
      <c r="AE282" s="35">
        <v>1</v>
      </c>
      <c r="AF282" s="35">
        <f t="shared" si="57"/>
        <v>55</v>
      </c>
      <c r="AG282" s="35"/>
      <c r="AH282" s="35">
        <f t="shared" si="58"/>
        <v>55</v>
      </c>
      <c r="AI282" s="35">
        <v>55</v>
      </c>
      <c r="AJ282" s="35">
        <f t="shared" si="59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0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10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10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10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10"/>
      <c r="GC282" s="9"/>
      <c r="GD282" s="9"/>
    </row>
    <row r="283" spans="1:186" s="2" customFormat="1" ht="17" customHeight="1">
      <c r="A283" s="46" t="s">
        <v>277</v>
      </c>
      <c r="B283" s="35">
        <v>0</v>
      </c>
      <c r="C283" s="35">
        <v>0</v>
      </c>
      <c r="D283" s="4">
        <f t="shared" si="50"/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94.6</v>
      </c>
      <c r="O283" s="35">
        <v>55.6</v>
      </c>
      <c r="P283" s="4">
        <f t="shared" si="51"/>
        <v>0.58773784355179715</v>
      </c>
      <c r="Q283" s="11">
        <v>20</v>
      </c>
      <c r="R283" s="35">
        <v>0</v>
      </c>
      <c r="S283" s="35">
        <v>0</v>
      </c>
      <c r="T283" s="4">
        <f t="shared" si="52"/>
        <v>1</v>
      </c>
      <c r="U283" s="11">
        <v>25</v>
      </c>
      <c r="V283" s="35">
        <v>0</v>
      </c>
      <c r="W283" s="35">
        <v>0</v>
      </c>
      <c r="X283" s="4">
        <f t="shared" si="53"/>
        <v>1</v>
      </c>
      <c r="Y283" s="11">
        <v>25</v>
      </c>
      <c r="Z283" s="44">
        <f t="shared" si="60"/>
        <v>0.88221081244337063</v>
      </c>
      <c r="AA283" s="45">
        <v>477</v>
      </c>
      <c r="AB283" s="35">
        <f t="shared" si="54"/>
        <v>43.363636363636367</v>
      </c>
      <c r="AC283" s="35">
        <f t="shared" si="55"/>
        <v>38.299999999999997</v>
      </c>
      <c r="AD283" s="35">
        <f t="shared" si="56"/>
        <v>-5.0636363636363697</v>
      </c>
      <c r="AE283" s="35">
        <v>0</v>
      </c>
      <c r="AF283" s="35">
        <f t="shared" si="57"/>
        <v>38.299999999999997</v>
      </c>
      <c r="AG283" s="35"/>
      <c r="AH283" s="35">
        <f t="shared" si="58"/>
        <v>38.299999999999997</v>
      </c>
      <c r="AI283" s="35">
        <v>38.299999999999997</v>
      </c>
      <c r="AJ283" s="35">
        <f t="shared" si="59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0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10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10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10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10"/>
      <c r="GC283" s="9"/>
      <c r="GD283" s="9"/>
    </row>
    <row r="284" spans="1:186" s="2" customFormat="1" ht="17" customHeight="1">
      <c r="A284" s="46" t="s">
        <v>53</v>
      </c>
      <c r="B284" s="35">
        <v>588111</v>
      </c>
      <c r="C284" s="35">
        <v>646942.80000000005</v>
      </c>
      <c r="D284" s="4">
        <f t="shared" si="50"/>
        <v>1.1000351974372187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3142.7</v>
      </c>
      <c r="O284" s="35">
        <v>3340.4</v>
      </c>
      <c r="P284" s="4">
        <f t="shared" si="51"/>
        <v>1.0629076908390875</v>
      </c>
      <c r="Q284" s="11">
        <v>20</v>
      </c>
      <c r="R284" s="35">
        <v>280</v>
      </c>
      <c r="S284" s="35">
        <v>255.6</v>
      </c>
      <c r="T284" s="4">
        <f t="shared" si="52"/>
        <v>0.91285714285714281</v>
      </c>
      <c r="U284" s="11">
        <v>35</v>
      </c>
      <c r="V284" s="35">
        <v>0</v>
      </c>
      <c r="W284" s="35">
        <v>0</v>
      </c>
      <c r="X284" s="4">
        <f t="shared" si="53"/>
        <v>1</v>
      </c>
      <c r="Y284" s="11">
        <v>15</v>
      </c>
      <c r="Z284" s="44">
        <f t="shared" si="60"/>
        <v>0.9901063223894242</v>
      </c>
      <c r="AA284" s="45">
        <v>62</v>
      </c>
      <c r="AB284" s="35">
        <f t="shared" si="54"/>
        <v>5.6363636363636367</v>
      </c>
      <c r="AC284" s="35">
        <f t="shared" si="55"/>
        <v>5.6</v>
      </c>
      <c r="AD284" s="35">
        <f t="shared" si="56"/>
        <v>-3.6363636363637042E-2</v>
      </c>
      <c r="AE284" s="35">
        <v>0.1</v>
      </c>
      <c r="AF284" s="35">
        <f t="shared" si="57"/>
        <v>5.6999999999999993</v>
      </c>
      <c r="AG284" s="35"/>
      <c r="AH284" s="35">
        <f t="shared" si="58"/>
        <v>5.6999999999999993</v>
      </c>
      <c r="AI284" s="35">
        <v>5.6999999999999993</v>
      </c>
      <c r="AJ284" s="35">
        <f t="shared" si="59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10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10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10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10"/>
      <c r="GC284" s="9"/>
      <c r="GD284" s="9"/>
    </row>
    <row r="285" spans="1:186" s="2" customFormat="1" ht="17" customHeight="1">
      <c r="A285" s="46" t="s">
        <v>278</v>
      </c>
      <c r="B285" s="35">
        <v>253</v>
      </c>
      <c r="C285" s="35">
        <v>282.3</v>
      </c>
      <c r="D285" s="4">
        <f t="shared" si="50"/>
        <v>1.1158102766798419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358.2</v>
      </c>
      <c r="O285" s="35">
        <v>63</v>
      </c>
      <c r="P285" s="4">
        <f t="shared" si="51"/>
        <v>0.17587939698492464</v>
      </c>
      <c r="Q285" s="11">
        <v>20</v>
      </c>
      <c r="R285" s="35">
        <v>3</v>
      </c>
      <c r="S285" s="35">
        <v>0.7</v>
      </c>
      <c r="T285" s="4">
        <f t="shared" si="52"/>
        <v>0.23333333333333331</v>
      </c>
      <c r="U285" s="11">
        <v>35</v>
      </c>
      <c r="V285" s="35">
        <v>0</v>
      </c>
      <c r="W285" s="35">
        <v>0</v>
      </c>
      <c r="X285" s="4">
        <f t="shared" si="53"/>
        <v>1</v>
      </c>
      <c r="Y285" s="11">
        <v>15</v>
      </c>
      <c r="Z285" s="44">
        <f t="shared" si="60"/>
        <v>0.47302946716454475</v>
      </c>
      <c r="AA285" s="45">
        <v>581</v>
      </c>
      <c r="AB285" s="35">
        <f t="shared" si="54"/>
        <v>52.81818181818182</v>
      </c>
      <c r="AC285" s="35">
        <f t="shared" si="55"/>
        <v>25</v>
      </c>
      <c r="AD285" s="35">
        <f t="shared" si="56"/>
        <v>-27.81818181818182</v>
      </c>
      <c r="AE285" s="35">
        <v>9.8000000000000007</v>
      </c>
      <c r="AF285" s="35">
        <f t="shared" si="57"/>
        <v>34.799999999999997</v>
      </c>
      <c r="AG285" s="35"/>
      <c r="AH285" s="35">
        <f t="shared" si="58"/>
        <v>34.799999999999997</v>
      </c>
      <c r="AI285" s="35">
        <v>34.799999999999997</v>
      </c>
      <c r="AJ285" s="35">
        <f t="shared" si="59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10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10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10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10"/>
      <c r="GC285" s="9"/>
      <c r="GD285" s="9"/>
    </row>
    <row r="286" spans="1:186" s="2" customFormat="1" ht="17" customHeight="1">
      <c r="A286" s="46" t="s">
        <v>279</v>
      </c>
      <c r="B286" s="35">
        <v>0</v>
      </c>
      <c r="C286" s="35">
        <v>314</v>
      </c>
      <c r="D286" s="4">
        <f t="shared" si="50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600</v>
      </c>
      <c r="O286" s="35">
        <v>127.9</v>
      </c>
      <c r="P286" s="4">
        <f t="shared" si="51"/>
        <v>0.21316666666666667</v>
      </c>
      <c r="Q286" s="11">
        <v>20</v>
      </c>
      <c r="R286" s="35">
        <v>140</v>
      </c>
      <c r="S286" s="35">
        <v>75.900000000000006</v>
      </c>
      <c r="T286" s="4">
        <f t="shared" si="52"/>
        <v>0.54214285714285715</v>
      </c>
      <c r="U286" s="11">
        <v>30</v>
      </c>
      <c r="V286" s="35">
        <v>0</v>
      </c>
      <c r="W286" s="35">
        <v>0</v>
      </c>
      <c r="X286" s="4">
        <f t="shared" si="53"/>
        <v>1</v>
      </c>
      <c r="Y286" s="11">
        <v>20</v>
      </c>
      <c r="Z286" s="44">
        <f t="shared" si="60"/>
        <v>0.57896598639455787</v>
      </c>
      <c r="AA286" s="45">
        <v>926</v>
      </c>
      <c r="AB286" s="35">
        <f t="shared" si="54"/>
        <v>84.181818181818187</v>
      </c>
      <c r="AC286" s="35">
        <f t="shared" si="55"/>
        <v>48.7</v>
      </c>
      <c r="AD286" s="35">
        <f t="shared" si="56"/>
        <v>-35.481818181818184</v>
      </c>
      <c r="AE286" s="35">
        <v>12.2</v>
      </c>
      <c r="AF286" s="35">
        <f t="shared" si="57"/>
        <v>60.900000000000006</v>
      </c>
      <c r="AG286" s="35">
        <f>MIN(AF286,42.1)</f>
        <v>42.1</v>
      </c>
      <c r="AH286" s="35">
        <f t="shared" si="58"/>
        <v>18.800000000000004</v>
      </c>
      <c r="AI286" s="35">
        <v>18.800000000000004</v>
      </c>
      <c r="AJ286" s="35">
        <f t="shared" si="59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0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10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10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10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10"/>
      <c r="GC286" s="9"/>
      <c r="GD286" s="9"/>
    </row>
    <row r="287" spans="1:186" s="2" customFormat="1" ht="17" customHeight="1">
      <c r="A287" s="46" t="s">
        <v>280</v>
      </c>
      <c r="B287" s="35">
        <v>225</v>
      </c>
      <c r="C287" s="35">
        <v>460</v>
      </c>
      <c r="D287" s="4">
        <f t="shared" si="50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559.5</v>
      </c>
      <c r="O287" s="35">
        <v>706.9</v>
      </c>
      <c r="P287" s="4">
        <f t="shared" si="51"/>
        <v>1.2063449508489723</v>
      </c>
      <c r="Q287" s="11">
        <v>20</v>
      </c>
      <c r="R287" s="35">
        <v>0</v>
      </c>
      <c r="S287" s="35">
        <v>0</v>
      </c>
      <c r="T287" s="4">
        <f t="shared" si="52"/>
        <v>1</v>
      </c>
      <c r="U287" s="11">
        <v>35</v>
      </c>
      <c r="V287" s="35">
        <v>0</v>
      </c>
      <c r="W287" s="35">
        <v>0</v>
      </c>
      <c r="X287" s="4">
        <f t="shared" si="53"/>
        <v>1</v>
      </c>
      <c r="Y287" s="11">
        <v>15</v>
      </c>
      <c r="Z287" s="44">
        <f t="shared" si="60"/>
        <v>1.0589557002425636</v>
      </c>
      <c r="AA287" s="45">
        <v>118</v>
      </c>
      <c r="AB287" s="35">
        <f t="shared" si="54"/>
        <v>10.727272727272727</v>
      </c>
      <c r="AC287" s="35">
        <f t="shared" si="55"/>
        <v>11.4</v>
      </c>
      <c r="AD287" s="35">
        <f t="shared" si="56"/>
        <v>0.67272727272727373</v>
      </c>
      <c r="AE287" s="35">
        <v>0.4</v>
      </c>
      <c r="AF287" s="35">
        <f t="shared" si="57"/>
        <v>11.8</v>
      </c>
      <c r="AG287" s="35"/>
      <c r="AH287" s="35">
        <f t="shared" si="58"/>
        <v>11.8</v>
      </c>
      <c r="AI287" s="35">
        <v>11.8</v>
      </c>
      <c r="AJ287" s="35">
        <f t="shared" si="59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0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10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10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10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10"/>
      <c r="GC287" s="9"/>
      <c r="GD287" s="9"/>
    </row>
    <row r="288" spans="1:186" s="2" customFormat="1" ht="17" customHeight="1">
      <c r="A288" s="46" t="s">
        <v>281</v>
      </c>
      <c r="B288" s="35">
        <v>0</v>
      </c>
      <c r="C288" s="35">
        <v>0</v>
      </c>
      <c r="D288" s="4">
        <f t="shared" si="50"/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173.3</v>
      </c>
      <c r="O288" s="35">
        <v>137.6</v>
      </c>
      <c r="P288" s="4">
        <f t="shared" si="51"/>
        <v>0.79399884593190995</v>
      </c>
      <c r="Q288" s="11">
        <v>20</v>
      </c>
      <c r="R288" s="35">
        <v>140</v>
      </c>
      <c r="S288" s="35">
        <v>132</v>
      </c>
      <c r="T288" s="4">
        <f t="shared" si="52"/>
        <v>0.94285714285714284</v>
      </c>
      <c r="U288" s="11">
        <v>40</v>
      </c>
      <c r="V288" s="35">
        <v>0</v>
      </c>
      <c r="W288" s="35">
        <v>0</v>
      </c>
      <c r="X288" s="4">
        <f t="shared" si="53"/>
        <v>1</v>
      </c>
      <c r="Y288" s="11">
        <v>10</v>
      </c>
      <c r="Z288" s="44">
        <f t="shared" si="60"/>
        <v>0.90848946618462734</v>
      </c>
      <c r="AA288" s="45">
        <v>1173</v>
      </c>
      <c r="AB288" s="35">
        <f t="shared" si="54"/>
        <v>106.63636363636364</v>
      </c>
      <c r="AC288" s="35">
        <f t="shared" si="55"/>
        <v>96.9</v>
      </c>
      <c r="AD288" s="35">
        <f t="shared" si="56"/>
        <v>-9.7363636363636346</v>
      </c>
      <c r="AE288" s="35">
        <v>-5</v>
      </c>
      <c r="AF288" s="35">
        <f t="shared" si="57"/>
        <v>91.9</v>
      </c>
      <c r="AG288" s="35"/>
      <c r="AH288" s="35">
        <f t="shared" si="58"/>
        <v>91.9</v>
      </c>
      <c r="AI288" s="35">
        <v>91.9</v>
      </c>
      <c r="AJ288" s="35">
        <f t="shared" si="59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0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10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10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10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10"/>
      <c r="GC288" s="9"/>
      <c r="GD288" s="9"/>
    </row>
    <row r="289" spans="1:186" s="2" customFormat="1" ht="17" customHeight="1">
      <c r="A289" s="46" t="s">
        <v>282</v>
      </c>
      <c r="B289" s="35">
        <v>0</v>
      </c>
      <c r="C289" s="35">
        <v>0</v>
      </c>
      <c r="D289" s="4">
        <f t="shared" si="50"/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92.9</v>
      </c>
      <c r="O289" s="35">
        <v>661.4</v>
      </c>
      <c r="P289" s="4">
        <f t="shared" si="51"/>
        <v>1.3</v>
      </c>
      <c r="Q289" s="11">
        <v>20</v>
      </c>
      <c r="R289" s="35">
        <v>0</v>
      </c>
      <c r="S289" s="35">
        <v>0</v>
      </c>
      <c r="T289" s="4">
        <f t="shared" si="52"/>
        <v>1</v>
      </c>
      <c r="U289" s="11">
        <v>40</v>
      </c>
      <c r="V289" s="35">
        <v>0</v>
      </c>
      <c r="W289" s="35">
        <v>0</v>
      </c>
      <c r="X289" s="4">
        <f t="shared" si="53"/>
        <v>1</v>
      </c>
      <c r="Y289" s="11">
        <v>10</v>
      </c>
      <c r="Z289" s="44">
        <f t="shared" si="60"/>
        <v>1.0857142857142856</v>
      </c>
      <c r="AA289" s="45">
        <v>519</v>
      </c>
      <c r="AB289" s="35">
        <f t="shared" si="54"/>
        <v>47.18181818181818</v>
      </c>
      <c r="AC289" s="35">
        <f t="shared" si="55"/>
        <v>51.2</v>
      </c>
      <c r="AD289" s="35">
        <f t="shared" si="56"/>
        <v>4.018181818181823</v>
      </c>
      <c r="AE289" s="35">
        <v>2.5</v>
      </c>
      <c r="AF289" s="35">
        <f t="shared" si="57"/>
        <v>53.7</v>
      </c>
      <c r="AG289" s="35"/>
      <c r="AH289" s="35">
        <f t="shared" si="58"/>
        <v>53.7</v>
      </c>
      <c r="AI289" s="35">
        <v>53.7</v>
      </c>
      <c r="AJ289" s="35">
        <f t="shared" si="59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0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10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10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10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10"/>
      <c r="GC289" s="9"/>
      <c r="GD289" s="9"/>
    </row>
    <row r="290" spans="1:186" s="2" customFormat="1" ht="17" customHeight="1">
      <c r="A290" s="46" t="s">
        <v>283</v>
      </c>
      <c r="B290" s="35">
        <v>427</v>
      </c>
      <c r="C290" s="35">
        <v>298</v>
      </c>
      <c r="D290" s="4">
        <f t="shared" si="50"/>
        <v>0.69789227166276346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775.1</v>
      </c>
      <c r="O290" s="35">
        <v>179.4</v>
      </c>
      <c r="P290" s="4">
        <f t="shared" si="51"/>
        <v>0.2314540059347181</v>
      </c>
      <c r="Q290" s="11">
        <v>20</v>
      </c>
      <c r="R290" s="35">
        <v>240</v>
      </c>
      <c r="S290" s="35">
        <v>271.5</v>
      </c>
      <c r="T290" s="4">
        <f t="shared" si="52"/>
        <v>1.1312500000000001</v>
      </c>
      <c r="U290" s="11">
        <v>35</v>
      </c>
      <c r="V290" s="35">
        <v>0</v>
      </c>
      <c r="W290" s="35">
        <v>0</v>
      </c>
      <c r="X290" s="4">
        <f t="shared" si="53"/>
        <v>1</v>
      </c>
      <c r="Y290" s="11">
        <v>15</v>
      </c>
      <c r="Z290" s="44">
        <f t="shared" si="60"/>
        <v>0.82752191044152501</v>
      </c>
      <c r="AA290" s="45">
        <v>600</v>
      </c>
      <c r="AB290" s="35">
        <f t="shared" si="54"/>
        <v>54.545454545454547</v>
      </c>
      <c r="AC290" s="35">
        <f t="shared" si="55"/>
        <v>45.1</v>
      </c>
      <c r="AD290" s="35">
        <f t="shared" si="56"/>
        <v>-9.4454545454545453</v>
      </c>
      <c r="AE290" s="35">
        <v>-2.5</v>
      </c>
      <c r="AF290" s="35">
        <f t="shared" si="57"/>
        <v>42.6</v>
      </c>
      <c r="AG290" s="35">
        <f>MIN(AF290,3.1)</f>
        <v>3.1</v>
      </c>
      <c r="AH290" s="35">
        <f t="shared" si="58"/>
        <v>39.5</v>
      </c>
      <c r="AI290" s="35">
        <v>39.5</v>
      </c>
      <c r="AJ290" s="35">
        <f t="shared" si="59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0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10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10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10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10"/>
      <c r="GC290" s="9"/>
      <c r="GD290" s="9"/>
    </row>
    <row r="291" spans="1:186" s="2" customFormat="1" ht="17" customHeight="1">
      <c r="A291" s="46" t="s">
        <v>284</v>
      </c>
      <c r="B291" s="35">
        <v>0</v>
      </c>
      <c r="C291" s="35">
        <v>0</v>
      </c>
      <c r="D291" s="4">
        <f t="shared" si="50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224.7</v>
      </c>
      <c r="O291" s="35">
        <v>189.2</v>
      </c>
      <c r="P291" s="4">
        <f t="shared" si="51"/>
        <v>0.84201157098353363</v>
      </c>
      <c r="Q291" s="11">
        <v>20</v>
      </c>
      <c r="R291" s="35">
        <v>30</v>
      </c>
      <c r="S291" s="35">
        <v>2.5</v>
      </c>
      <c r="T291" s="4">
        <f t="shared" si="52"/>
        <v>8.3333333333333329E-2</v>
      </c>
      <c r="U291" s="11">
        <v>40</v>
      </c>
      <c r="V291" s="35">
        <v>0</v>
      </c>
      <c r="W291" s="35">
        <v>0</v>
      </c>
      <c r="X291" s="4">
        <f t="shared" si="53"/>
        <v>1</v>
      </c>
      <c r="Y291" s="11">
        <v>10</v>
      </c>
      <c r="Z291" s="44">
        <f t="shared" si="60"/>
        <v>0.43105092504291437</v>
      </c>
      <c r="AA291" s="45">
        <v>1269</v>
      </c>
      <c r="AB291" s="35">
        <f t="shared" si="54"/>
        <v>115.36363636363636</v>
      </c>
      <c r="AC291" s="35">
        <f t="shared" si="55"/>
        <v>49.7</v>
      </c>
      <c r="AD291" s="35">
        <f t="shared" si="56"/>
        <v>-65.663636363636357</v>
      </c>
      <c r="AE291" s="35">
        <v>7.2</v>
      </c>
      <c r="AF291" s="35">
        <f t="shared" si="57"/>
        <v>56.900000000000006</v>
      </c>
      <c r="AG291" s="35"/>
      <c r="AH291" s="35">
        <f t="shared" si="58"/>
        <v>56.900000000000006</v>
      </c>
      <c r="AI291" s="35">
        <v>56.900000000000006</v>
      </c>
      <c r="AJ291" s="35">
        <f t="shared" si="59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0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10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10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10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10"/>
      <c r="GC291" s="9"/>
      <c r="GD291" s="9"/>
    </row>
    <row r="292" spans="1:186" s="2" customFormat="1" ht="17" customHeight="1">
      <c r="A292" s="46" t="s">
        <v>285</v>
      </c>
      <c r="B292" s="35">
        <v>0</v>
      </c>
      <c r="C292" s="35">
        <v>0</v>
      </c>
      <c r="D292" s="4">
        <f t="shared" si="50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497.1</v>
      </c>
      <c r="O292" s="35">
        <v>1079.4000000000001</v>
      </c>
      <c r="P292" s="4">
        <f t="shared" si="51"/>
        <v>1.2971394085697043</v>
      </c>
      <c r="Q292" s="11">
        <v>20</v>
      </c>
      <c r="R292" s="35">
        <v>230</v>
      </c>
      <c r="S292" s="35">
        <v>264.8</v>
      </c>
      <c r="T292" s="4">
        <f t="shared" si="52"/>
        <v>1.1513043478260869</v>
      </c>
      <c r="U292" s="11">
        <v>30</v>
      </c>
      <c r="V292" s="35">
        <v>0</v>
      </c>
      <c r="W292" s="35">
        <v>0</v>
      </c>
      <c r="X292" s="4">
        <f t="shared" si="53"/>
        <v>1</v>
      </c>
      <c r="Y292" s="11">
        <v>20</v>
      </c>
      <c r="Z292" s="44">
        <f t="shared" si="60"/>
        <v>1.1497416943739527</v>
      </c>
      <c r="AA292" s="45">
        <v>52</v>
      </c>
      <c r="AB292" s="35">
        <f t="shared" si="54"/>
        <v>4.7272727272727275</v>
      </c>
      <c r="AC292" s="35">
        <f t="shared" si="55"/>
        <v>5.4</v>
      </c>
      <c r="AD292" s="35">
        <f t="shared" si="56"/>
        <v>0.67272727272727284</v>
      </c>
      <c r="AE292" s="35">
        <v>-1.3</v>
      </c>
      <c r="AF292" s="35">
        <f t="shared" si="57"/>
        <v>4.1000000000000005</v>
      </c>
      <c r="AG292" s="35"/>
      <c r="AH292" s="35">
        <f t="shared" si="58"/>
        <v>4.1000000000000005</v>
      </c>
      <c r="AI292" s="35">
        <v>4.1000000000000005</v>
      </c>
      <c r="AJ292" s="35">
        <f t="shared" si="59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0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10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10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10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10"/>
      <c r="GC292" s="9"/>
      <c r="GD292" s="9"/>
    </row>
    <row r="293" spans="1:186" s="2" customFormat="1" ht="17" customHeight="1">
      <c r="A293" s="46" t="s">
        <v>286</v>
      </c>
      <c r="B293" s="35">
        <v>376</v>
      </c>
      <c r="C293" s="35">
        <v>539.70000000000005</v>
      </c>
      <c r="D293" s="4">
        <f t="shared" si="50"/>
        <v>1.2235372340425532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236</v>
      </c>
      <c r="O293" s="35">
        <v>228.5</v>
      </c>
      <c r="P293" s="4">
        <f t="shared" si="51"/>
        <v>0.96822033898305082</v>
      </c>
      <c r="Q293" s="11">
        <v>20</v>
      </c>
      <c r="R293" s="35">
        <v>15</v>
      </c>
      <c r="S293" s="35">
        <v>4.0999999999999996</v>
      </c>
      <c r="T293" s="4">
        <f t="shared" si="52"/>
        <v>0.27333333333333332</v>
      </c>
      <c r="U293" s="11">
        <v>30</v>
      </c>
      <c r="V293" s="35">
        <v>0</v>
      </c>
      <c r="W293" s="35">
        <v>0</v>
      </c>
      <c r="X293" s="4">
        <f t="shared" si="53"/>
        <v>1</v>
      </c>
      <c r="Y293" s="11">
        <v>20</v>
      </c>
      <c r="Z293" s="44">
        <f t="shared" si="60"/>
        <v>0.74749723900108189</v>
      </c>
      <c r="AA293" s="45">
        <v>621</v>
      </c>
      <c r="AB293" s="35">
        <f t="shared" si="54"/>
        <v>56.454545454545453</v>
      </c>
      <c r="AC293" s="35">
        <f t="shared" si="55"/>
        <v>42.2</v>
      </c>
      <c r="AD293" s="35">
        <f t="shared" si="56"/>
        <v>-14.25454545454545</v>
      </c>
      <c r="AE293" s="35">
        <v>-1.1000000000000001</v>
      </c>
      <c r="AF293" s="35">
        <f t="shared" si="57"/>
        <v>41.1</v>
      </c>
      <c r="AG293" s="35"/>
      <c r="AH293" s="35">
        <f t="shared" si="58"/>
        <v>41.1</v>
      </c>
      <c r="AI293" s="35">
        <v>41.1</v>
      </c>
      <c r="AJ293" s="35">
        <f t="shared" si="59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0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10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10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10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10"/>
      <c r="GC293" s="9"/>
      <c r="GD293" s="9"/>
    </row>
    <row r="294" spans="1:186" s="2" customFormat="1" ht="17" customHeight="1">
      <c r="A294" s="46" t="s">
        <v>287</v>
      </c>
      <c r="B294" s="35">
        <v>0</v>
      </c>
      <c r="C294" s="35">
        <v>0</v>
      </c>
      <c r="D294" s="4">
        <f t="shared" si="50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321.3</v>
      </c>
      <c r="O294" s="35">
        <v>257.89999999999998</v>
      </c>
      <c r="P294" s="4">
        <f t="shared" si="51"/>
        <v>0.80267662620603786</v>
      </c>
      <c r="Q294" s="11">
        <v>20</v>
      </c>
      <c r="R294" s="35">
        <v>0</v>
      </c>
      <c r="S294" s="35">
        <v>0</v>
      </c>
      <c r="T294" s="4">
        <f t="shared" si="52"/>
        <v>1</v>
      </c>
      <c r="U294" s="11">
        <v>20</v>
      </c>
      <c r="V294" s="35">
        <v>0</v>
      </c>
      <c r="W294" s="35">
        <v>0</v>
      </c>
      <c r="X294" s="4">
        <f t="shared" si="53"/>
        <v>1</v>
      </c>
      <c r="Y294" s="11">
        <v>30</v>
      </c>
      <c r="Z294" s="44">
        <f t="shared" si="60"/>
        <v>0.94362189320172507</v>
      </c>
      <c r="AA294" s="45">
        <v>40</v>
      </c>
      <c r="AB294" s="35">
        <f t="shared" si="54"/>
        <v>3.6363636363636362</v>
      </c>
      <c r="AC294" s="35">
        <f t="shared" si="55"/>
        <v>3.4</v>
      </c>
      <c r="AD294" s="35">
        <f t="shared" si="56"/>
        <v>-0.23636363636363633</v>
      </c>
      <c r="AE294" s="35">
        <v>-0.9</v>
      </c>
      <c r="AF294" s="35">
        <f t="shared" si="57"/>
        <v>2.5</v>
      </c>
      <c r="AG294" s="35"/>
      <c r="AH294" s="35">
        <f t="shared" si="58"/>
        <v>2.5</v>
      </c>
      <c r="AI294" s="35">
        <v>2.5</v>
      </c>
      <c r="AJ294" s="35">
        <f t="shared" si="59"/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0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10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10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10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10"/>
      <c r="GC294" s="9"/>
      <c r="GD294" s="9"/>
    </row>
    <row r="295" spans="1:186" s="2" customFormat="1" ht="17" customHeight="1">
      <c r="A295" s="46" t="s">
        <v>288</v>
      </c>
      <c r="B295" s="35">
        <v>9019</v>
      </c>
      <c r="C295" s="35">
        <v>7528</v>
      </c>
      <c r="D295" s="4">
        <f t="shared" si="50"/>
        <v>0.83468233728794772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1421</v>
      </c>
      <c r="O295" s="35">
        <v>1459.9</v>
      </c>
      <c r="P295" s="4">
        <f t="shared" si="51"/>
        <v>1.0273750879662211</v>
      </c>
      <c r="Q295" s="11">
        <v>20</v>
      </c>
      <c r="R295" s="35">
        <v>0</v>
      </c>
      <c r="S295" s="35">
        <v>0</v>
      </c>
      <c r="T295" s="4">
        <f t="shared" si="52"/>
        <v>1</v>
      </c>
      <c r="U295" s="11">
        <v>20</v>
      </c>
      <c r="V295" s="35">
        <v>0</v>
      </c>
      <c r="W295" s="35">
        <v>0</v>
      </c>
      <c r="X295" s="4">
        <f t="shared" si="53"/>
        <v>1</v>
      </c>
      <c r="Y295" s="11">
        <v>30</v>
      </c>
      <c r="Z295" s="44">
        <f t="shared" si="60"/>
        <v>0.98617906415254875</v>
      </c>
      <c r="AA295" s="45">
        <v>138</v>
      </c>
      <c r="AB295" s="35">
        <f t="shared" si="54"/>
        <v>12.545454545454545</v>
      </c>
      <c r="AC295" s="35">
        <f t="shared" si="55"/>
        <v>12.4</v>
      </c>
      <c r="AD295" s="35">
        <f t="shared" si="56"/>
        <v>-0.14545454545454461</v>
      </c>
      <c r="AE295" s="35">
        <v>-0.2</v>
      </c>
      <c r="AF295" s="35">
        <f t="shared" si="57"/>
        <v>12.200000000000001</v>
      </c>
      <c r="AG295" s="35"/>
      <c r="AH295" s="35">
        <f t="shared" si="58"/>
        <v>12.200000000000001</v>
      </c>
      <c r="AI295" s="35">
        <v>12.200000000000001</v>
      </c>
      <c r="AJ295" s="35">
        <f t="shared" si="59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0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10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10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10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10"/>
      <c r="GC295" s="9"/>
      <c r="GD295" s="9"/>
    </row>
    <row r="296" spans="1:186" s="2" customFormat="1" ht="17" customHeight="1">
      <c r="A296" s="46" t="s">
        <v>289</v>
      </c>
      <c r="B296" s="35">
        <v>94186</v>
      </c>
      <c r="C296" s="35">
        <v>145093</v>
      </c>
      <c r="D296" s="4">
        <f t="shared" si="50"/>
        <v>1.234049434098486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2262</v>
      </c>
      <c r="O296" s="35">
        <v>2551.6</v>
      </c>
      <c r="P296" s="4">
        <f t="shared" si="51"/>
        <v>1.1280282935455348</v>
      </c>
      <c r="Q296" s="11">
        <v>20</v>
      </c>
      <c r="R296" s="35">
        <v>0</v>
      </c>
      <c r="S296" s="35">
        <v>0</v>
      </c>
      <c r="T296" s="4">
        <f t="shared" si="52"/>
        <v>1</v>
      </c>
      <c r="U296" s="11">
        <v>40</v>
      </c>
      <c r="V296" s="35">
        <v>0</v>
      </c>
      <c r="W296" s="35">
        <v>0</v>
      </c>
      <c r="X296" s="4">
        <f t="shared" si="53"/>
        <v>1</v>
      </c>
      <c r="Y296" s="11">
        <v>10</v>
      </c>
      <c r="Z296" s="44">
        <f t="shared" si="60"/>
        <v>1.0612632526486945</v>
      </c>
      <c r="AA296" s="45">
        <v>27</v>
      </c>
      <c r="AB296" s="35">
        <f t="shared" si="54"/>
        <v>2.4545454545454546</v>
      </c>
      <c r="AC296" s="35">
        <f t="shared" si="55"/>
        <v>2.6</v>
      </c>
      <c r="AD296" s="35">
        <f t="shared" si="56"/>
        <v>0.1454545454545455</v>
      </c>
      <c r="AE296" s="35">
        <v>-0.1</v>
      </c>
      <c r="AF296" s="35">
        <f t="shared" si="57"/>
        <v>2.5</v>
      </c>
      <c r="AG296" s="35"/>
      <c r="AH296" s="35">
        <f t="shared" si="58"/>
        <v>2.5</v>
      </c>
      <c r="AI296" s="35">
        <v>2.5</v>
      </c>
      <c r="AJ296" s="35">
        <f t="shared" si="59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10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10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10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10"/>
      <c r="GC296" s="9"/>
      <c r="GD296" s="9"/>
    </row>
    <row r="297" spans="1:186" s="2" customFormat="1" ht="17" customHeight="1">
      <c r="A297" s="46" t="s">
        <v>290</v>
      </c>
      <c r="B297" s="35">
        <v>4140</v>
      </c>
      <c r="C297" s="35">
        <v>22944.400000000001</v>
      </c>
      <c r="D297" s="4">
        <f t="shared" si="50"/>
        <v>1.3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332.5</v>
      </c>
      <c r="O297" s="35">
        <v>502.2</v>
      </c>
      <c r="P297" s="4">
        <f t="shared" si="51"/>
        <v>1.2310375939849623</v>
      </c>
      <c r="Q297" s="11">
        <v>20</v>
      </c>
      <c r="R297" s="35">
        <v>0</v>
      </c>
      <c r="S297" s="35">
        <v>0</v>
      </c>
      <c r="T297" s="4">
        <f t="shared" si="52"/>
        <v>1</v>
      </c>
      <c r="U297" s="11">
        <v>10</v>
      </c>
      <c r="V297" s="35">
        <v>0</v>
      </c>
      <c r="W297" s="35">
        <v>0</v>
      </c>
      <c r="X297" s="4">
        <f t="shared" si="53"/>
        <v>1</v>
      </c>
      <c r="Y297" s="11">
        <v>40</v>
      </c>
      <c r="Z297" s="44">
        <f t="shared" si="60"/>
        <v>1.0952593984962404</v>
      </c>
      <c r="AA297" s="45">
        <v>23</v>
      </c>
      <c r="AB297" s="35">
        <f t="shared" si="54"/>
        <v>2.0909090909090908</v>
      </c>
      <c r="AC297" s="35">
        <f t="shared" si="55"/>
        <v>2.2999999999999998</v>
      </c>
      <c r="AD297" s="35">
        <f t="shared" si="56"/>
        <v>0.20909090909090899</v>
      </c>
      <c r="AE297" s="35">
        <v>-0.4</v>
      </c>
      <c r="AF297" s="35">
        <f t="shared" si="57"/>
        <v>1.9</v>
      </c>
      <c r="AG297" s="35"/>
      <c r="AH297" s="35">
        <f t="shared" si="58"/>
        <v>1.9</v>
      </c>
      <c r="AI297" s="35">
        <v>1.9</v>
      </c>
      <c r="AJ297" s="35">
        <f t="shared" si="59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10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10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10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10"/>
      <c r="GC297" s="9"/>
      <c r="GD297" s="9"/>
    </row>
    <row r="298" spans="1:186" s="2" customFormat="1" ht="17" customHeight="1">
      <c r="A298" s="46" t="s">
        <v>291</v>
      </c>
      <c r="B298" s="35">
        <v>0</v>
      </c>
      <c r="C298" s="35">
        <v>0</v>
      </c>
      <c r="D298" s="4">
        <f t="shared" si="50"/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114.6</v>
      </c>
      <c r="O298" s="35">
        <v>127.2</v>
      </c>
      <c r="P298" s="4">
        <f t="shared" si="51"/>
        <v>1.1099476439790577</v>
      </c>
      <c r="Q298" s="11">
        <v>20</v>
      </c>
      <c r="R298" s="35">
        <v>0</v>
      </c>
      <c r="S298" s="35">
        <v>0</v>
      </c>
      <c r="T298" s="4">
        <f t="shared" si="52"/>
        <v>1</v>
      </c>
      <c r="U298" s="11">
        <v>30</v>
      </c>
      <c r="V298" s="35">
        <v>0</v>
      </c>
      <c r="W298" s="35">
        <v>0</v>
      </c>
      <c r="X298" s="4">
        <f t="shared" si="53"/>
        <v>1</v>
      </c>
      <c r="Y298" s="11">
        <v>20</v>
      </c>
      <c r="Z298" s="44">
        <f t="shared" si="60"/>
        <v>1.0314136125654452</v>
      </c>
      <c r="AA298" s="45">
        <v>463</v>
      </c>
      <c r="AB298" s="35">
        <f t="shared" si="54"/>
        <v>42.090909090909093</v>
      </c>
      <c r="AC298" s="35">
        <f t="shared" si="55"/>
        <v>43.4</v>
      </c>
      <c r="AD298" s="35">
        <f t="shared" si="56"/>
        <v>1.3090909090909051</v>
      </c>
      <c r="AE298" s="35">
        <v>-1.3</v>
      </c>
      <c r="AF298" s="35">
        <f t="shared" si="57"/>
        <v>42.1</v>
      </c>
      <c r="AG298" s="35"/>
      <c r="AH298" s="35">
        <f t="shared" si="58"/>
        <v>42.1</v>
      </c>
      <c r="AI298" s="35">
        <v>42.1</v>
      </c>
      <c r="AJ298" s="35">
        <f t="shared" si="59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0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10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10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10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10"/>
      <c r="GC298" s="9"/>
      <c r="GD298" s="9"/>
    </row>
    <row r="299" spans="1:186" s="2" customFormat="1" ht="17" customHeight="1">
      <c r="A299" s="46" t="s">
        <v>292</v>
      </c>
      <c r="B299" s="35">
        <v>976</v>
      </c>
      <c r="C299" s="35">
        <v>878.1</v>
      </c>
      <c r="D299" s="4">
        <f t="shared" si="50"/>
        <v>0.89969262295081964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690.7</v>
      </c>
      <c r="O299" s="35">
        <v>178.5</v>
      </c>
      <c r="P299" s="4">
        <f t="shared" si="51"/>
        <v>0.25843347328796873</v>
      </c>
      <c r="Q299" s="11">
        <v>20</v>
      </c>
      <c r="R299" s="35">
        <v>0</v>
      </c>
      <c r="S299" s="35">
        <v>2.2000000000000002</v>
      </c>
      <c r="T299" s="4">
        <f t="shared" si="52"/>
        <v>1</v>
      </c>
      <c r="U299" s="11">
        <v>35</v>
      </c>
      <c r="V299" s="35">
        <v>0</v>
      </c>
      <c r="W299" s="35">
        <v>0</v>
      </c>
      <c r="X299" s="4">
        <f t="shared" si="53"/>
        <v>1</v>
      </c>
      <c r="Y299" s="11">
        <v>15</v>
      </c>
      <c r="Z299" s="44">
        <f t="shared" si="60"/>
        <v>0.8020699461908446</v>
      </c>
      <c r="AA299" s="45">
        <v>738</v>
      </c>
      <c r="AB299" s="35">
        <f t="shared" si="54"/>
        <v>67.090909090909093</v>
      </c>
      <c r="AC299" s="35">
        <f t="shared" si="55"/>
        <v>53.8</v>
      </c>
      <c r="AD299" s="35">
        <f t="shared" si="56"/>
        <v>-13.290909090909096</v>
      </c>
      <c r="AE299" s="35">
        <v>-0.8</v>
      </c>
      <c r="AF299" s="35">
        <f t="shared" si="57"/>
        <v>53</v>
      </c>
      <c r="AG299" s="35"/>
      <c r="AH299" s="35">
        <f t="shared" si="58"/>
        <v>53</v>
      </c>
      <c r="AI299" s="35">
        <v>53</v>
      </c>
      <c r="AJ299" s="35">
        <f t="shared" si="59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0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10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10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10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10"/>
      <c r="GC299" s="9"/>
      <c r="GD299" s="9"/>
    </row>
    <row r="300" spans="1:186" s="2" customFormat="1" ht="17" customHeight="1">
      <c r="A300" s="46" t="s">
        <v>293</v>
      </c>
      <c r="B300" s="35">
        <v>6373</v>
      </c>
      <c r="C300" s="35">
        <v>6819.8</v>
      </c>
      <c r="D300" s="4">
        <f t="shared" si="50"/>
        <v>1.0701082692609447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190</v>
      </c>
      <c r="O300" s="35">
        <v>118.6</v>
      </c>
      <c r="P300" s="4">
        <f t="shared" si="51"/>
        <v>0.62421052631578944</v>
      </c>
      <c r="Q300" s="11">
        <v>20</v>
      </c>
      <c r="R300" s="35">
        <v>35</v>
      </c>
      <c r="S300" s="35">
        <v>82.6</v>
      </c>
      <c r="T300" s="4">
        <f t="shared" si="52"/>
        <v>1.3</v>
      </c>
      <c r="U300" s="11">
        <v>20</v>
      </c>
      <c r="V300" s="35">
        <v>0</v>
      </c>
      <c r="W300" s="35">
        <v>0</v>
      </c>
      <c r="X300" s="4">
        <f t="shared" si="53"/>
        <v>1</v>
      </c>
      <c r="Y300" s="11">
        <v>30</v>
      </c>
      <c r="Z300" s="44">
        <f t="shared" si="60"/>
        <v>0.98981616523656546</v>
      </c>
      <c r="AA300" s="45">
        <v>1197</v>
      </c>
      <c r="AB300" s="35">
        <f t="shared" si="54"/>
        <v>108.81818181818181</v>
      </c>
      <c r="AC300" s="35">
        <f t="shared" si="55"/>
        <v>107.7</v>
      </c>
      <c r="AD300" s="35">
        <f t="shared" si="56"/>
        <v>-1.1181818181818102</v>
      </c>
      <c r="AE300" s="35">
        <v>-5.0999999999999996</v>
      </c>
      <c r="AF300" s="35">
        <f t="shared" si="57"/>
        <v>102.60000000000001</v>
      </c>
      <c r="AG300" s="35">
        <f>MIN(AF300,54.4)</f>
        <v>54.4</v>
      </c>
      <c r="AH300" s="35">
        <f t="shared" si="58"/>
        <v>48.20000000000001</v>
      </c>
      <c r="AI300" s="35">
        <v>48.20000000000001</v>
      </c>
      <c r="AJ300" s="35">
        <f t="shared" si="59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0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10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10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10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10"/>
      <c r="GC300" s="9"/>
      <c r="GD300" s="9"/>
    </row>
    <row r="301" spans="1:186" s="2" customFormat="1" ht="17" customHeight="1">
      <c r="A301" s="46" t="s">
        <v>294</v>
      </c>
      <c r="B301" s="35">
        <v>90137</v>
      </c>
      <c r="C301" s="35">
        <v>121655.4</v>
      </c>
      <c r="D301" s="4">
        <f t="shared" si="50"/>
        <v>1.2149672165703318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1531</v>
      </c>
      <c r="O301" s="35">
        <v>1765.6</v>
      </c>
      <c r="P301" s="4">
        <f t="shared" si="51"/>
        <v>1.1532331809274983</v>
      </c>
      <c r="Q301" s="11">
        <v>20</v>
      </c>
      <c r="R301" s="35">
        <v>0</v>
      </c>
      <c r="S301" s="35">
        <v>0</v>
      </c>
      <c r="T301" s="4">
        <f t="shared" si="52"/>
        <v>1</v>
      </c>
      <c r="U301" s="11">
        <v>40</v>
      </c>
      <c r="V301" s="35">
        <v>0</v>
      </c>
      <c r="W301" s="35">
        <v>0</v>
      </c>
      <c r="X301" s="4">
        <f t="shared" si="53"/>
        <v>1</v>
      </c>
      <c r="Y301" s="11">
        <v>10</v>
      </c>
      <c r="Z301" s="44">
        <f t="shared" si="60"/>
        <v>1.0651791973031659</v>
      </c>
      <c r="AA301" s="45">
        <v>60</v>
      </c>
      <c r="AB301" s="35">
        <f t="shared" si="54"/>
        <v>5.4545454545454541</v>
      </c>
      <c r="AC301" s="35">
        <f t="shared" si="55"/>
        <v>5.8</v>
      </c>
      <c r="AD301" s="35">
        <f t="shared" si="56"/>
        <v>0.34545454545454568</v>
      </c>
      <c r="AE301" s="35">
        <v>-0.7</v>
      </c>
      <c r="AF301" s="35">
        <f t="shared" si="57"/>
        <v>5.0999999999999996</v>
      </c>
      <c r="AG301" s="35"/>
      <c r="AH301" s="35">
        <f t="shared" si="58"/>
        <v>5.0999999999999996</v>
      </c>
      <c r="AI301" s="35">
        <v>5.0999999999999996</v>
      </c>
      <c r="AJ301" s="35">
        <f t="shared" si="59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0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10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10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10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10"/>
      <c r="GC301" s="9"/>
      <c r="GD301" s="9"/>
    </row>
    <row r="302" spans="1:186" s="2" customFormat="1" ht="17" customHeight="1">
      <c r="A302" s="46" t="s">
        <v>295</v>
      </c>
      <c r="B302" s="35">
        <v>24831</v>
      </c>
      <c r="C302" s="35">
        <v>24133</v>
      </c>
      <c r="D302" s="4">
        <f t="shared" si="50"/>
        <v>0.97188997623937823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774.4</v>
      </c>
      <c r="O302" s="35">
        <v>526.79999999999995</v>
      </c>
      <c r="P302" s="4">
        <f t="shared" si="51"/>
        <v>0.68026859504132231</v>
      </c>
      <c r="Q302" s="11">
        <v>20</v>
      </c>
      <c r="R302" s="35">
        <v>105</v>
      </c>
      <c r="S302" s="35">
        <v>162</v>
      </c>
      <c r="T302" s="4">
        <f t="shared" si="52"/>
        <v>1.2342857142857142</v>
      </c>
      <c r="U302" s="11">
        <v>30</v>
      </c>
      <c r="V302" s="35">
        <v>0</v>
      </c>
      <c r="W302" s="35">
        <v>0</v>
      </c>
      <c r="X302" s="4">
        <f t="shared" si="53"/>
        <v>1</v>
      </c>
      <c r="Y302" s="11">
        <v>20</v>
      </c>
      <c r="Z302" s="44">
        <f t="shared" si="60"/>
        <v>1.0044105386473956</v>
      </c>
      <c r="AA302" s="45">
        <v>619</v>
      </c>
      <c r="AB302" s="35">
        <f t="shared" si="54"/>
        <v>56.272727272727273</v>
      </c>
      <c r="AC302" s="35">
        <f t="shared" si="55"/>
        <v>56.5</v>
      </c>
      <c r="AD302" s="35">
        <f t="shared" si="56"/>
        <v>0.22727272727272663</v>
      </c>
      <c r="AE302" s="35">
        <v>-7.8</v>
      </c>
      <c r="AF302" s="35">
        <f t="shared" si="57"/>
        <v>48.7</v>
      </c>
      <c r="AG302" s="35"/>
      <c r="AH302" s="35">
        <f t="shared" si="58"/>
        <v>48.7</v>
      </c>
      <c r="AI302" s="35">
        <v>48.7</v>
      </c>
      <c r="AJ302" s="35">
        <f t="shared" si="59"/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10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10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10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10"/>
      <c r="GC302" s="9"/>
      <c r="GD302" s="9"/>
    </row>
    <row r="303" spans="1:186" s="2" customFormat="1" ht="17" customHeight="1">
      <c r="A303" s="46" t="s">
        <v>296</v>
      </c>
      <c r="B303" s="35">
        <v>23522</v>
      </c>
      <c r="C303" s="35">
        <v>22061.1</v>
      </c>
      <c r="D303" s="4">
        <f t="shared" ref="D303:D366" si="61">IF(E303=0,0,IF(B303=0,1,IF(C303&lt;0,0,IF(C303/B303&gt;1.2,IF((C303/B303-1.2)*0.1+1.2&gt;1.3,1.3,(C303/B303-1.2)*0.1+1.2),C303/B303))))</f>
        <v>0.93789218603860214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268.7</v>
      </c>
      <c r="O303" s="35">
        <v>312.10000000000002</v>
      </c>
      <c r="P303" s="4">
        <f t="shared" ref="P303:P366" si="62">IF(Q303=0,0,IF(N303=0,1,IF(O303&lt;0,0,IF(O303/N303&gt;1.2,IF((O303/N303-1.2)*0.1+1.2&gt;1.3,1.3,(O303/N303-1.2)*0.1+1.2),O303/N303))))</f>
        <v>1.1615184220320061</v>
      </c>
      <c r="Q303" s="11">
        <v>20</v>
      </c>
      <c r="R303" s="35">
        <v>160</v>
      </c>
      <c r="S303" s="35">
        <v>133.4</v>
      </c>
      <c r="T303" s="4">
        <f t="shared" ref="T303:T366" si="63">IF(U303=0,0,IF(R303=0,1,IF(S303&lt;0,0,IF(S303/R303&gt;1.2,IF((S303/R303-1.2)*0.1+1.2&gt;1.3,1.3,(S303/R303-1.2)*0.1+1.2),S303/R303))))</f>
        <v>0.83374999999999999</v>
      </c>
      <c r="U303" s="11">
        <v>30</v>
      </c>
      <c r="V303" s="35">
        <v>0</v>
      </c>
      <c r="W303" s="35">
        <v>0</v>
      </c>
      <c r="X303" s="4">
        <f t="shared" ref="X303:X366" si="64">IF(Y303=0,0,IF(V303=0,1,IF(W303&lt;0,0,IF(W303/V303&gt;1.2,IF((W303/V303-1.2)*0.1+1.2&gt;1.3,1.3,(W303/V303-1.2)*0.1+1.2),W303/V303))))</f>
        <v>1</v>
      </c>
      <c r="Y303" s="11">
        <v>20</v>
      </c>
      <c r="Z303" s="44">
        <f t="shared" si="60"/>
        <v>0.97027237876282668</v>
      </c>
      <c r="AA303" s="45">
        <v>438</v>
      </c>
      <c r="AB303" s="35">
        <f t="shared" ref="AB303:AB366" si="65">AA303/11</f>
        <v>39.81818181818182</v>
      </c>
      <c r="AC303" s="35">
        <f t="shared" ref="AC303:AC366" si="66">ROUND(Z303*AB303,1)</f>
        <v>38.6</v>
      </c>
      <c r="AD303" s="35">
        <f t="shared" ref="AD303:AD366" si="67">AC303-AB303</f>
        <v>-1.2181818181818187</v>
      </c>
      <c r="AE303" s="35">
        <v>-1.3</v>
      </c>
      <c r="AF303" s="35">
        <f t="shared" ref="AF303:AF366" si="68">AC303+AE303</f>
        <v>37.300000000000004</v>
      </c>
      <c r="AG303" s="35">
        <f>MIN(AF303,19.9)</f>
        <v>19.899999999999999</v>
      </c>
      <c r="AH303" s="35">
        <f t="shared" ref="AH303:AH366" si="69">AF303-AG303</f>
        <v>17.400000000000006</v>
      </c>
      <c r="AI303" s="35">
        <v>17.400000000000006</v>
      </c>
      <c r="AJ303" s="35">
        <f t="shared" ref="AJ303:AJ366" si="70">ROUND(AH303-AI303,1)</f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10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10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10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10"/>
      <c r="GC303" s="9"/>
      <c r="GD303" s="9"/>
    </row>
    <row r="304" spans="1:186" s="2" customFormat="1" ht="17" customHeight="1">
      <c r="A304" s="46" t="s">
        <v>297</v>
      </c>
      <c r="B304" s="35">
        <v>62958</v>
      </c>
      <c r="C304" s="35">
        <v>5981.2</v>
      </c>
      <c r="D304" s="4">
        <f t="shared" si="61"/>
        <v>9.5003017884939159E-2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1844.3</v>
      </c>
      <c r="O304" s="35">
        <v>1010.8</v>
      </c>
      <c r="P304" s="4">
        <f t="shared" si="62"/>
        <v>0.54806701729653529</v>
      </c>
      <c r="Q304" s="11">
        <v>20</v>
      </c>
      <c r="R304" s="35">
        <v>1</v>
      </c>
      <c r="S304" s="35">
        <v>0</v>
      </c>
      <c r="T304" s="4">
        <f t="shared" si="63"/>
        <v>0</v>
      </c>
      <c r="U304" s="11">
        <v>35</v>
      </c>
      <c r="V304" s="35">
        <v>0</v>
      </c>
      <c r="W304" s="35">
        <v>0</v>
      </c>
      <c r="X304" s="4">
        <f t="shared" si="64"/>
        <v>1</v>
      </c>
      <c r="Y304" s="11">
        <v>15</v>
      </c>
      <c r="Z304" s="44">
        <f t="shared" ref="Z304:Z367" si="71">(D304*E304+P304*Q304+T304*U304+X304*Y304)/(E304+Q304+U304+Y304)</f>
        <v>0.33639213155975123</v>
      </c>
      <c r="AA304" s="45">
        <v>1363</v>
      </c>
      <c r="AB304" s="35">
        <f t="shared" si="65"/>
        <v>123.90909090909091</v>
      </c>
      <c r="AC304" s="35">
        <f t="shared" si="66"/>
        <v>41.7</v>
      </c>
      <c r="AD304" s="35">
        <f t="shared" si="67"/>
        <v>-82.209090909090904</v>
      </c>
      <c r="AE304" s="35">
        <v>26.1</v>
      </c>
      <c r="AF304" s="35">
        <f t="shared" si="68"/>
        <v>67.800000000000011</v>
      </c>
      <c r="AG304" s="35"/>
      <c r="AH304" s="35">
        <f t="shared" si="69"/>
        <v>67.800000000000011</v>
      </c>
      <c r="AI304" s="35">
        <v>67.800000000000011</v>
      </c>
      <c r="AJ304" s="35">
        <f t="shared" si="70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0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10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10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10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10"/>
      <c r="GC304" s="9"/>
      <c r="GD304" s="9"/>
    </row>
    <row r="305" spans="1:186" s="2" customFormat="1" ht="17" customHeight="1">
      <c r="A305" s="18" t="s">
        <v>298</v>
      </c>
      <c r="B305" s="6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35"/>
      <c r="AF305" s="35"/>
      <c r="AG305" s="35"/>
      <c r="AH305" s="35"/>
      <c r="AI305" s="35"/>
      <c r="AJ305" s="3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0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10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10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10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10"/>
      <c r="GC305" s="9"/>
      <c r="GD305" s="9"/>
    </row>
    <row r="306" spans="1:186" s="2" customFormat="1" ht="17" customHeight="1">
      <c r="A306" s="46" t="s">
        <v>299</v>
      </c>
      <c r="B306" s="35">
        <v>1641</v>
      </c>
      <c r="C306" s="35">
        <v>1513</v>
      </c>
      <c r="D306" s="4">
        <f t="shared" si="61"/>
        <v>0.92199878123095669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1681.4</v>
      </c>
      <c r="O306" s="35">
        <v>1500.4</v>
      </c>
      <c r="P306" s="4">
        <f t="shared" si="62"/>
        <v>0.89235161175211131</v>
      </c>
      <c r="Q306" s="11">
        <v>20</v>
      </c>
      <c r="R306" s="35">
        <v>0</v>
      </c>
      <c r="S306" s="35">
        <v>0</v>
      </c>
      <c r="T306" s="4">
        <f t="shared" si="63"/>
        <v>1</v>
      </c>
      <c r="U306" s="11">
        <v>20</v>
      </c>
      <c r="V306" s="35">
        <v>0</v>
      </c>
      <c r="W306" s="35">
        <v>0</v>
      </c>
      <c r="X306" s="4">
        <f t="shared" si="64"/>
        <v>1</v>
      </c>
      <c r="Y306" s="11">
        <v>30</v>
      </c>
      <c r="Z306" s="44">
        <f t="shared" si="71"/>
        <v>0.96333775059189752</v>
      </c>
      <c r="AA306" s="45">
        <v>28</v>
      </c>
      <c r="AB306" s="35">
        <f t="shared" si="65"/>
        <v>2.5454545454545454</v>
      </c>
      <c r="AC306" s="35">
        <f t="shared" si="66"/>
        <v>2.5</v>
      </c>
      <c r="AD306" s="35">
        <f t="shared" si="67"/>
        <v>-4.5454545454545414E-2</v>
      </c>
      <c r="AE306" s="35">
        <v>0.1</v>
      </c>
      <c r="AF306" s="35">
        <f t="shared" si="68"/>
        <v>2.6</v>
      </c>
      <c r="AG306" s="35">
        <f>MIN(AF306,1.3)</f>
        <v>1.3</v>
      </c>
      <c r="AH306" s="35">
        <f t="shared" si="69"/>
        <v>1.3</v>
      </c>
      <c r="AI306" s="35">
        <v>1.3</v>
      </c>
      <c r="AJ306" s="35">
        <f t="shared" si="70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0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10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10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10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10"/>
      <c r="GC306" s="9"/>
      <c r="GD306" s="9"/>
    </row>
    <row r="307" spans="1:186" s="2" customFormat="1" ht="17" customHeight="1">
      <c r="A307" s="46" t="s">
        <v>300</v>
      </c>
      <c r="B307" s="35">
        <v>12430</v>
      </c>
      <c r="C307" s="35">
        <v>10788.3</v>
      </c>
      <c r="D307" s="4">
        <f t="shared" si="61"/>
        <v>0.86792437650844723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1273.5999999999999</v>
      </c>
      <c r="O307" s="35">
        <v>573.1</v>
      </c>
      <c r="P307" s="4">
        <f t="shared" si="62"/>
        <v>0.44998429648241212</v>
      </c>
      <c r="Q307" s="11">
        <v>20</v>
      </c>
      <c r="R307" s="35">
        <v>39</v>
      </c>
      <c r="S307" s="35">
        <v>46.4</v>
      </c>
      <c r="T307" s="4">
        <f t="shared" si="63"/>
        <v>1.1897435897435897</v>
      </c>
      <c r="U307" s="11">
        <v>15</v>
      </c>
      <c r="V307" s="35">
        <v>4.3</v>
      </c>
      <c r="W307" s="35">
        <v>5</v>
      </c>
      <c r="X307" s="4">
        <f t="shared" si="64"/>
        <v>1.1627906976744187</v>
      </c>
      <c r="Y307" s="11">
        <v>35</v>
      </c>
      <c r="Z307" s="44">
        <f t="shared" si="71"/>
        <v>0.95278447449364023</v>
      </c>
      <c r="AA307" s="45">
        <v>86</v>
      </c>
      <c r="AB307" s="35">
        <f t="shared" si="65"/>
        <v>7.8181818181818183</v>
      </c>
      <c r="AC307" s="35">
        <f t="shared" si="66"/>
        <v>7.4</v>
      </c>
      <c r="AD307" s="35">
        <f t="shared" si="67"/>
        <v>-0.41818181818181799</v>
      </c>
      <c r="AE307" s="35">
        <v>0.3</v>
      </c>
      <c r="AF307" s="35">
        <f t="shared" si="68"/>
        <v>7.7</v>
      </c>
      <c r="AG307" s="35">
        <f>MIN(AF307,1.1)</f>
        <v>1.1000000000000001</v>
      </c>
      <c r="AH307" s="35">
        <f t="shared" si="69"/>
        <v>6.6</v>
      </c>
      <c r="AI307" s="35">
        <v>6.6</v>
      </c>
      <c r="AJ307" s="35">
        <f t="shared" si="70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0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10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10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10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10"/>
      <c r="GC307" s="9"/>
      <c r="GD307" s="9"/>
    </row>
    <row r="308" spans="1:186" s="2" customFormat="1" ht="17" customHeight="1">
      <c r="A308" s="46" t="s">
        <v>301</v>
      </c>
      <c r="B308" s="35">
        <v>476</v>
      </c>
      <c r="C308" s="35">
        <v>476</v>
      </c>
      <c r="D308" s="4">
        <f t="shared" si="61"/>
        <v>1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430</v>
      </c>
      <c r="O308" s="35">
        <v>157.69999999999999</v>
      </c>
      <c r="P308" s="4">
        <f t="shared" si="62"/>
        <v>0.3667441860465116</v>
      </c>
      <c r="Q308" s="11">
        <v>20</v>
      </c>
      <c r="R308" s="35">
        <v>0</v>
      </c>
      <c r="S308" s="35">
        <v>0</v>
      </c>
      <c r="T308" s="4">
        <f t="shared" si="63"/>
        <v>1</v>
      </c>
      <c r="U308" s="11">
        <v>10</v>
      </c>
      <c r="V308" s="35">
        <v>4.0999999999999996</v>
      </c>
      <c r="W308" s="35">
        <v>4.5999999999999996</v>
      </c>
      <c r="X308" s="4">
        <f t="shared" si="64"/>
        <v>1.1219512195121952</v>
      </c>
      <c r="Y308" s="11">
        <v>40</v>
      </c>
      <c r="Z308" s="44">
        <f t="shared" si="71"/>
        <v>0.90266165626772543</v>
      </c>
      <c r="AA308" s="45">
        <v>635</v>
      </c>
      <c r="AB308" s="35">
        <f t="shared" si="65"/>
        <v>57.727272727272727</v>
      </c>
      <c r="AC308" s="35">
        <f t="shared" si="66"/>
        <v>52.1</v>
      </c>
      <c r="AD308" s="35">
        <f t="shared" si="67"/>
        <v>-5.6272727272727252</v>
      </c>
      <c r="AE308" s="35">
        <v>-0.8</v>
      </c>
      <c r="AF308" s="35">
        <f t="shared" si="68"/>
        <v>51.300000000000004</v>
      </c>
      <c r="AG308" s="35"/>
      <c r="AH308" s="35">
        <f t="shared" si="69"/>
        <v>51.300000000000004</v>
      </c>
      <c r="AI308" s="35">
        <v>51.300000000000004</v>
      </c>
      <c r="AJ308" s="35">
        <f t="shared" si="70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0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10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10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10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10"/>
      <c r="GC308" s="9"/>
      <c r="GD308" s="9"/>
    </row>
    <row r="309" spans="1:186" s="2" customFormat="1" ht="17" customHeight="1">
      <c r="A309" s="46" t="s">
        <v>302</v>
      </c>
      <c r="B309" s="35">
        <v>648</v>
      </c>
      <c r="C309" s="35">
        <v>438</v>
      </c>
      <c r="D309" s="4">
        <f t="shared" si="61"/>
        <v>0.67592592592592593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71.599999999999994</v>
      </c>
      <c r="O309" s="35">
        <v>55.2</v>
      </c>
      <c r="P309" s="4">
        <f t="shared" si="62"/>
        <v>0.77094972067039114</v>
      </c>
      <c r="Q309" s="11">
        <v>20</v>
      </c>
      <c r="R309" s="35">
        <v>50</v>
      </c>
      <c r="S309" s="35">
        <v>59.3</v>
      </c>
      <c r="T309" s="4">
        <f t="shared" si="63"/>
        <v>1.1859999999999999</v>
      </c>
      <c r="U309" s="11">
        <v>20</v>
      </c>
      <c r="V309" s="35">
        <v>1.7</v>
      </c>
      <c r="W309" s="35">
        <v>1.7</v>
      </c>
      <c r="X309" s="4">
        <f t="shared" si="64"/>
        <v>1</v>
      </c>
      <c r="Y309" s="11">
        <v>30</v>
      </c>
      <c r="Z309" s="44">
        <f t="shared" si="71"/>
        <v>0.9487281709083385</v>
      </c>
      <c r="AA309" s="45">
        <v>892</v>
      </c>
      <c r="AB309" s="35">
        <f t="shared" si="65"/>
        <v>81.090909090909093</v>
      </c>
      <c r="AC309" s="35">
        <f t="shared" si="66"/>
        <v>76.900000000000006</v>
      </c>
      <c r="AD309" s="35">
        <f t="shared" si="67"/>
        <v>-4.1909090909090878</v>
      </c>
      <c r="AE309" s="35">
        <v>3.1</v>
      </c>
      <c r="AF309" s="35">
        <f t="shared" si="68"/>
        <v>80</v>
      </c>
      <c r="AG309" s="35">
        <f>MIN(AF309,40.5)</f>
        <v>40.5</v>
      </c>
      <c r="AH309" s="35">
        <f t="shared" si="69"/>
        <v>39.5</v>
      </c>
      <c r="AI309" s="35">
        <v>39.5</v>
      </c>
      <c r="AJ309" s="35">
        <f t="shared" si="70"/>
        <v>0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0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10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10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10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10"/>
      <c r="GC309" s="9"/>
      <c r="GD309" s="9"/>
    </row>
    <row r="310" spans="1:186" s="2" customFormat="1" ht="17" customHeight="1">
      <c r="A310" s="46" t="s">
        <v>303</v>
      </c>
      <c r="B310" s="35">
        <v>0</v>
      </c>
      <c r="C310" s="35">
        <v>0</v>
      </c>
      <c r="D310" s="4">
        <f t="shared" si="61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190.2</v>
      </c>
      <c r="O310" s="35">
        <v>55.6</v>
      </c>
      <c r="P310" s="4">
        <f t="shared" si="62"/>
        <v>0.29232386961093587</v>
      </c>
      <c r="Q310" s="11">
        <v>20</v>
      </c>
      <c r="R310" s="35">
        <v>24</v>
      </c>
      <c r="S310" s="35">
        <v>28.5</v>
      </c>
      <c r="T310" s="4">
        <f t="shared" si="63"/>
        <v>1.1875</v>
      </c>
      <c r="U310" s="11">
        <v>20</v>
      </c>
      <c r="V310" s="35">
        <v>4.3</v>
      </c>
      <c r="W310" s="35">
        <v>4.3</v>
      </c>
      <c r="X310" s="4">
        <f t="shared" si="64"/>
        <v>1</v>
      </c>
      <c r="Y310" s="11">
        <v>30</v>
      </c>
      <c r="Z310" s="44">
        <f t="shared" si="71"/>
        <v>0.85137824846026733</v>
      </c>
      <c r="AA310" s="45">
        <v>610</v>
      </c>
      <c r="AB310" s="35">
        <f t="shared" si="65"/>
        <v>55.454545454545453</v>
      </c>
      <c r="AC310" s="35">
        <f t="shared" si="66"/>
        <v>47.2</v>
      </c>
      <c r="AD310" s="35">
        <f t="shared" si="67"/>
        <v>-8.2545454545454504</v>
      </c>
      <c r="AE310" s="35">
        <v>-1.6</v>
      </c>
      <c r="AF310" s="35">
        <f t="shared" si="68"/>
        <v>45.6</v>
      </c>
      <c r="AG310" s="35">
        <f>MIN(AF310,2.4)</f>
        <v>2.4</v>
      </c>
      <c r="AH310" s="35">
        <f t="shared" si="69"/>
        <v>43.2</v>
      </c>
      <c r="AI310" s="35">
        <v>43.2</v>
      </c>
      <c r="AJ310" s="35">
        <f t="shared" si="70"/>
        <v>0</v>
      </c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0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10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10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10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10"/>
      <c r="GC310" s="9"/>
      <c r="GD310" s="9"/>
    </row>
    <row r="311" spans="1:186" s="2" customFormat="1" ht="17" customHeight="1">
      <c r="A311" s="46" t="s">
        <v>304</v>
      </c>
      <c r="B311" s="35">
        <v>19585</v>
      </c>
      <c r="C311" s="35">
        <v>13867</v>
      </c>
      <c r="D311" s="4">
        <f t="shared" si="61"/>
        <v>0.70804186877712538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374.4</v>
      </c>
      <c r="O311" s="35">
        <v>427.5</v>
      </c>
      <c r="P311" s="4">
        <f t="shared" si="62"/>
        <v>1.1418269230769231</v>
      </c>
      <c r="Q311" s="11">
        <v>20</v>
      </c>
      <c r="R311" s="35">
        <v>22</v>
      </c>
      <c r="S311" s="35">
        <v>26</v>
      </c>
      <c r="T311" s="4">
        <f t="shared" si="63"/>
        <v>1.1818181818181819</v>
      </c>
      <c r="U311" s="11">
        <v>20</v>
      </c>
      <c r="V311" s="35">
        <v>5</v>
      </c>
      <c r="W311" s="35">
        <v>5.4</v>
      </c>
      <c r="X311" s="4">
        <f t="shared" si="64"/>
        <v>1.08</v>
      </c>
      <c r="Y311" s="11">
        <v>30</v>
      </c>
      <c r="Z311" s="44">
        <f t="shared" si="71"/>
        <v>1.0744165098209169</v>
      </c>
      <c r="AA311" s="45">
        <v>430</v>
      </c>
      <c r="AB311" s="35">
        <f t="shared" si="65"/>
        <v>39.090909090909093</v>
      </c>
      <c r="AC311" s="35">
        <f t="shared" si="66"/>
        <v>42</v>
      </c>
      <c r="AD311" s="35">
        <f t="shared" si="67"/>
        <v>2.9090909090909065</v>
      </c>
      <c r="AE311" s="35">
        <v>-1.9</v>
      </c>
      <c r="AF311" s="35">
        <f t="shared" si="68"/>
        <v>40.1</v>
      </c>
      <c r="AG311" s="35">
        <f>MIN(AF311,19.5)</f>
        <v>19.5</v>
      </c>
      <c r="AH311" s="35">
        <f t="shared" si="69"/>
        <v>20.6</v>
      </c>
      <c r="AI311" s="35">
        <v>20.6</v>
      </c>
      <c r="AJ311" s="35">
        <f t="shared" si="70"/>
        <v>0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0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10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10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10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10"/>
      <c r="GC311" s="9"/>
      <c r="GD311" s="9"/>
    </row>
    <row r="312" spans="1:186" s="2" customFormat="1" ht="17" customHeight="1">
      <c r="A312" s="46" t="s">
        <v>305</v>
      </c>
      <c r="B312" s="35">
        <v>5288</v>
      </c>
      <c r="C312" s="35">
        <v>6169</v>
      </c>
      <c r="D312" s="4">
        <f t="shared" si="61"/>
        <v>1.1666036308623298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929.1</v>
      </c>
      <c r="O312" s="35">
        <v>612.4</v>
      </c>
      <c r="P312" s="4">
        <f t="shared" si="62"/>
        <v>0.65913249381121508</v>
      </c>
      <c r="Q312" s="11">
        <v>20</v>
      </c>
      <c r="R312" s="35">
        <v>0</v>
      </c>
      <c r="S312" s="35">
        <v>0</v>
      </c>
      <c r="T312" s="4">
        <f t="shared" si="63"/>
        <v>1</v>
      </c>
      <c r="U312" s="11">
        <v>20</v>
      </c>
      <c r="V312" s="35">
        <v>0</v>
      </c>
      <c r="W312" s="35">
        <v>0</v>
      </c>
      <c r="X312" s="4">
        <f t="shared" si="64"/>
        <v>1</v>
      </c>
      <c r="Y312" s="11">
        <v>30</v>
      </c>
      <c r="Z312" s="44">
        <f t="shared" si="71"/>
        <v>0.93560857731059488</v>
      </c>
      <c r="AA312" s="45">
        <v>696</v>
      </c>
      <c r="AB312" s="35">
        <f t="shared" si="65"/>
        <v>63.272727272727273</v>
      </c>
      <c r="AC312" s="35">
        <f t="shared" si="66"/>
        <v>59.2</v>
      </c>
      <c r="AD312" s="35">
        <f t="shared" si="67"/>
        <v>-4.0727272727272705</v>
      </c>
      <c r="AE312" s="35">
        <v>-3.5</v>
      </c>
      <c r="AF312" s="35">
        <f t="shared" si="68"/>
        <v>55.7</v>
      </c>
      <c r="AG312" s="35">
        <f>MIN(AF312,31.6)</f>
        <v>31.6</v>
      </c>
      <c r="AH312" s="35">
        <f t="shared" si="69"/>
        <v>24.1</v>
      </c>
      <c r="AI312" s="35">
        <v>24.1</v>
      </c>
      <c r="AJ312" s="35">
        <f t="shared" si="70"/>
        <v>0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0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10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10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10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10"/>
      <c r="GC312" s="9"/>
      <c r="GD312" s="9"/>
    </row>
    <row r="313" spans="1:186" s="2" customFormat="1" ht="17" customHeight="1">
      <c r="A313" s="46" t="s">
        <v>306</v>
      </c>
      <c r="B313" s="35">
        <v>1500</v>
      </c>
      <c r="C313" s="35">
        <v>940</v>
      </c>
      <c r="D313" s="4">
        <f t="shared" si="61"/>
        <v>0.62666666666666671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110.6</v>
      </c>
      <c r="O313" s="35">
        <v>294</v>
      </c>
      <c r="P313" s="4">
        <f t="shared" si="62"/>
        <v>1.3</v>
      </c>
      <c r="Q313" s="11">
        <v>20</v>
      </c>
      <c r="R313" s="35">
        <v>25</v>
      </c>
      <c r="S313" s="35">
        <v>31.8</v>
      </c>
      <c r="T313" s="4">
        <f t="shared" si="63"/>
        <v>1.2072000000000001</v>
      </c>
      <c r="U313" s="11">
        <v>30</v>
      </c>
      <c r="V313" s="35">
        <v>0</v>
      </c>
      <c r="W313" s="35">
        <v>0</v>
      </c>
      <c r="X313" s="4">
        <f t="shared" si="64"/>
        <v>1</v>
      </c>
      <c r="Y313" s="11">
        <v>20</v>
      </c>
      <c r="Z313" s="44">
        <f t="shared" si="71"/>
        <v>1.1060333333333332</v>
      </c>
      <c r="AA313" s="45">
        <v>595</v>
      </c>
      <c r="AB313" s="35">
        <f t="shared" si="65"/>
        <v>54.090909090909093</v>
      </c>
      <c r="AC313" s="35">
        <f t="shared" si="66"/>
        <v>59.8</v>
      </c>
      <c r="AD313" s="35">
        <f t="shared" si="67"/>
        <v>5.7090909090909037</v>
      </c>
      <c r="AE313" s="35">
        <v>2</v>
      </c>
      <c r="AF313" s="35">
        <f t="shared" si="68"/>
        <v>61.8</v>
      </c>
      <c r="AG313" s="35"/>
      <c r="AH313" s="35">
        <f t="shared" si="69"/>
        <v>61.8</v>
      </c>
      <c r="AI313" s="35">
        <v>61.8</v>
      </c>
      <c r="AJ313" s="35">
        <f t="shared" si="70"/>
        <v>0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0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10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10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10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10"/>
      <c r="GC313" s="9"/>
      <c r="GD313" s="9"/>
    </row>
    <row r="314" spans="1:186" s="2" customFormat="1" ht="17" customHeight="1">
      <c r="A314" s="46" t="s">
        <v>307</v>
      </c>
      <c r="B314" s="35">
        <v>0</v>
      </c>
      <c r="C314" s="35">
        <v>0</v>
      </c>
      <c r="D314" s="4">
        <f t="shared" si="61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260.3</v>
      </c>
      <c r="O314" s="35">
        <v>160.80000000000001</v>
      </c>
      <c r="P314" s="4">
        <f t="shared" si="62"/>
        <v>0.61774875144064545</v>
      </c>
      <c r="Q314" s="11">
        <v>20</v>
      </c>
      <c r="R314" s="35">
        <v>23</v>
      </c>
      <c r="S314" s="35">
        <v>27.3</v>
      </c>
      <c r="T314" s="4">
        <f t="shared" si="63"/>
        <v>1.1869565217391305</v>
      </c>
      <c r="U314" s="11">
        <v>10</v>
      </c>
      <c r="V314" s="35">
        <v>0</v>
      </c>
      <c r="W314" s="35">
        <v>0</v>
      </c>
      <c r="X314" s="4">
        <f t="shared" si="64"/>
        <v>1</v>
      </c>
      <c r="Y314" s="11">
        <v>40</v>
      </c>
      <c r="Z314" s="44">
        <f t="shared" si="71"/>
        <v>0.91749343208863166</v>
      </c>
      <c r="AA314" s="45">
        <v>918</v>
      </c>
      <c r="AB314" s="35">
        <f t="shared" si="65"/>
        <v>83.454545454545453</v>
      </c>
      <c r="AC314" s="35">
        <f t="shared" si="66"/>
        <v>76.599999999999994</v>
      </c>
      <c r="AD314" s="35">
        <f t="shared" si="67"/>
        <v>-6.8545454545454589</v>
      </c>
      <c r="AE314" s="35">
        <v>0.3</v>
      </c>
      <c r="AF314" s="35">
        <f t="shared" si="68"/>
        <v>76.899999999999991</v>
      </c>
      <c r="AG314" s="35"/>
      <c r="AH314" s="35">
        <f t="shared" si="69"/>
        <v>76.899999999999991</v>
      </c>
      <c r="AI314" s="35">
        <v>76.899999999999991</v>
      </c>
      <c r="AJ314" s="35">
        <f t="shared" si="70"/>
        <v>0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0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10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10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10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10"/>
      <c r="GC314" s="9"/>
      <c r="GD314" s="9"/>
    </row>
    <row r="315" spans="1:186" s="2" customFormat="1" ht="17" customHeight="1">
      <c r="A315" s="46" t="s">
        <v>308</v>
      </c>
      <c r="B315" s="35">
        <v>0</v>
      </c>
      <c r="C315" s="35">
        <v>0</v>
      </c>
      <c r="D315" s="4">
        <f t="shared" si="61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362.8</v>
      </c>
      <c r="O315" s="35">
        <v>1010.9</v>
      </c>
      <c r="P315" s="4">
        <f t="shared" si="62"/>
        <v>1.3</v>
      </c>
      <c r="Q315" s="11">
        <v>20</v>
      </c>
      <c r="R315" s="35">
        <v>121</v>
      </c>
      <c r="S315" s="35">
        <v>128.6</v>
      </c>
      <c r="T315" s="4">
        <f t="shared" si="63"/>
        <v>1.0628099173553718</v>
      </c>
      <c r="U315" s="11">
        <v>40</v>
      </c>
      <c r="V315" s="35">
        <v>0</v>
      </c>
      <c r="W315" s="35">
        <v>0</v>
      </c>
      <c r="X315" s="4">
        <f t="shared" si="64"/>
        <v>1</v>
      </c>
      <c r="Y315" s="11">
        <v>10</v>
      </c>
      <c r="Z315" s="44">
        <f t="shared" si="71"/>
        <v>1.1216056670602124</v>
      </c>
      <c r="AA315" s="45">
        <v>5</v>
      </c>
      <c r="AB315" s="35">
        <f t="shared" si="65"/>
        <v>0.45454545454545453</v>
      </c>
      <c r="AC315" s="35">
        <f t="shared" si="66"/>
        <v>0.5</v>
      </c>
      <c r="AD315" s="35">
        <f t="shared" si="67"/>
        <v>4.545454545454547E-2</v>
      </c>
      <c r="AE315" s="35">
        <v>0</v>
      </c>
      <c r="AF315" s="35">
        <f t="shared" si="68"/>
        <v>0.5</v>
      </c>
      <c r="AG315" s="35">
        <f>MIN(AF315,0.2)</f>
        <v>0.2</v>
      </c>
      <c r="AH315" s="35">
        <f t="shared" si="69"/>
        <v>0.3</v>
      </c>
      <c r="AI315" s="35">
        <v>0.3</v>
      </c>
      <c r="AJ315" s="35">
        <f t="shared" si="70"/>
        <v>0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0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10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10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10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10"/>
      <c r="GC315" s="9"/>
      <c r="GD315" s="9"/>
    </row>
    <row r="316" spans="1:186" s="2" customFormat="1" ht="17" customHeight="1">
      <c r="A316" s="46" t="s">
        <v>309</v>
      </c>
      <c r="B316" s="35">
        <v>120</v>
      </c>
      <c r="C316" s="35">
        <v>8506</v>
      </c>
      <c r="D316" s="4">
        <f t="shared" si="61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144.1</v>
      </c>
      <c r="O316" s="35">
        <v>35.299999999999997</v>
      </c>
      <c r="P316" s="4">
        <f t="shared" si="62"/>
        <v>0.24496877168632894</v>
      </c>
      <c r="Q316" s="11">
        <v>20</v>
      </c>
      <c r="R316" s="35">
        <v>0</v>
      </c>
      <c r="S316" s="35">
        <v>0.9</v>
      </c>
      <c r="T316" s="4">
        <f t="shared" si="63"/>
        <v>1</v>
      </c>
      <c r="U316" s="11">
        <v>15</v>
      </c>
      <c r="V316" s="35">
        <v>0.4</v>
      </c>
      <c r="W316" s="35">
        <v>0.5</v>
      </c>
      <c r="X316" s="4">
        <f t="shared" si="64"/>
        <v>1.2050000000000001</v>
      </c>
      <c r="Y316" s="11">
        <v>35</v>
      </c>
      <c r="Z316" s="44">
        <f t="shared" si="71"/>
        <v>0.93842969292158218</v>
      </c>
      <c r="AA316" s="45">
        <v>629</v>
      </c>
      <c r="AB316" s="35">
        <f t="shared" si="65"/>
        <v>57.18181818181818</v>
      </c>
      <c r="AC316" s="35">
        <f t="shared" si="66"/>
        <v>53.7</v>
      </c>
      <c r="AD316" s="35">
        <f t="shared" si="67"/>
        <v>-3.481818181818177</v>
      </c>
      <c r="AE316" s="35">
        <v>2.2000000000000002</v>
      </c>
      <c r="AF316" s="35">
        <f t="shared" si="68"/>
        <v>55.900000000000006</v>
      </c>
      <c r="AG316" s="35">
        <f>MIN(AF316,28.6)</f>
        <v>28.6</v>
      </c>
      <c r="AH316" s="35">
        <f t="shared" si="69"/>
        <v>27.300000000000004</v>
      </c>
      <c r="AI316" s="35">
        <v>27.300000000000004</v>
      </c>
      <c r="AJ316" s="35">
        <f t="shared" si="70"/>
        <v>0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0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10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10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10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10"/>
      <c r="GC316" s="9"/>
      <c r="GD316" s="9"/>
    </row>
    <row r="317" spans="1:186" s="2" customFormat="1" ht="17" customHeight="1">
      <c r="A317" s="46" t="s">
        <v>310</v>
      </c>
      <c r="B317" s="35">
        <v>1105</v>
      </c>
      <c r="C317" s="35">
        <v>754.7</v>
      </c>
      <c r="D317" s="4">
        <f t="shared" si="61"/>
        <v>0.6829864253393666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320.60000000000002</v>
      </c>
      <c r="O317" s="35">
        <v>346.6</v>
      </c>
      <c r="P317" s="4">
        <f t="shared" si="62"/>
        <v>1.0810979413599502</v>
      </c>
      <c r="Q317" s="11">
        <v>20</v>
      </c>
      <c r="R317" s="35">
        <v>15</v>
      </c>
      <c r="S317" s="35">
        <v>17.8</v>
      </c>
      <c r="T317" s="4">
        <f t="shared" si="63"/>
        <v>1.1866666666666668</v>
      </c>
      <c r="U317" s="11">
        <v>20</v>
      </c>
      <c r="V317" s="35">
        <v>0</v>
      </c>
      <c r="W317" s="35">
        <v>0</v>
      </c>
      <c r="X317" s="4">
        <f t="shared" si="64"/>
        <v>1</v>
      </c>
      <c r="Y317" s="11">
        <v>30</v>
      </c>
      <c r="Z317" s="44">
        <f t="shared" si="71"/>
        <v>1.0273144551740749</v>
      </c>
      <c r="AA317" s="45">
        <v>1119</v>
      </c>
      <c r="AB317" s="35">
        <f t="shared" si="65"/>
        <v>101.72727272727273</v>
      </c>
      <c r="AC317" s="35">
        <f t="shared" si="66"/>
        <v>104.5</v>
      </c>
      <c r="AD317" s="35">
        <f t="shared" si="67"/>
        <v>2.7727272727272663</v>
      </c>
      <c r="AE317" s="35">
        <v>4.2</v>
      </c>
      <c r="AF317" s="35">
        <f t="shared" si="68"/>
        <v>108.7</v>
      </c>
      <c r="AG317" s="35">
        <f>MIN(AF317,50.9)</f>
        <v>50.9</v>
      </c>
      <c r="AH317" s="35">
        <f t="shared" si="69"/>
        <v>57.800000000000004</v>
      </c>
      <c r="AI317" s="35">
        <v>57.800000000000004</v>
      </c>
      <c r="AJ317" s="35">
        <f t="shared" si="70"/>
        <v>0</v>
      </c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0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10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10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10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10"/>
      <c r="GC317" s="9"/>
      <c r="GD317" s="9"/>
    </row>
    <row r="318" spans="1:186" s="2" customFormat="1" ht="17" customHeight="1">
      <c r="A318" s="46" t="s">
        <v>311</v>
      </c>
      <c r="B318" s="35">
        <v>0</v>
      </c>
      <c r="C318" s="35">
        <v>0</v>
      </c>
      <c r="D318" s="4">
        <f t="shared" si="61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112.9</v>
      </c>
      <c r="O318" s="35">
        <v>54.9</v>
      </c>
      <c r="P318" s="4">
        <f t="shared" si="62"/>
        <v>0.48627103631532326</v>
      </c>
      <c r="Q318" s="11">
        <v>20</v>
      </c>
      <c r="R318" s="35">
        <v>0</v>
      </c>
      <c r="S318" s="35">
        <v>0</v>
      </c>
      <c r="T318" s="4">
        <f t="shared" si="63"/>
        <v>1</v>
      </c>
      <c r="U318" s="11">
        <v>20</v>
      </c>
      <c r="V318" s="35">
        <v>0</v>
      </c>
      <c r="W318" s="35">
        <v>0</v>
      </c>
      <c r="X318" s="4">
        <f t="shared" si="64"/>
        <v>1</v>
      </c>
      <c r="Y318" s="11">
        <v>30</v>
      </c>
      <c r="Z318" s="44">
        <f t="shared" si="71"/>
        <v>0.85322029609009242</v>
      </c>
      <c r="AA318" s="45">
        <v>838</v>
      </c>
      <c r="AB318" s="35">
        <f t="shared" si="65"/>
        <v>76.181818181818187</v>
      </c>
      <c r="AC318" s="35">
        <f t="shared" si="66"/>
        <v>65</v>
      </c>
      <c r="AD318" s="35">
        <f t="shared" si="67"/>
        <v>-11.181818181818187</v>
      </c>
      <c r="AE318" s="35">
        <v>0</v>
      </c>
      <c r="AF318" s="35">
        <f t="shared" si="68"/>
        <v>65</v>
      </c>
      <c r="AG318" s="35">
        <f>MIN(AF318,31.2)</f>
        <v>31.2</v>
      </c>
      <c r="AH318" s="35">
        <f t="shared" si="69"/>
        <v>33.799999999999997</v>
      </c>
      <c r="AI318" s="35">
        <v>33.799999999999997</v>
      </c>
      <c r="AJ318" s="35">
        <f t="shared" si="70"/>
        <v>0</v>
      </c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0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10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10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10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10"/>
      <c r="GC318" s="9"/>
      <c r="GD318" s="9"/>
    </row>
    <row r="319" spans="1:186" s="2" customFormat="1" ht="17" customHeight="1">
      <c r="A319" s="46" t="s">
        <v>312</v>
      </c>
      <c r="B319" s="35">
        <v>4400</v>
      </c>
      <c r="C319" s="35">
        <v>1511</v>
      </c>
      <c r="D319" s="4">
        <f t="shared" si="61"/>
        <v>0.34340909090909089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134.19999999999999</v>
      </c>
      <c r="O319" s="35">
        <v>120.7</v>
      </c>
      <c r="P319" s="4">
        <f t="shared" si="62"/>
        <v>0.89940387481371098</v>
      </c>
      <c r="Q319" s="11">
        <v>20</v>
      </c>
      <c r="R319" s="35">
        <v>280</v>
      </c>
      <c r="S319" s="35">
        <v>338.2</v>
      </c>
      <c r="T319" s="4">
        <f t="shared" si="63"/>
        <v>1.2007857142857143</v>
      </c>
      <c r="U319" s="11">
        <v>40</v>
      </c>
      <c r="V319" s="35">
        <v>0.8</v>
      </c>
      <c r="W319" s="35">
        <v>0.9</v>
      </c>
      <c r="X319" s="4">
        <f t="shared" si="64"/>
        <v>1.125</v>
      </c>
      <c r="Y319" s="11">
        <v>10</v>
      </c>
      <c r="Z319" s="44">
        <f t="shared" si="71"/>
        <v>1.0087949622099213</v>
      </c>
      <c r="AA319" s="45">
        <v>949</v>
      </c>
      <c r="AB319" s="35">
        <f t="shared" si="65"/>
        <v>86.272727272727266</v>
      </c>
      <c r="AC319" s="35">
        <f t="shared" si="66"/>
        <v>87</v>
      </c>
      <c r="AD319" s="35">
        <f t="shared" si="67"/>
        <v>0.72727272727273373</v>
      </c>
      <c r="AE319" s="35">
        <v>-9.3000000000000007</v>
      </c>
      <c r="AF319" s="35">
        <f t="shared" si="68"/>
        <v>77.7</v>
      </c>
      <c r="AG319" s="35">
        <f>MIN(AF319,43.1)</f>
        <v>43.1</v>
      </c>
      <c r="AH319" s="35">
        <f t="shared" si="69"/>
        <v>34.6</v>
      </c>
      <c r="AI319" s="35">
        <v>34.6</v>
      </c>
      <c r="AJ319" s="35">
        <f t="shared" si="70"/>
        <v>0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10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10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10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10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10"/>
      <c r="GC319" s="9"/>
      <c r="GD319" s="9"/>
    </row>
    <row r="320" spans="1:186" s="2" customFormat="1" ht="17" customHeight="1">
      <c r="A320" s="46" t="s">
        <v>313</v>
      </c>
      <c r="B320" s="35">
        <v>0</v>
      </c>
      <c r="C320" s="35">
        <v>0</v>
      </c>
      <c r="D320" s="4">
        <f t="shared" si="61"/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134.6</v>
      </c>
      <c r="O320" s="35">
        <v>48</v>
      </c>
      <c r="P320" s="4">
        <f t="shared" si="62"/>
        <v>0.35661218424962854</v>
      </c>
      <c r="Q320" s="11">
        <v>20</v>
      </c>
      <c r="R320" s="35">
        <v>0</v>
      </c>
      <c r="S320" s="35">
        <v>0</v>
      </c>
      <c r="T320" s="4">
        <f t="shared" si="63"/>
        <v>1</v>
      </c>
      <c r="U320" s="11">
        <v>25</v>
      </c>
      <c r="V320" s="35">
        <v>0</v>
      </c>
      <c r="W320" s="35">
        <v>0</v>
      </c>
      <c r="X320" s="4">
        <f t="shared" si="64"/>
        <v>1</v>
      </c>
      <c r="Y320" s="11">
        <v>25</v>
      </c>
      <c r="Z320" s="44">
        <f t="shared" si="71"/>
        <v>0.81617490978560825</v>
      </c>
      <c r="AA320" s="45">
        <v>377</v>
      </c>
      <c r="AB320" s="35">
        <f t="shared" si="65"/>
        <v>34.272727272727273</v>
      </c>
      <c r="AC320" s="35">
        <f t="shared" si="66"/>
        <v>28</v>
      </c>
      <c r="AD320" s="35">
        <f t="shared" si="67"/>
        <v>-6.2727272727272734</v>
      </c>
      <c r="AE320" s="35">
        <v>0</v>
      </c>
      <c r="AF320" s="35">
        <f t="shared" si="68"/>
        <v>28</v>
      </c>
      <c r="AG320" s="35"/>
      <c r="AH320" s="35">
        <f t="shared" si="69"/>
        <v>28</v>
      </c>
      <c r="AI320" s="35">
        <v>28</v>
      </c>
      <c r="AJ320" s="35">
        <f t="shared" si="70"/>
        <v>0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10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10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10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10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10"/>
      <c r="GC320" s="9"/>
      <c r="GD320" s="9"/>
    </row>
    <row r="321" spans="1:186" s="2" customFormat="1" ht="17" customHeight="1">
      <c r="A321" s="18" t="s">
        <v>314</v>
      </c>
      <c r="B321" s="6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35"/>
      <c r="AF321" s="35"/>
      <c r="AG321" s="35"/>
      <c r="AH321" s="35"/>
      <c r="AI321" s="35"/>
      <c r="AJ321" s="35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10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10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10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10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10"/>
      <c r="GC321" s="9"/>
      <c r="GD321" s="9"/>
    </row>
    <row r="322" spans="1:186" s="2" customFormat="1" ht="17" customHeight="1">
      <c r="A322" s="14" t="s">
        <v>315</v>
      </c>
      <c r="B322" s="35">
        <v>70</v>
      </c>
      <c r="C322" s="35">
        <v>115</v>
      </c>
      <c r="D322" s="4">
        <f t="shared" si="61"/>
        <v>1.2442857142857142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22.5</v>
      </c>
      <c r="O322" s="35">
        <v>71</v>
      </c>
      <c r="P322" s="4">
        <f t="shared" si="62"/>
        <v>1.3</v>
      </c>
      <c r="Q322" s="11">
        <v>20</v>
      </c>
      <c r="R322" s="35">
        <v>1</v>
      </c>
      <c r="S322" s="35">
        <v>1.1000000000000001</v>
      </c>
      <c r="T322" s="4">
        <f t="shared" si="63"/>
        <v>1.1000000000000001</v>
      </c>
      <c r="U322" s="11">
        <v>30</v>
      </c>
      <c r="V322" s="35">
        <v>1</v>
      </c>
      <c r="W322" s="35">
        <v>1.1000000000000001</v>
      </c>
      <c r="X322" s="4">
        <f t="shared" si="64"/>
        <v>1.1000000000000001</v>
      </c>
      <c r="Y322" s="11">
        <v>20</v>
      </c>
      <c r="Z322" s="44">
        <f t="shared" si="71"/>
        <v>1.1680357142857143</v>
      </c>
      <c r="AA322" s="45">
        <v>1667</v>
      </c>
      <c r="AB322" s="35">
        <f t="shared" si="65"/>
        <v>151.54545454545453</v>
      </c>
      <c r="AC322" s="35">
        <f t="shared" si="66"/>
        <v>177</v>
      </c>
      <c r="AD322" s="35">
        <f t="shared" si="67"/>
        <v>25.454545454545467</v>
      </c>
      <c r="AE322" s="35">
        <v>-3.3</v>
      </c>
      <c r="AF322" s="35">
        <f t="shared" si="68"/>
        <v>173.7</v>
      </c>
      <c r="AG322" s="35">
        <f>MIN(AF322,75.8)</f>
        <v>75.8</v>
      </c>
      <c r="AH322" s="35">
        <f t="shared" si="69"/>
        <v>97.899999999999991</v>
      </c>
      <c r="AI322" s="35">
        <v>97.899999999999991</v>
      </c>
      <c r="AJ322" s="35">
        <f t="shared" si="70"/>
        <v>0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10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10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10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10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10"/>
      <c r="GC322" s="9"/>
      <c r="GD322" s="9"/>
    </row>
    <row r="323" spans="1:186" s="2" customFormat="1" ht="17" customHeight="1">
      <c r="A323" s="14" t="s">
        <v>316</v>
      </c>
      <c r="B323" s="35">
        <v>73</v>
      </c>
      <c r="C323" s="35">
        <v>75.400000000000006</v>
      </c>
      <c r="D323" s="4">
        <f t="shared" si="61"/>
        <v>1.0328767123287672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107.9</v>
      </c>
      <c r="O323" s="35">
        <v>83</v>
      </c>
      <c r="P323" s="4">
        <f t="shared" si="62"/>
        <v>0.76923076923076916</v>
      </c>
      <c r="Q323" s="11">
        <v>20</v>
      </c>
      <c r="R323" s="35">
        <v>12</v>
      </c>
      <c r="S323" s="35">
        <v>23.1</v>
      </c>
      <c r="T323" s="4">
        <f t="shared" si="63"/>
        <v>1.2725</v>
      </c>
      <c r="U323" s="11">
        <v>20</v>
      </c>
      <c r="V323" s="35">
        <v>2</v>
      </c>
      <c r="W323" s="35">
        <v>2.1</v>
      </c>
      <c r="X323" s="4">
        <f t="shared" si="64"/>
        <v>1.05</v>
      </c>
      <c r="Y323" s="11">
        <v>30</v>
      </c>
      <c r="Z323" s="44">
        <f t="shared" si="71"/>
        <v>1.0332922813487881</v>
      </c>
      <c r="AA323" s="45">
        <v>1357</v>
      </c>
      <c r="AB323" s="35">
        <f t="shared" si="65"/>
        <v>123.36363636363636</v>
      </c>
      <c r="AC323" s="35">
        <f t="shared" si="66"/>
        <v>127.5</v>
      </c>
      <c r="AD323" s="35">
        <f t="shared" si="67"/>
        <v>4.1363636363636402</v>
      </c>
      <c r="AE323" s="35">
        <v>-3.1</v>
      </c>
      <c r="AF323" s="35">
        <f t="shared" si="68"/>
        <v>124.4</v>
      </c>
      <c r="AG323" s="35"/>
      <c r="AH323" s="35">
        <f t="shared" si="69"/>
        <v>124.4</v>
      </c>
      <c r="AI323" s="35">
        <v>124.4</v>
      </c>
      <c r="AJ323" s="35">
        <f t="shared" si="70"/>
        <v>0</v>
      </c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10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10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10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10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10"/>
      <c r="GC323" s="9"/>
      <c r="GD323" s="9"/>
    </row>
    <row r="324" spans="1:186" s="2" customFormat="1" ht="17" customHeight="1">
      <c r="A324" s="14" t="s">
        <v>269</v>
      </c>
      <c r="B324" s="35">
        <v>47</v>
      </c>
      <c r="C324" s="35">
        <v>54.5</v>
      </c>
      <c r="D324" s="4">
        <f t="shared" si="61"/>
        <v>1.1595744680851063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12.4</v>
      </c>
      <c r="O324" s="35">
        <v>7.7</v>
      </c>
      <c r="P324" s="4">
        <f t="shared" si="62"/>
        <v>0.62096774193548387</v>
      </c>
      <c r="Q324" s="11">
        <v>20</v>
      </c>
      <c r="R324" s="35">
        <v>8</v>
      </c>
      <c r="S324" s="35">
        <v>8.9</v>
      </c>
      <c r="T324" s="4">
        <f t="shared" si="63"/>
        <v>1.1125</v>
      </c>
      <c r="U324" s="11">
        <v>30</v>
      </c>
      <c r="V324" s="35">
        <v>2</v>
      </c>
      <c r="W324" s="35">
        <v>2.2000000000000002</v>
      </c>
      <c r="X324" s="4">
        <f t="shared" si="64"/>
        <v>1.1000000000000001</v>
      </c>
      <c r="Y324" s="11">
        <v>20</v>
      </c>
      <c r="Z324" s="44">
        <f t="shared" si="71"/>
        <v>0.99237624399450941</v>
      </c>
      <c r="AA324" s="45">
        <v>1178</v>
      </c>
      <c r="AB324" s="35">
        <f t="shared" si="65"/>
        <v>107.09090909090909</v>
      </c>
      <c r="AC324" s="35">
        <f t="shared" si="66"/>
        <v>106.3</v>
      </c>
      <c r="AD324" s="35">
        <f t="shared" si="67"/>
        <v>-0.79090909090909634</v>
      </c>
      <c r="AE324" s="35">
        <v>-2.9</v>
      </c>
      <c r="AF324" s="35">
        <f t="shared" si="68"/>
        <v>103.39999999999999</v>
      </c>
      <c r="AG324" s="35"/>
      <c r="AH324" s="35">
        <f t="shared" si="69"/>
        <v>103.39999999999999</v>
      </c>
      <c r="AI324" s="35">
        <v>103.39999999999999</v>
      </c>
      <c r="AJ324" s="35">
        <f t="shared" si="70"/>
        <v>0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10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10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10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10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10"/>
      <c r="GC324" s="9"/>
      <c r="GD324" s="9"/>
    </row>
    <row r="325" spans="1:186" s="2" customFormat="1" ht="17" customHeight="1">
      <c r="A325" s="14" t="s">
        <v>317</v>
      </c>
      <c r="B325" s="35">
        <v>147</v>
      </c>
      <c r="C325" s="35">
        <v>148</v>
      </c>
      <c r="D325" s="4">
        <f t="shared" si="61"/>
        <v>1.0068027210884354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123</v>
      </c>
      <c r="O325" s="35">
        <v>37.6</v>
      </c>
      <c r="P325" s="4">
        <f t="shared" si="62"/>
        <v>0.30569105691056914</v>
      </c>
      <c r="Q325" s="11">
        <v>20</v>
      </c>
      <c r="R325" s="35">
        <v>1</v>
      </c>
      <c r="S325" s="35">
        <v>1.2</v>
      </c>
      <c r="T325" s="4">
        <f t="shared" si="63"/>
        <v>1.2</v>
      </c>
      <c r="U325" s="11">
        <v>35</v>
      </c>
      <c r="V325" s="35">
        <v>1</v>
      </c>
      <c r="W325" s="35">
        <v>1.1000000000000001</v>
      </c>
      <c r="X325" s="4">
        <f t="shared" si="64"/>
        <v>1.1000000000000001</v>
      </c>
      <c r="Y325" s="11">
        <v>15</v>
      </c>
      <c r="Z325" s="44">
        <f t="shared" si="71"/>
        <v>0.93352310436369668</v>
      </c>
      <c r="AA325" s="45">
        <v>1997</v>
      </c>
      <c r="AB325" s="35">
        <f t="shared" si="65"/>
        <v>181.54545454545453</v>
      </c>
      <c r="AC325" s="35">
        <f t="shared" si="66"/>
        <v>169.5</v>
      </c>
      <c r="AD325" s="35">
        <f t="shared" si="67"/>
        <v>-12.045454545454533</v>
      </c>
      <c r="AE325" s="35">
        <v>0.2</v>
      </c>
      <c r="AF325" s="35">
        <f t="shared" si="68"/>
        <v>169.7</v>
      </c>
      <c r="AG325" s="35"/>
      <c r="AH325" s="35">
        <f t="shared" si="69"/>
        <v>169.7</v>
      </c>
      <c r="AI325" s="35">
        <v>169.7</v>
      </c>
      <c r="AJ325" s="35">
        <f t="shared" si="70"/>
        <v>0</v>
      </c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10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10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10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10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10"/>
      <c r="GC325" s="9"/>
      <c r="GD325" s="9"/>
    </row>
    <row r="326" spans="1:186" s="2" customFormat="1" ht="17" customHeight="1">
      <c r="A326" s="14" t="s">
        <v>318</v>
      </c>
      <c r="B326" s="35">
        <v>0</v>
      </c>
      <c r="C326" s="35">
        <v>0</v>
      </c>
      <c r="D326" s="4">
        <f t="shared" si="61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308.10000000000002</v>
      </c>
      <c r="O326" s="35">
        <v>277.3</v>
      </c>
      <c r="P326" s="4">
        <f t="shared" si="62"/>
        <v>0.90003245699448231</v>
      </c>
      <c r="Q326" s="11">
        <v>20</v>
      </c>
      <c r="R326" s="35">
        <v>285</v>
      </c>
      <c r="S326" s="35">
        <v>299.10000000000002</v>
      </c>
      <c r="T326" s="4">
        <f t="shared" si="63"/>
        <v>1.0494736842105263</v>
      </c>
      <c r="U326" s="11">
        <v>30</v>
      </c>
      <c r="V326" s="35">
        <v>2</v>
      </c>
      <c r="W326" s="35">
        <v>2.1</v>
      </c>
      <c r="X326" s="4">
        <f t="shared" si="64"/>
        <v>1.05</v>
      </c>
      <c r="Y326" s="11">
        <v>20</v>
      </c>
      <c r="Z326" s="44">
        <f t="shared" si="71"/>
        <v>1.0069265666600777</v>
      </c>
      <c r="AA326" s="45">
        <v>2175</v>
      </c>
      <c r="AB326" s="35">
        <f t="shared" si="65"/>
        <v>197.72727272727272</v>
      </c>
      <c r="AC326" s="35">
        <f t="shared" si="66"/>
        <v>199.1</v>
      </c>
      <c r="AD326" s="35">
        <f t="shared" si="67"/>
        <v>1.3727272727272748</v>
      </c>
      <c r="AE326" s="35">
        <v>-6.4</v>
      </c>
      <c r="AF326" s="35">
        <f t="shared" si="68"/>
        <v>192.7</v>
      </c>
      <c r="AG326" s="35">
        <f>MIN(AF326,98.9)</f>
        <v>98.9</v>
      </c>
      <c r="AH326" s="35">
        <f t="shared" si="69"/>
        <v>93.799999999999983</v>
      </c>
      <c r="AI326" s="35">
        <v>93.799999999999983</v>
      </c>
      <c r="AJ326" s="35">
        <f t="shared" si="70"/>
        <v>0</v>
      </c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10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10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10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10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10"/>
      <c r="GC326" s="9"/>
      <c r="GD326" s="9"/>
    </row>
    <row r="327" spans="1:186" s="2" customFormat="1" ht="17" customHeight="1">
      <c r="A327" s="14" t="s">
        <v>319</v>
      </c>
      <c r="B327" s="35">
        <v>80</v>
      </c>
      <c r="C327" s="35">
        <v>80</v>
      </c>
      <c r="D327" s="4">
        <f t="shared" si="61"/>
        <v>1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76</v>
      </c>
      <c r="O327" s="35">
        <v>54.9</v>
      </c>
      <c r="P327" s="4">
        <f t="shared" si="62"/>
        <v>0.72236842105263155</v>
      </c>
      <c r="Q327" s="11">
        <v>20</v>
      </c>
      <c r="R327" s="35">
        <v>2</v>
      </c>
      <c r="S327" s="35">
        <v>2.4</v>
      </c>
      <c r="T327" s="4">
        <f t="shared" si="63"/>
        <v>1.2</v>
      </c>
      <c r="U327" s="11">
        <v>30</v>
      </c>
      <c r="V327" s="35">
        <v>2</v>
      </c>
      <c r="W327" s="35">
        <v>2.1</v>
      </c>
      <c r="X327" s="4">
        <f t="shared" si="64"/>
        <v>1.05</v>
      </c>
      <c r="Y327" s="11">
        <v>20</v>
      </c>
      <c r="Z327" s="44">
        <f t="shared" si="71"/>
        <v>1.018092105263158</v>
      </c>
      <c r="AA327" s="45">
        <v>1690</v>
      </c>
      <c r="AB327" s="35">
        <f t="shared" si="65"/>
        <v>153.63636363636363</v>
      </c>
      <c r="AC327" s="35">
        <f t="shared" si="66"/>
        <v>156.4</v>
      </c>
      <c r="AD327" s="35">
        <f t="shared" si="67"/>
        <v>2.7636363636363797</v>
      </c>
      <c r="AE327" s="35">
        <v>0.3</v>
      </c>
      <c r="AF327" s="35">
        <f t="shared" si="68"/>
        <v>156.70000000000002</v>
      </c>
      <c r="AG327" s="35"/>
      <c r="AH327" s="35">
        <f t="shared" si="69"/>
        <v>156.70000000000002</v>
      </c>
      <c r="AI327" s="35">
        <v>156.70000000000002</v>
      </c>
      <c r="AJ327" s="35">
        <f t="shared" si="70"/>
        <v>0</v>
      </c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10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10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10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10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10"/>
      <c r="GC327" s="9"/>
      <c r="GD327" s="9"/>
    </row>
    <row r="328" spans="1:186" s="2" customFormat="1" ht="17" customHeight="1">
      <c r="A328" s="14" t="s">
        <v>320</v>
      </c>
      <c r="B328" s="35">
        <v>40</v>
      </c>
      <c r="C328" s="35">
        <v>40</v>
      </c>
      <c r="D328" s="4">
        <f t="shared" si="61"/>
        <v>1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249.2</v>
      </c>
      <c r="O328" s="35">
        <v>359.9</v>
      </c>
      <c r="P328" s="4">
        <f t="shared" si="62"/>
        <v>1.224422150882825</v>
      </c>
      <c r="Q328" s="11">
        <v>20</v>
      </c>
      <c r="R328" s="35">
        <v>8</v>
      </c>
      <c r="S328" s="35">
        <v>14.6</v>
      </c>
      <c r="T328" s="4">
        <f t="shared" si="63"/>
        <v>1.2625</v>
      </c>
      <c r="U328" s="11">
        <v>20</v>
      </c>
      <c r="V328" s="35">
        <v>1</v>
      </c>
      <c r="W328" s="35">
        <v>1.1000000000000001</v>
      </c>
      <c r="X328" s="4">
        <f t="shared" si="64"/>
        <v>1.1000000000000001</v>
      </c>
      <c r="Y328" s="11">
        <v>30</v>
      </c>
      <c r="Z328" s="44">
        <f t="shared" si="71"/>
        <v>1.1592305377207062</v>
      </c>
      <c r="AA328" s="45">
        <v>1441</v>
      </c>
      <c r="AB328" s="35">
        <f t="shared" si="65"/>
        <v>131</v>
      </c>
      <c r="AC328" s="35">
        <f t="shared" si="66"/>
        <v>151.9</v>
      </c>
      <c r="AD328" s="35">
        <f t="shared" si="67"/>
        <v>20.900000000000006</v>
      </c>
      <c r="AE328" s="35">
        <v>-5.8</v>
      </c>
      <c r="AF328" s="35">
        <f t="shared" si="68"/>
        <v>146.1</v>
      </c>
      <c r="AG328" s="35">
        <f>MIN(AF328,1.5)</f>
        <v>1.5</v>
      </c>
      <c r="AH328" s="35">
        <f t="shared" si="69"/>
        <v>144.6</v>
      </c>
      <c r="AI328" s="35">
        <v>144.6</v>
      </c>
      <c r="AJ328" s="35">
        <f t="shared" si="70"/>
        <v>0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10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10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10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10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10"/>
      <c r="GC328" s="9"/>
      <c r="GD328" s="9"/>
    </row>
    <row r="329" spans="1:186" s="2" customFormat="1" ht="17" customHeight="1">
      <c r="A329" s="14" t="s">
        <v>321</v>
      </c>
      <c r="B329" s="35">
        <v>94</v>
      </c>
      <c r="C329" s="35">
        <v>108.1</v>
      </c>
      <c r="D329" s="4">
        <f t="shared" si="61"/>
        <v>1.1499999999999999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63.1</v>
      </c>
      <c r="O329" s="35">
        <v>63.6</v>
      </c>
      <c r="P329" s="4">
        <f t="shared" si="62"/>
        <v>1.0079239302694136</v>
      </c>
      <c r="Q329" s="11">
        <v>20</v>
      </c>
      <c r="R329" s="35">
        <v>4</v>
      </c>
      <c r="S329" s="35">
        <v>4.2</v>
      </c>
      <c r="T329" s="4">
        <f t="shared" si="63"/>
        <v>1.05</v>
      </c>
      <c r="U329" s="11">
        <v>30</v>
      </c>
      <c r="V329" s="35">
        <v>1</v>
      </c>
      <c r="W329" s="35">
        <v>1.1000000000000001</v>
      </c>
      <c r="X329" s="4">
        <f t="shared" si="64"/>
        <v>1.1000000000000001</v>
      </c>
      <c r="Y329" s="11">
        <v>20</v>
      </c>
      <c r="Z329" s="44">
        <f t="shared" si="71"/>
        <v>1.0644809825673534</v>
      </c>
      <c r="AA329" s="45">
        <v>1384</v>
      </c>
      <c r="AB329" s="35">
        <f t="shared" si="65"/>
        <v>125.81818181818181</v>
      </c>
      <c r="AC329" s="35">
        <f t="shared" si="66"/>
        <v>133.9</v>
      </c>
      <c r="AD329" s="35">
        <f t="shared" si="67"/>
        <v>8.0818181818181927</v>
      </c>
      <c r="AE329" s="35">
        <v>0.4</v>
      </c>
      <c r="AF329" s="35">
        <f t="shared" si="68"/>
        <v>134.30000000000001</v>
      </c>
      <c r="AG329" s="35"/>
      <c r="AH329" s="35">
        <f t="shared" si="69"/>
        <v>134.30000000000001</v>
      </c>
      <c r="AI329" s="35">
        <v>134.30000000000001</v>
      </c>
      <c r="AJ329" s="35">
        <f t="shared" si="70"/>
        <v>0</v>
      </c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10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10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10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10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10"/>
      <c r="GC329" s="9"/>
      <c r="GD329" s="9"/>
    </row>
    <row r="330" spans="1:186" s="2" customFormat="1" ht="17" customHeight="1">
      <c r="A330" s="14" t="s">
        <v>322</v>
      </c>
      <c r="B330" s="35">
        <v>42</v>
      </c>
      <c r="C330" s="35">
        <v>45.4</v>
      </c>
      <c r="D330" s="4">
        <f t="shared" si="61"/>
        <v>1.0809523809523809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10.199999999999999</v>
      </c>
      <c r="O330" s="35">
        <v>2.8</v>
      </c>
      <c r="P330" s="4">
        <f t="shared" si="62"/>
        <v>0.27450980392156865</v>
      </c>
      <c r="Q330" s="11">
        <v>20</v>
      </c>
      <c r="R330" s="35">
        <v>2</v>
      </c>
      <c r="S330" s="35">
        <v>2.9</v>
      </c>
      <c r="T330" s="4">
        <f t="shared" si="63"/>
        <v>1.2249999999999999</v>
      </c>
      <c r="U330" s="11">
        <v>25</v>
      </c>
      <c r="V330" s="35">
        <v>1</v>
      </c>
      <c r="W330" s="35">
        <v>1.2</v>
      </c>
      <c r="X330" s="4">
        <f t="shared" si="64"/>
        <v>1.2</v>
      </c>
      <c r="Y330" s="11">
        <v>25</v>
      </c>
      <c r="Z330" s="44">
        <f t="shared" si="71"/>
        <v>0.96155899859943972</v>
      </c>
      <c r="AA330" s="45">
        <v>1234</v>
      </c>
      <c r="AB330" s="35">
        <f t="shared" si="65"/>
        <v>112.18181818181819</v>
      </c>
      <c r="AC330" s="35">
        <f t="shared" si="66"/>
        <v>107.9</v>
      </c>
      <c r="AD330" s="35">
        <f t="shared" si="67"/>
        <v>-4.2818181818181813</v>
      </c>
      <c r="AE330" s="35">
        <v>-5.7</v>
      </c>
      <c r="AF330" s="35">
        <f t="shared" si="68"/>
        <v>102.2</v>
      </c>
      <c r="AG330" s="35"/>
      <c r="AH330" s="35">
        <f t="shared" si="69"/>
        <v>102.2</v>
      </c>
      <c r="AI330" s="35">
        <v>102.2</v>
      </c>
      <c r="AJ330" s="35">
        <f t="shared" si="70"/>
        <v>0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10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10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10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10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10"/>
      <c r="GC330" s="9"/>
      <c r="GD330" s="9"/>
    </row>
    <row r="331" spans="1:186" s="2" customFormat="1" ht="17" customHeight="1">
      <c r="A331" s="14" t="s">
        <v>323</v>
      </c>
      <c r="B331" s="35">
        <v>87</v>
      </c>
      <c r="C331" s="35">
        <v>98</v>
      </c>
      <c r="D331" s="4">
        <f t="shared" si="61"/>
        <v>1.1264367816091954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231.7</v>
      </c>
      <c r="O331" s="35">
        <v>71.7</v>
      </c>
      <c r="P331" s="4">
        <f t="shared" si="62"/>
        <v>0.30945187742770824</v>
      </c>
      <c r="Q331" s="11">
        <v>20</v>
      </c>
      <c r="R331" s="35">
        <v>8</v>
      </c>
      <c r="S331" s="35">
        <v>9.1</v>
      </c>
      <c r="T331" s="4">
        <f t="shared" si="63"/>
        <v>1.1375</v>
      </c>
      <c r="U331" s="11">
        <v>20</v>
      </c>
      <c r="V331" s="35">
        <v>20</v>
      </c>
      <c r="W331" s="35">
        <v>21.1</v>
      </c>
      <c r="X331" s="4">
        <f t="shared" si="64"/>
        <v>1.0550000000000002</v>
      </c>
      <c r="Y331" s="11">
        <v>30</v>
      </c>
      <c r="Z331" s="44">
        <f t="shared" si="71"/>
        <v>0.89816756705807654</v>
      </c>
      <c r="AA331" s="45">
        <v>1627</v>
      </c>
      <c r="AB331" s="35">
        <f t="shared" si="65"/>
        <v>147.90909090909091</v>
      </c>
      <c r="AC331" s="35">
        <f t="shared" si="66"/>
        <v>132.80000000000001</v>
      </c>
      <c r="AD331" s="35">
        <f t="shared" si="67"/>
        <v>-15.109090909090895</v>
      </c>
      <c r="AE331" s="35">
        <v>-1.5</v>
      </c>
      <c r="AF331" s="35">
        <f t="shared" si="68"/>
        <v>131.30000000000001</v>
      </c>
      <c r="AG331" s="35">
        <f>MIN(AF331,70)</f>
        <v>70</v>
      </c>
      <c r="AH331" s="35">
        <f t="shared" si="69"/>
        <v>61.300000000000011</v>
      </c>
      <c r="AI331" s="35">
        <v>61.300000000000011</v>
      </c>
      <c r="AJ331" s="35">
        <f t="shared" si="70"/>
        <v>0</v>
      </c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10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10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10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10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10"/>
      <c r="GC331" s="9"/>
      <c r="GD331" s="9"/>
    </row>
    <row r="332" spans="1:186" s="2" customFormat="1" ht="17" customHeight="1">
      <c r="A332" s="14" t="s">
        <v>324</v>
      </c>
      <c r="B332" s="35">
        <v>11805</v>
      </c>
      <c r="C332" s="35">
        <v>10835.9</v>
      </c>
      <c r="D332" s="4">
        <f t="shared" si="61"/>
        <v>0.91790766624311726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711</v>
      </c>
      <c r="O332" s="35">
        <v>601.70000000000005</v>
      </c>
      <c r="P332" s="4">
        <f t="shared" si="62"/>
        <v>0.84627285513361472</v>
      </c>
      <c r="Q332" s="11">
        <v>20</v>
      </c>
      <c r="R332" s="35">
        <v>10</v>
      </c>
      <c r="S332" s="35">
        <v>13.5</v>
      </c>
      <c r="T332" s="4">
        <f t="shared" si="63"/>
        <v>1.2149999999999999</v>
      </c>
      <c r="U332" s="11">
        <v>20</v>
      </c>
      <c r="V332" s="35">
        <v>8</v>
      </c>
      <c r="W332" s="35">
        <v>8.1999999999999993</v>
      </c>
      <c r="X332" s="4">
        <f t="shared" si="64"/>
        <v>1.0249999999999999</v>
      </c>
      <c r="Y332" s="11">
        <v>30</v>
      </c>
      <c r="Z332" s="44">
        <f t="shared" si="71"/>
        <v>1.0144316720637934</v>
      </c>
      <c r="AA332" s="45">
        <v>3926</v>
      </c>
      <c r="AB332" s="35">
        <f t="shared" si="65"/>
        <v>356.90909090909093</v>
      </c>
      <c r="AC332" s="35">
        <f t="shared" si="66"/>
        <v>362.1</v>
      </c>
      <c r="AD332" s="35">
        <f t="shared" si="67"/>
        <v>5.1909090909090878</v>
      </c>
      <c r="AE332" s="35">
        <v>-15.9</v>
      </c>
      <c r="AF332" s="35">
        <f t="shared" si="68"/>
        <v>346.20000000000005</v>
      </c>
      <c r="AG332" s="35"/>
      <c r="AH332" s="35">
        <f t="shared" si="69"/>
        <v>346.20000000000005</v>
      </c>
      <c r="AI332" s="35">
        <v>346.20000000000005</v>
      </c>
      <c r="AJ332" s="35">
        <f t="shared" si="70"/>
        <v>0</v>
      </c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10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10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10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10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10"/>
      <c r="GC332" s="9"/>
      <c r="GD332" s="9"/>
    </row>
    <row r="333" spans="1:186" s="2" customFormat="1" ht="17" customHeight="1">
      <c r="A333" s="18" t="s">
        <v>325</v>
      </c>
      <c r="B333" s="6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35"/>
      <c r="AF333" s="35"/>
      <c r="AG333" s="35"/>
      <c r="AH333" s="35"/>
      <c r="AI333" s="35"/>
      <c r="AJ333" s="35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10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10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10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10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10"/>
      <c r="GC333" s="9"/>
      <c r="GD333" s="9"/>
    </row>
    <row r="334" spans="1:186" s="2" customFormat="1" ht="17" customHeight="1">
      <c r="A334" s="46" t="s">
        <v>326</v>
      </c>
      <c r="B334" s="35">
        <v>34</v>
      </c>
      <c r="C334" s="35">
        <v>34.799999999999997</v>
      </c>
      <c r="D334" s="4">
        <f t="shared" si="61"/>
        <v>1.0235294117647058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175.5</v>
      </c>
      <c r="O334" s="35">
        <v>132.4</v>
      </c>
      <c r="P334" s="4">
        <f t="shared" si="62"/>
        <v>0.75441595441595444</v>
      </c>
      <c r="Q334" s="11">
        <v>20</v>
      </c>
      <c r="R334" s="35">
        <v>25</v>
      </c>
      <c r="S334" s="35">
        <v>24.7</v>
      </c>
      <c r="T334" s="4">
        <f t="shared" si="63"/>
        <v>0.98799999999999999</v>
      </c>
      <c r="U334" s="11">
        <v>25</v>
      </c>
      <c r="V334" s="35">
        <v>3.3</v>
      </c>
      <c r="W334" s="35">
        <v>3.3</v>
      </c>
      <c r="X334" s="4">
        <f t="shared" si="64"/>
        <v>1</v>
      </c>
      <c r="Y334" s="11">
        <v>25</v>
      </c>
      <c r="Z334" s="44">
        <f t="shared" si="71"/>
        <v>0.93779516507457683</v>
      </c>
      <c r="AA334" s="45">
        <v>1200</v>
      </c>
      <c r="AB334" s="35">
        <f t="shared" si="65"/>
        <v>109.09090909090909</v>
      </c>
      <c r="AC334" s="35">
        <f t="shared" si="66"/>
        <v>102.3</v>
      </c>
      <c r="AD334" s="35">
        <f t="shared" si="67"/>
        <v>-6.7909090909090963</v>
      </c>
      <c r="AE334" s="35">
        <v>-1.2</v>
      </c>
      <c r="AF334" s="35">
        <f t="shared" si="68"/>
        <v>101.1</v>
      </c>
      <c r="AG334" s="35"/>
      <c r="AH334" s="35">
        <f t="shared" si="69"/>
        <v>101.1</v>
      </c>
      <c r="AI334" s="35">
        <v>101.1</v>
      </c>
      <c r="AJ334" s="35">
        <f t="shared" si="70"/>
        <v>0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10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10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10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10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10"/>
      <c r="GC334" s="9"/>
      <c r="GD334" s="9"/>
    </row>
    <row r="335" spans="1:186" s="2" customFormat="1" ht="17" customHeight="1">
      <c r="A335" s="46" t="s">
        <v>327</v>
      </c>
      <c r="B335" s="35">
        <v>33</v>
      </c>
      <c r="C335" s="35">
        <v>40.5</v>
      </c>
      <c r="D335" s="4">
        <f t="shared" si="61"/>
        <v>1.2027272727272726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124.4</v>
      </c>
      <c r="O335" s="35">
        <v>30.3</v>
      </c>
      <c r="P335" s="4">
        <f t="shared" si="62"/>
        <v>0.24356913183279741</v>
      </c>
      <c r="Q335" s="11">
        <v>20</v>
      </c>
      <c r="R335" s="35">
        <v>30</v>
      </c>
      <c r="S335" s="35">
        <v>30</v>
      </c>
      <c r="T335" s="4">
        <f t="shared" si="63"/>
        <v>1</v>
      </c>
      <c r="U335" s="11">
        <v>30</v>
      </c>
      <c r="V335" s="35">
        <v>3.2</v>
      </c>
      <c r="W335" s="35">
        <v>3.3</v>
      </c>
      <c r="X335" s="4">
        <f t="shared" si="64"/>
        <v>1.0312499999999998</v>
      </c>
      <c r="Y335" s="11">
        <v>20</v>
      </c>
      <c r="Z335" s="44">
        <f t="shared" si="71"/>
        <v>0.8440456920491084</v>
      </c>
      <c r="AA335" s="45">
        <v>967</v>
      </c>
      <c r="AB335" s="35">
        <f t="shared" si="65"/>
        <v>87.909090909090907</v>
      </c>
      <c r="AC335" s="35">
        <f t="shared" si="66"/>
        <v>74.2</v>
      </c>
      <c r="AD335" s="35">
        <f t="shared" si="67"/>
        <v>-13.709090909090904</v>
      </c>
      <c r="AE335" s="35">
        <v>-2</v>
      </c>
      <c r="AF335" s="35">
        <f t="shared" si="68"/>
        <v>72.2</v>
      </c>
      <c r="AG335" s="35"/>
      <c r="AH335" s="35">
        <f t="shared" si="69"/>
        <v>72.2</v>
      </c>
      <c r="AI335" s="35">
        <v>72.2</v>
      </c>
      <c r="AJ335" s="35">
        <f t="shared" si="70"/>
        <v>0</v>
      </c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10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10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10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10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10"/>
      <c r="GC335" s="9"/>
      <c r="GD335" s="9"/>
    </row>
    <row r="336" spans="1:186" s="2" customFormat="1" ht="17" customHeight="1">
      <c r="A336" s="46" t="s">
        <v>328</v>
      </c>
      <c r="B336" s="35">
        <v>55</v>
      </c>
      <c r="C336" s="35">
        <v>53.1</v>
      </c>
      <c r="D336" s="4">
        <f t="shared" si="61"/>
        <v>0.96545454545454545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62.3</v>
      </c>
      <c r="O336" s="35">
        <v>43.6</v>
      </c>
      <c r="P336" s="4">
        <f t="shared" si="62"/>
        <v>0.6998394863563403</v>
      </c>
      <c r="Q336" s="11">
        <v>20</v>
      </c>
      <c r="R336" s="35">
        <v>45</v>
      </c>
      <c r="S336" s="35">
        <v>43</v>
      </c>
      <c r="T336" s="4">
        <f t="shared" si="63"/>
        <v>0.9555555555555556</v>
      </c>
      <c r="U336" s="11">
        <v>30</v>
      </c>
      <c r="V336" s="35">
        <v>6</v>
      </c>
      <c r="W336" s="35">
        <v>6.1</v>
      </c>
      <c r="X336" s="4">
        <f t="shared" si="64"/>
        <v>1.0166666666666666</v>
      </c>
      <c r="Y336" s="11">
        <v>20</v>
      </c>
      <c r="Z336" s="44">
        <f t="shared" si="71"/>
        <v>0.90814168977090315</v>
      </c>
      <c r="AA336" s="45">
        <v>1308</v>
      </c>
      <c r="AB336" s="35">
        <f t="shared" si="65"/>
        <v>118.90909090909091</v>
      </c>
      <c r="AC336" s="35">
        <f t="shared" si="66"/>
        <v>108</v>
      </c>
      <c r="AD336" s="35">
        <f t="shared" si="67"/>
        <v>-10.909090909090907</v>
      </c>
      <c r="AE336" s="35">
        <v>-9.4</v>
      </c>
      <c r="AF336" s="35">
        <f t="shared" si="68"/>
        <v>98.6</v>
      </c>
      <c r="AG336" s="35"/>
      <c r="AH336" s="35">
        <f t="shared" si="69"/>
        <v>98.6</v>
      </c>
      <c r="AI336" s="35">
        <v>98.6</v>
      </c>
      <c r="AJ336" s="35">
        <f t="shared" si="70"/>
        <v>0</v>
      </c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10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10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10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10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10"/>
      <c r="GC336" s="9"/>
      <c r="GD336" s="9"/>
    </row>
    <row r="337" spans="1:186" s="2" customFormat="1" ht="17" customHeight="1">
      <c r="A337" s="46" t="s">
        <v>329</v>
      </c>
      <c r="B337" s="35">
        <v>145</v>
      </c>
      <c r="C337" s="35">
        <v>145</v>
      </c>
      <c r="D337" s="4">
        <f t="shared" si="61"/>
        <v>1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94.4</v>
      </c>
      <c r="O337" s="35">
        <v>165.7</v>
      </c>
      <c r="P337" s="4">
        <f t="shared" si="62"/>
        <v>1.2555296610169491</v>
      </c>
      <c r="Q337" s="11">
        <v>20</v>
      </c>
      <c r="R337" s="35">
        <v>3</v>
      </c>
      <c r="S337" s="35">
        <v>2.9</v>
      </c>
      <c r="T337" s="4">
        <f t="shared" si="63"/>
        <v>0.96666666666666667</v>
      </c>
      <c r="U337" s="11">
        <v>20</v>
      </c>
      <c r="V337" s="35">
        <v>1</v>
      </c>
      <c r="W337" s="35">
        <v>1</v>
      </c>
      <c r="X337" s="4">
        <f t="shared" si="64"/>
        <v>1</v>
      </c>
      <c r="Y337" s="11">
        <v>30</v>
      </c>
      <c r="Z337" s="44">
        <f t="shared" si="71"/>
        <v>1.0555490819209039</v>
      </c>
      <c r="AA337" s="45">
        <v>1146</v>
      </c>
      <c r="AB337" s="35">
        <f t="shared" si="65"/>
        <v>104.18181818181819</v>
      </c>
      <c r="AC337" s="35">
        <f t="shared" si="66"/>
        <v>110</v>
      </c>
      <c r="AD337" s="35">
        <f t="shared" si="67"/>
        <v>5.818181818181813</v>
      </c>
      <c r="AE337" s="35">
        <v>-6.7</v>
      </c>
      <c r="AF337" s="35">
        <f t="shared" si="68"/>
        <v>103.3</v>
      </c>
      <c r="AG337" s="35"/>
      <c r="AH337" s="35">
        <f t="shared" si="69"/>
        <v>103.3</v>
      </c>
      <c r="AI337" s="35">
        <v>103.3</v>
      </c>
      <c r="AJ337" s="35">
        <f t="shared" si="70"/>
        <v>0</v>
      </c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10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10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10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10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10"/>
      <c r="GC337" s="9"/>
      <c r="GD337" s="9"/>
    </row>
    <row r="338" spans="1:186" s="2" customFormat="1" ht="17" customHeight="1">
      <c r="A338" s="46" t="s">
        <v>330</v>
      </c>
      <c r="B338" s="35">
        <v>48</v>
      </c>
      <c r="C338" s="35">
        <v>47.1</v>
      </c>
      <c r="D338" s="4">
        <f t="shared" si="61"/>
        <v>0.98125000000000007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129.80000000000001</v>
      </c>
      <c r="O338" s="35">
        <v>110.2</v>
      </c>
      <c r="P338" s="4">
        <f t="shared" si="62"/>
        <v>0.84899845916795069</v>
      </c>
      <c r="Q338" s="11">
        <v>20</v>
      </c>
      <c r="R338" s="35">
        <v>0.5</v>
      </c>
      <c r="S338" s="35">
        <v>0.5</v>
      </c>
      <c r="T338" s="4">
        <f t="shared" si="63"/>
        <v>1</v>
      </c>
      <c r="U338" s="11">
        <v>20</v>
      </c>
      <c r="V338" s="35">
        <v>1</v>
      </c>
      <c r="W338" s="35">
        <v>1</v>
      </c>
      <c r="X338" s="4">
        <f t="shared" si="64"/>
        <v>1</v>
      </c>
      <c r="Y338" s="11">
        <v>30</v>
      </c>
      <c r="Z338" s="44">
        <f t="shared" si="71"/>
        <v>0.9599058647919877</v>
      </c>
      <c r="AA338" s="45">
        <v>535</v>
      </c>
      <c r="AB338" s="35">
        <f t="shared" si="65"/>
        <v>48.636363636363633</v>
      </c>
      <c r="AC338" s="35">
        <f t="shared" si="66"/>
        <v>46.7</v>
      </c>
      <c r="AD338" s="35">
        <f t="shared" si="67"/>
        <v>-1.9363636363636303</v>
      </c>
      <c r="AE338" s="35">
        <v>-2.4</v>
      </c>
      <c r="AF338" s="35">
        <f t="shared" si="68"/>
        <v>44.300000000000004</v>
      </c>
      <c r="AG338" s="35"/>
      <c r="AH338" s="35">
        <f t="shared" si="69"/>
        <v>44.300000000000004</v>
      </c>
      <c r="AI338" s="35">
        <v>44.300000000000004</v>
      </c>
      <c r="AJ338" s="35">
        <f t="shared" si="70"/>
        <v>0</v>
      </c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10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10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10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10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10"/>
      <c r="GC338" s="9"/>
      <c r="GD338" s="9"/>
    </row>
    <row r="339" spans="1:186" s="2" customFormat="1" ht="17" customHeight="1">
      <c r="A339" s="46" t="s">
        <v>331</v>
      </c>
      <c r="B339" s="35">
        <v>67</v>
      </c>
      <c r="C339" s="35">
        <v>65</v>
      </c>
      <c r="D339" s="4">
        <f t="shared" si="61"/>
        <v>0.97014925373134331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80.2</v>
      </c>
      <c r="O339" s="35">
        <v>121.7</v>
      </c>
      <c r="P339" s="4">
        <f t="shared" si="62"/>
        <v>1.2317456359102243</v>
      </c>
      <c r="Q339" s="11">
        <v>20</v>
      </c>
      <c r="R339" s="35">
        <v>3</v>
      </c>
      <c r="S339" s="35">
        <v>2.9</v>
      </c>
      <c r="T339" s="4">
        <f t="shared" si="63"/>
        <v>0.96666666666666667</v>
      </c>
      <c r="U339" s="11">
        <v>25</v>
      </c>
      <c r="V339" s="35">
        <v>1.5</v>
      </c>
      <c r="W339" s="35">
        <v>1.6</v>
      </c>
      <c r="X339" s="4">
        <f t="shared" si="64"/>
        <v>1.0666666666666667</v>
      </c>
      <c r="Y339" s="11">
        <v>25</v>
      </c>
      <c r="Z339" s="44">
        <f t="shared" si="71"/>
        <v>1.0646217323606408</v>
      </c>
      <c r="AA339" s="45">
        <v>1092</v>
      </c>
      <c r="AB339" s="35">
        <f t="shared" si="65"/>
        <v>99.272727272727266</v>
      </c>
      <c r="AC339" s="35">
        <f t="shared" si="66"/>
        <v>105.7</v>
      </c>
      <c r="AD339" s="35">
        <f t="shared" si="67"/>
        <v>6.4272727272727366</v>
      </c>
      <c r="AE339" s="35">
        <v>-1.6</v>
      </c>
      <c r="AF339" s="35">
        <f t="shared" si="68"/>
        <v>104.10000000000001</v>
      </c>
      <c r="AG339" s="35"/>
      <c r="AH339" s="35">
        <f t="shared" si="69"/>
        <v>104.10000000000001</v>
      </c>
      <c r="AI339" s="35">
        <v>104.10000000000001</v>
      </c>
      <c r="AJ339" s="35">
        <f t="shared" si="70"/>
        <v>0</v>
      </c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10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10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10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10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10"/>
      <c r="GC339" s="9"/>
      <c r="GD339" s="9"/>
    </row>
    <row r="340" spans="1:186" s="2" customFormat="1" ht="17" customHeight="1">
      <c r="A340" s="46" t="s">
        <v>332</v>
      </c>
      <c r="B340" s="35">
        <v>0</v>
      </c>
      <c r="C340" s="35">
        <v>0</v>
      </c>
      <c r="D340" s="4">
        <f t="shared" si="61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62.4</v>
      </c>
      <c r="O340" s="35">
        <v>87.9</v>
      </c>
      <c r="P340" s="4">
        <f t="shared" si="62"/>
        <v>1.2208653846153845</v>
      </c>
      <c r="Q340" s="11">
        <v>20</v>
      </c>
      <c r="R340" s="35">
        <v>12</v>
      </c>
      <c r="S340" s="35">
        <v>13.5</v>
      </c>
      <c r="T340" s="4">
        <f t="shared" si="63"/>
        <v>1.125</v>
      </c>
      <c r="U340" s="11">
        <v>20</v>
      </c>
      <c r="V340" s="35">
        <v>3.5</v>
      </c>
      <c r="W340" s="35">
        <v>3.8</v>
      </c>
      <c r="X340" s="4">
        <f t="shared" si="64"/>
        <v>1.0857142857142856</v>
      </c>
      <c r="Y340" s="11">
        <v>30</v>
      </c>
      <c r="Z340" s="44">
        <f t="shared" si="71"/>
        <v>1.1355533751962323</v>
      </c>
      <c r="AA340" s="45">
        <v>1315</v>
      </c>
      <c r="AB340" s="35">
        <f t="shared" si="65"/>
        <v>119.54545454545455</v>
      </c>
      <c r="AC340" s="35">
        <f t="shared" si="66"/>
        <v>135.80000000000001</v>
      </c>
      <c r="AD340" s="35">
        <f t="shared" si="67"/>
        <v>16.254545454545465</v>
      </c>
      <c r="AE340" s="35">
        <v>-4.3</v>
      </c>
      <c r="AF340" s="35">
        <f t="shared" si="68"/>
        <v>131.5</v>
      </c>
      <c r="AG340" s="35"/>
      <c r="AH340" s="35">
        <f t="shared" si="69"/>
        <v>131.5</v>
      </c>
      <c r="AI340" s="35">
        <v>131.5</v>
      </c>
      <c r="AJ340" s="35">
        <f t="shared" si="70"/>
        <v>0</v>
      </c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10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10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10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10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10"/>
      <c r="GC340" s="9"/>
      <c r="GD340" s="9"/>
    </row>
    <row r="341" spans="1:186" s="2" customFormat="1" ht="17" customHeight="1">
      <c r="A341" s="46" t="s">
        <v>333</v>
      </c>
      <c r="B341" s="35">
        <v>40</v>
      </c>
      <c r="C341" s="35">
        <v>30.5</v>
      </c>
      <c r="D341" s="4">
        <f t="shared" si="61"/>
        <v>0.76249999999999996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44.7</v>
      </c>
      <c r="O341" s="35">
        <v>33.6</v>
      </c>
      <c r="P341" s="4">
        <f t="shared" si="62"/>
        <v>0.75167785234899331</v>
      </c>
      <c r="Q341" s="11">
        <v>20</v>
      </c>
      <c r="R341" s="35">
        <v>35</v>
      </c>
      <c r="S341" s="35">
        <v>38.799999999999997</v>
      </c>
      <c r="T341" s="4">
        <f t="shared" si="63"/>
        <v>1.1085714285714285</v>
      </c>
      <c r="U341" s="11">
        <v>30</v>
      </c>
      <c r="V341" s="35">
        <v>1</v>
      </c>
      <c r="W341" s="35">
        <v>1</v>
      </c>
      <c r="X341" s="4">
        <f t="shared" si="64"/>
        <v>1</v>
      </c>
      <c r="Y341" s="11">
        <v>20</v>
      </c>
      <c r="Z341" s="44">
        <f t="shared" si="71"/>
        <v>0.948946248801534</v>
      </c>
      <c r="AA341" s="45">
        <v>551</v>
      </c>
      <c r="AB341" s="35">
        <f t="shared" si="65"/>
        <v>50.090909090909093</v>
      </c>
      <c r="AC341" s="35">
        <f t="shared" si="66"/>
        <v>47.5</v>
      </c>
      <c r="AD341" s="35">
        <f t="shared" si="67"/>
        <v>-2.5909090909090935</v>
      </c>
      <c r="AE341" s="35">
        <v>-0.3</v>
      </c>
      <c r="AF341" s="35">
        <f t="shared" si="68"/>
        <v>47.2</v>
      </c>
      <c r="AG341" s="35"/>
      <c r="AH341" s="35">
        <f t="shared" si="69"/>
        <v>47.2</v>
      </c>
      <c r="AI341" s="35">
        <v>47.2</v>
      </c>
      <c r="AJ341" s="35">
        <f t="shared" si="70"/>
        <v>0</v>
      </c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10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10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10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10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10"/>
      <c r="GC341" s="9"/>
      <c r="GD341" s="9"/>
    </row>
    <row r="342" spans="1:186" s="2" customFormat="1" ht="17" customHeight="1">
      <c r="A342" s="46" t="s">
        <v>334</v>
      </c>
      <c r="B342" s="35">
        <v>34445</v>
      </c>
      <c r="C342" s="35">
        <v>28465.599999999999</v>
      </c>
      <c r="D342" s="4">
        <f t="shared" si="61"/>
        <v>0.82640731601103201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977.1</v>
      </c>
      <c r="O342" s="35">
        <v>1160.9000000000001</v>
      </c>
      <c r="P342" s="4">
        <f t="shared" si="62"/>
        <v>1.1881076655408864</v>
      </c>
      <c r="Q342" s="11">
        <v>20</v>
      </c>
      <c r="R342" s="35">
        <v>30</v>
      </c>
      <c r="S342" s="35">
        <v>28.3</v>
      </c>
      <c r="T342" s="4">
        <f t="shared" si="63"/>
        <v>0.94333333333333336</v>
      </c>
      <c r="U342" s="11">
        <v>20</v>
      </c>
      <c r="V342" s="35">
        <v>3.5</v>
      </c>
      <c r="W342" s="35">
        <v>3.6</v>
      </c>
      <c r="X342" s="4">
        <f t="shared" si="64"/>
        <v>1.0285714285714287</v>
      </c>
      <c r="Y342" s="11">
        <v>30</v>
      </c>
      <c r="Z342" s="44">
        <f t="shared" si="71"/>
        <v>1.0218754499342197</v>
      </c>
      <c r="AA342" s="45">
        <v>1726</v>
      </c>
      <c r="AB342" s="35">
        <f t="shared" si="65"/>
        <v>156.90909090909091</v>
      </c>
      <c r="AC342" s="35">
        <f t="shared" si="66"/>
        <v>160.30000000000001</v>
      </c>
      <c r="AD342" s="35">
        <f t="shared" si="67"/>
        <v>3.3909090909091049</v>
      </c>
      <c r="AE342" s="35">
        <v>-0.5</v>
      </c>
      <c r="AF342" s="35">
        <f t="shared" si="68"/>
        <v>159.80000000000001</v>
      </c>
      <c r="AG342" s="35"/>
      <c r="AH342" s="35">
        <f t="shared" si="69"/>
        <v>159.80000000000001</v>
      </c>
      <c r="AI342" s="35">
        <v>159.80000000000001</v>
      </c>
      <c r="AJ342" s="35">
        <f t="shared" si="70"/>
        <v>0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10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10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10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10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10"/>
      <c r="GC342" s="9"/>
      <c r="GD342" s="9"/>
    </row>
    <row r="343" spans="1:186" s="2" customFormat="1" ht="17" customHeight="1">
      <c r="A343" s="46" t="s">
        <v>335</v>
      </c>
      <c r="B343" s="35">
        <v>46</v>
      </c>
      <c r="C343" s="35">
        <v>32</v>
      </c>
      <c r="D343" s="4">
        <f t="shared" si="61"/>
        <v>0.69565217391304346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112.1</v>
      </c>
      <c r="O343" s="35">
        <v>68.599999999999994</v>
      </c>
      <c r="P343" s="4">
        <f t="shared" si="62"/>
        <v>0.61195361284567351</v>
      </c>
      <c r="Q343" s="11">
        <v>20</v>
      </c>
      <c r="R343" s="35">
        <v>25</v>
      </c>
      <c r="S343" s="35">
        <v>24.9</v>
      </c>
      <c r="T343" s="4">
        <f t="shared" si="63"/>
        <v>0.996</v>
      </c>
      <c r="U343" s="11">
        <v>30</v>
      </c>
      <c r="V343" s="35">
        <v>1.5</v>
      </c>
      <c r="W343" s="35">
        <v>2.1</v>
      </c>
      <c r="X343" s="4">
        <f t="shared" si="64"/>
        <v>1.22</v>
      </c>
      <c r="Y343" s="11">
        <v>20</v>
      </c>
      <c r="Z343" s="44">
        <f t="shared" si="71"/>
        <v>0.91844492495054875</v>
      </c>
      <c r="AA343" s="45">
        <v>538</v>
      </c>
      <c r="AB343" s="35">
        <f t="shared" si="65"/>
        <v>48.909090909090907</v>
      </c>
      <c r="AC343" s="35">
        <f t="shared" si="66"/>
        <v>44.9</v>
      </c>
      <c r="AD343" s="35">
        <f t="shared" si="67"/>
        <v>-4.0090909090909079</v>
      </c>
      <c r="AE343" s="35">
        <v>-2.5</v>
      </c>
      <c r="AF343" s="35">
        <f t="shared" si="68"/>
        <v>42.4</v>
      </c>
      <c r="AG343" s="35"/>
      <c r="AH343" s="35">
        <f t="shared" si="69"/>
        <v>42.4</v>
      </c>
      <c r="AI343" s="35">
        <v>42.4</v>
      </c>
      <c r="AJ343" s="35">
        <f t="shared" si="70"/>
        <v>0</v>
      </c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186" s="2" customFormat="1" ht="17" customHeight="1">
      <c r="A344" s="46" t="s">
        <v>336</v>
      </c>
      <c r="B344" s="35">
        <v>25</v>
      </c>
      <c r="C344" s="35">
        <v>26</v>
      </c>
      <c r="D344" s="4">
        <f t="shared" si="61"/>
        <v>1.04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87.6</v>
      </c>
      <c r="O344" s="35">
        <v>81.599999999999994</v>
      </c>
      <c r="P344" s="4">
        <f t="shared" si="62"/>
        <v>0.93150684931506844</v>
      </c>
      <c r="Q344" s="11">
        <v>20</v>
      </c>
      <c r="R344" s="35">
        <v>15</v>
      </c>
      <c r="S344" s="35">
        <v>14.5</v>
      </c>
      <c r="T344" s="4">
        <f t="shared" si="63"/>
        <v>0.96666666666666667</v>
      </c>
      <c r="U344" s="11">
        <v>25</v>
      </c>
      <c r="V344" s="35">
        <v>3</v>
      </c>
      <c r="W344" s="35">
        <v>3.1</v>
      </c>
      <c r="X344" s="4">
        <f t="shared" si="64"/>
        <v>1.0333333333333334</v>
      </c>
      <c r="Y344" s="11">
        <v>25</v>
      </c>
      <c r="Z344" s="44">
        <f t="shared" si="71"/>
        <v>0.98787671232876728</v>
      </c>
      <c r="AA344" s="45">
        <v>1335</v>
      </c>
      <c r="AB344" s="35">
        <f t="shared" si="65"/>
        <v>121.36363636363636</v>
      </c>
      <c r="AC344" s="35">
        <f t="shared" si="66"/>
        <v>119.9</v>
      </c>
      <c r="AD344" s="35">
        <f t="shared" si="67"/>
        <v>-1.4636363636363541</v>
      </c>
      <c r="AE344" s="35">
        <v>-5.7</v>
      </c>
      <c r="AF344" s="35">
        <f t="shared" si="68"/>
        <v>114.2</v>
      </c>
      <c r="AG344" s="35"/>
      <c r="AH344" s="35">
        <f t="shared" si="69"/>
        <v>114.2</v>
      </c>
      <c r="AI344" s="35">
        <v>114.2</v>
      </c>
      <c r="AJ344" s="35">
        <f t="shared" si="70"/>
        <v>0</v>
      </c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186" s="2" customFormat="1" ht="17" customHeight="1">
      <c r="A345" s="18" t="s">
        <v>337</v>
      </c>
      <c r="B345" s="6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35"/>
      <c r="AF345" s="35"/>
      <c r="AG345" s="35"/>
      <c r="AH345" s="35"/>
      <c r="AI345" s="35"/>
      <c r="AJ345" s="35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186" s="2" customFormat="1" ht="17" customHeight="1">
      <c r="A346" s="46" t="s">
        <v>338</v>
      </c>
      <c r="B346" s="35">
        <v>39</v>
      </c>
      <c r="C346" s="35">
        <v>40</v>
      </c>
      <c r="D346" s="4">
        <f t="shared" si="61"/>
        <v>1.0256410256410255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29.7</v>
      </c>
      <c r="O346" s="35">
        <v>3.7</v>
      </c>
      <c r="P346" s="4">
        <f t="shared" si="62"/>
        <v>0.12457912457912459</v>
      </c>
      <c r="Q346" s="11">
        <v>20</v>
      </c>
      <c r="R346" s="35">
        <v>7</v>
      </c>
      <c r="S346" s="35">
        <v>7</v>
      </c>
      <c r="T346" s="4">
        <f t="shared" si="63"/>
        <v>1</v>
      </c>
      <c r="U346" s="11">
        <v>15</v>
      </c>
      <c r="V346" s="35">
        <v>0.5</v>
      </c>
      <c r="W346" s="35">
        <v>0.6</v>
      </c>
      <c r="X346" s="4">
        <f t="shared" si="64"/>
        <v>1.2</v>
      </c>
      <c r="Y346" s="11">
        <v>35</v>
      </c>
      <c r="Z346" s="44">
        <f t="shared" si="71"/>
        <v>0.87184990934990947</v>
      </c>
      <c r="AA346" s="45">
        <v>769</v>
      </c>
      <c r="AB346" s="35">
        <f t="shared" si="65"/>
        <v>69.909090909090907</v>
      </c>
      <c r="AC346" s="35">
        <f t="shared" si="66"/>
        <v>61</v>
      </c>
      <c r="AD346" s="35">
        <f t="shared" si="67"/>
        <v>-8.9090909090909065</v>
      </c>
      <c r="AE346" s="35">
        <v>-1.4</v>
      </c>
      <c r="AF346" s="35">
        <f t="shared" si="68"/>
        <v>59.6</v>
      </c>
      <c r="AG346" s="35"/>
      <c r="AH346" s="35">
        <f t="shared" si="69"/>
        <v>59.6</v>
      </c>
      <c r="AI346" s="35">
        <v>59.6</v>
      </c>
      <c r="AJ346" s="35">
        <f t="shared" si="70"/>
        <v>0</v>
      </c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186" s="2" customFormat="1" ht="17" customHeight="1">
      <c r="A347" s="46" t="s">
        <v>53</v>
      </c>
      <c r="B347" s="35">
        <v>24</v>
      </c>
      <c r="C347" s="35">
        <v>24.3</v>
      </c>
      <c r="D347" s="4">
        <f t="shared" si="61"/>
        <v>1.0125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52.1</v>
      </c>
      <c r="O347" s="35">
        <v>61.9</v>
      </c>
      <c r="P347" s="4">
        <f t="shared" si="62"/>
        <v>1.1880998080614202</v>
      </c>
      <c r="Q347" s="11">
        <v>20</v>
      </c>
      <c r="R347" s="35">
        <v>36</v>
      </c>
      <c r="S347" s="35">
        <v>38</v>
      </c>
      <c r="T347" s="4">
        <f t="shared" si="63"/>
        <v>1.0555555555555556</v>
      </c>
      <c r="U347" s="11">
        <v>30</v>
      </c>
      <c r="V347" s="35">
        <v>3</v>
      </c>
      <c r="W347" s="35">
        <v>3</v>
      </c>
      <c r="X347" s="4">
        <f t="shared" si="64"/>
        <v>1</v>
      </c>
      <c r="Y347" s="11">
        <v>20</v>
      </c>
      <c r="Z347" s="44">
        <f t="shared" si="71"/>
        <v>1.0694207853486883</v>
      </c>
      <c r="AA347" s="45">
        <v>2759</v>
      </c>
      <c r="AB347" s="35">
        <f t="shared" si="65"/>
        <v>250.81818181818181</v>
      </c>
      <c r="AC347" s="35">
        <f t="shared" si="66"/>
        <v>268.2</v>
      </c>
      <c r="AD347" s="35">
        <f t="shared" si="67"/>
        <v>17.381818181818176</v>
      </c>
      <c r="AE347" s="35">
        <v>-5.9</v>
      </c>
      <c r="AF347" s="35">
        <f t="shared" si="68"/>
        <v>262.3</v>
      </c>
      <c r="AG347" s="35"/>
      <c r="AH347" s="35">
        <f t="shared" si="69"/>
        <v>262.3</v>
      </c>
      <c r="AI347" s="35">
        <v>262.3</v>
      </c>
      <c r="AJ347" s="35">
        <f t="shared" si="70"/>
        <v>0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186" s="2" customFormat="1" ht="17" customHeight="1">
      <c r="A348" s="46" t="s">
        <v>339</v>
      </c>
      <c r="B348" s="35">
        <v>83</v>
      </c>
      <c r="C348" s="35">
        <v>83</v>
      </c>
      <c r="D348" s="4">
        <f t="shared" si="61"/>
        <v>1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33.200000000000003</v>
      </c>
      <c r="O348" s="35">
        <v>42.8</v>
      </c>
      <c r="P348" s="4">
        <f t="shared" si="62"/>
        <v>1.2089156626506024</v>
      </c>
      <c r="Q348" s="11">
        <v>20</v>
      </c>
      <c r="R348" s="35">
        <v>9</v>
      </c>
      <c r="S348" s="35">
        <v>9.6</v>
      </c>
      <c r="T348" s="4">
        <f t="shared" si="63"/>
        <v>1.0666666666666667</v>
      </c>
      <c r="U348" s="11">
        <v>30</v>
      </c>
      <c r="V348" s="35">
        <v>1</v>
      </c>
      <c r="W348" s="35">
        <v>1</v>
      </c>
      <c r="X348" s="4">
        <f t="shared" si="64"/>
        <v>1</v>
      </c>
      <c r="Y348" s="11">
        <v>20</v>
      </c>
      <c r="Z348" s="44">
        <f t="shared" si="71"/>
        <v>1.0772289156626507</v>
      </c>
      <c r="AA348" s="45">
        <v>779</v>
      </c>
      <c r="AB348" s="35">
        <f t="shared" si="65"/>
        <v>70.818181818181813</v>
      </c>
      <c r="AC348" s="35">
        <f t="shared" si="66"/>
        <v>76.3</v>
      </c>
      <c r="AD348" s="35">
        <f t="shared" si="67"/>
        <v>5.4818181818181841</v>
      </c>
      <c r="AE348" s="35">
        <v>-2.2999999999999998</v>
      </c>
      <c r="AF348" s="35">
        <f t="shared" si="68"/>
        <v>74</v>
      </c>
      <c r="AG348" s="35"/>
      <c r="AH348" s="35">
        <f t="shared" si="69"/>
        <v>74</v>
      </c>
      <c r="AI348" s="35">
        <v>74</v>
      </c>
      <c r="AJ348" s="35">
        <f t="shared" si="70"/>
        <v>0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186" s="2" customFormat="1" ht="17" customHeight="1">
      <c r="A349" s="46" t="s">
        <v>340</v>
      </c>
      <c r="B349" s="35">
        <v>1764</v>
      </c>
      <c r="C349" s="35">
        <v>1870</v>
      </c>
      <c r="D349" s="4">
        <f t="shared" si="61"/>
        <v>1.0600907029478459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74.2</v>
      </c>
      <c r="O349" s="35">
        <v>260.7</v>
      </c>
      <c r="P349" s="4">
        <f t="shared" si="62"/>
        <v>1.3</v>
      </c>
      <c r="Q349" s="11">
        <v>20</v>
      </c>
      <c r="R349" s="35">
        <v>170</v>
      </c>
      <c r="S349" s="35">
        <v>200.1</v>
      </c>
      <c r="T349" s="4">
        <f t="shared" si="63"/>
        <v>1.1770588235294117</v>
      </c>
      <c r="U349" s="11">
        <v>30</v>
      </c>
      <c r="V349" s="35">
        <v>4.5</v>
      </c>
      <c r="W349" s="35">
        <v>5</v>
      </c>
      <c r="X349" s="4">
        <f t="shared" si="64"/>
        <v>1.1111111111111112</v>
      </c>
      <c r="Y349" s="11">
        <v>20</v>
      </c>
      <c r="Z349" s="44">
        <f t="shared" si="71"/>
        <v>1.1766861744697881</v>
      </c>
      <c r="AA349" s="45">
        <v>1055</v>
      </c>
      <c r="AB349" s="35">
        <f t="shared" si="65"/>
        <v>95.909090909090907</v>
      </c>
      <c r="AC349" s="35">
        <f t="shared" si="66"/>
        <v>112.9</v>
      </c>
      <c r="AD349" s="35">
        <f t="shared" si="67"/>
        <v>16.990909090909099</v>
      </c>
      <c r="AE349" s="35">
        <v>1.3</v>
      </c>
      <c r="AF349" s="35">
        <f t="shared" si="68"/>
        <v>114.2</v>
      </c>
      <c r="AG349" s="35"/>
      <c r="AH349" s="35">
        <f t="shared" si="69"/>
        <v>114.2</v>
      </c>
      <c r="AI349" s="35">
        <v>114.2</v>
      </c>
      <c r="AJ349" s="35">
        <f t="shared" si="70"/>
        <v>0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186" s="2" customFormat="1" ht="17" customHeight="1">
      <c r="A350" s="46" t="s">
        <v>341</v>
      </c>
      <c r="B350" s="35">
        <v>38247</v>
      </c>
      <c r="C350" s="35">
        <v>33524</v>
      </c>
      <c r="D350" s="4">
        <f t="shared" si="61"/>
        <v>0.87651319057703869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78</v>
      </c>
      <c r="O350" s="35">
        <v>100.6</v>
      </c>
      <c r="P350" s="4">
        <f t="shared" si="62"/>
        <v>1.2089743589743589</v>
      </c>
      <c r="Q350" s="11">
        <v>20</v>
      </c>
      <c r="R350" s="35">
        <v>3</v>
      </c>
      <c r="S350" s="35">
        <v>3</v>
      </c>
      <c r="T350" s="4">
        <f t="shared" si="63"/>
        <v>1</v>
      </c>
      <c r="U350" s="11">
        <v>25</v>
      </c>
      <c r="V350" s="35">
        <v>0.8</v>
      </c>
      <c r="W350" s="35">
        <v>0.7</v>
      </c>
      <c r="X350" s="4">
        <f t="shared" si="64"/>
        <v>0.87499999999999989</v>
      </c>
      <c r="Y350" s="11">
        <v>25</v>
      </c>
      <c r="Z350" s="44">
        <f t="shared" si="71"/>
        <v>0.99774523856571951</v>
      </c>
      <c r="AA350" s="45">
        <v>570</v>
      </c>
      <c r="AB350" s="35">
        <f t="shared" si="65"/>
        <v>51.81818181818182</v>
      </c>
      <c r="AC350" s="35">
        <f t="shared" si="66"/>
        <v>51.7</v>
      </c>
      <c r="AD350" s="35">
        <f t="shared" si="67"/>
        <v>-0.11818181818181728</v>
      </c>
      <c r="AE350" s="35">
        <v>-1.2</v>
      </c>
      <c r="AF350" s="35">
        <f t="shared" si="68"/>
        <v>50.5</v>
      </c>
      <c r="AG350" s="35"/>
      <c r="AH350" s="35">
        <f t="shared" si="69"/>
        <v>50.5</v>
      </c>
      <c r="AI350" s="35">
        <v>50.5</v>
      </c>
      <c r="AJ350" s="35">
        <f t="shared" si="70"/>
        <v>0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186" s="2" customFormat="1" ht="17" customHeight="1">
      <c r="A351" s="46" t="s">
        <v>342</v>
      </c>
      <c r="B351" s="35">
        <v>29</v>
      </c>
      <c r="C351" s="35">
        <v>33</v>
      </c>
      <c r="D351" s="4">
        <f t="shared" si="61"/>
        <v>1.1379310344827587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334.1</v>
      </c>
      <c r="O351" s="35">
        <v>322.8</v>
      </c>
      <c r="P351" s="4">
        <f t="shared" si="62"/>
        <v>0.96617779108051483</v>
      </c>
      <c r="Q351" s="11">
        <v>20</v>
      </c>
      <c r="R351" s="35">
        <v>150</v>
      </c>
      <c r="S351" s="35">
        <v>150</v>
      </c>
      <c r="T351" s="4">
        <f t="shared" si="63"/>
        <v>1</v>
      </c>
      <c r="U351" s="11">
        <v>30</v>
      </c>
      <c r="V351" s="35">
        <v>4</v>
      </c>
      <c r="W351" s="35">
        <v>4</v>
      </c>
      <c r="X351" s="4">
        <f t="shared" si="64"/>
        <v>1</v>
      </c>
      <c r="Y351" s="11">
        <v>20</v>
      </c>
      <c r="Z351" s="44">
        <f t="shared" si="71"/>
        <v>1.0087858270804735</v>
      </c>
      <c r="AA351" s="45">
        <v>271</v>
      </c>
      <c r="AB351" s="35">
        <f t="shared" si="65"/>
        <v>24.636363636363637</v>
      </c>
      <c r="AC351" s="35">
        <f t="shared" si="66"/>
        <v>24.9</v>
      </c>
      <c r="AD351" s="35">
        <f t="shared" si="67"/>
        <v>0.26363636363636189</v>
      </c>
      <c r="AE351" s="35">
        <v>0.1</v>
      </c>
      <c r="AF351" s="35">
        <f t="shared" si="68"/>
        <v>25</v>
      </c>
      <c r="AG351" s="35"/>
      <c r="AH351" s="35">
        <f t="shared" si="69"/>
        <v>25</v>
      </c>
      <c r="AI351" s="35">
        <v>25</v>
      </c>
      <c r="AJ351" s="35">
        <f t="shared" si="70"/>
        <v>0</v>
      </c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186" s="2" customFormat="1" ht="17" customHeight="1">
      <c r="A352" s="46" t="s">
        <v>343</v>
      </c>
      <c r="B352" s="35">
        <v>25</v>
      </c>
      <c r="C352" s="35">
        <v>25.2</v>
      </c>
      <c r="D352" s="4">
        <f t="shared" si="61"/>
        <v>1.008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103.6</v>
      </c>
      <c r="O352" s="35">
        <v>108.1</v>
      </c>
      <c r="P352" s="4">
        <f t="shared" si="62"/>
        <v>1.0434362934362935</v>
      </c>
      <c r="Q352" s="11">
        <v>20</v>
      </c>
      <c r="R352" s="35">
        <v>6</v>
      </c>
      <c r="S352" s="35">
        <v>6</v>
      </c>
      <c r="T352" s="4">
        <f t="shared" si="63"/>
        <v>1</v>
      </c>
      <c r="U352" s="11">
        <v>20</v>
      </c>
      <c r="V352" s="35">
        <v>0.8</v>
      </c>
      <c r="W352" s="35">
        <v>0.8</v>
      </c>
      <c r="X352" s="4">
        <f t="shared" si="64"/>
        <v>1</v>
      </c>
      <c r="Y352" s="11">
        <v>30</v>
      </c>
      <c r="Z352" s="44">
        <f t="shared" si="71"/>
        <v>1.0118590733590733</v>
      </c>
      <c r="AA352" s="45">
        <v>1339</v>
      </c>
      <c r="AB352" s="35">
        <f t="shared" si="65"/>
        <v>121.72727272727273</v>
      </c>
      <c r="AC352" s="35">
        <f t="shared" si="66"/>
        <v>123.2</v>
      </c>
      <c r="AD352" s="35">
        <f t="shared" si="67"/>
        <v>1.4727272727272691</v>
      </c>
      <c r="AE352" s="35">
        <v>3.5</v>
      </c>
      <c r="AF352" s="35">
        <f t="shared" si="68"/>
        <v>126.7</v>
      </c>
      <c r="AG352" s="35"/>
      <c r="AH352" s="35">
        <f t="shared" si="69"/>
        <v>126.7</v>
      </c>
      <c r="AI352" s="35">
        <v>126.7</v>
      </c>
      <c r="AJ352" s="35">
        <f t="shared" si="70"/>
        <v>0</v>
      </c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s="2" customFormat="1" ht="17" customHeight="1">
      <c r="A353" s="46" t="s">
        <v>344</v>
      </c>
      <c r="B353" s="35">
        <v>44</v>
      </c>
      <c r="C353" s="35">
        <v>44.1</v>
      </c>
      <c r="D353" s="4">
        <f t="shared" si="61"/>
        <v>1.0022727272727272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161.4</v>
      </c>
      <c r="O353" s="35">
        <v>24.7</v>
      </c>
      <c r="P353" s="4">
        <f t="shared" si="62"/>
        <v>0.15303593556381659</v>
      </c>
      <c r="Q353" s="11">
        <v>20</v>
      </c>
      <c r="R353" s="35">
        <v>10</v>
      </c>
      <c r="S353" s="35">
        <v>10.1</v>
      </c>
      <c r="T353" s="4">
        <f t="shared" si="63"/>
        <v>1.01</v>
      </c>
      <c r="U353" s="11">
        <v>15</v>
      </c>
      <c r="V353" s="35">
        <v>0.6</v>
      </c>
      <c r="W353" s="35">
        <v>0.7</v>
      </c>
      <c r="X353" s="4">
        <f t="shared" si="64"/>
        <v>1.1666666666666667</v>
      </c>
      <c r="Y353" s="11">
        <v>35</v>
      </c>
      <c r="Z353" s="44">
        <f t="shared" si="71"/>
        <v>0.86333474146671174</v>
      </c>
      <c r="AA353" s="45">
        <v>1017</v>
      </c>
      <c r="AB353" s="35">
        <f t="shared" si="65"/>
        <v>92.454545454545453</v>
      </c>
      <c r="AC353" s="35">
        <f t="shared" si="66"/>
        <v>79.8</v>
      </c>
      <c r="AD353" s="35">
        <f t="shared" si="67"/>
        <v>-12.654545454545456</v>
      </c>
      <c r="AE353" s="35">
        <v>1</v>
      </c>
      <c r="AF353" s="35">
        <f t="shared" si="68"/>
        <v>80.8</v>
      </c>
      <c r="AG353" s="35"/>
      <c r="AH353" s="35">
        <f t="shared" si="69"/>
        <v>80.8</v>
      </c>
      <c r="AI353" s="35">
        <v>80.8</v>
      </c>
      <c r="AJ353" s="35">
        <f t="shared" si="70"/>
        <v>0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s="2" customFormat="1" ht="17" customHeight="1">
      <c r="A354" s="46" t="s">
        <v>345</v>
      </c>
      <c r="B354" s="35">
        <v>9</v>
      </c>
      <c r="C354" s="35">
        <v>9.1999999999999993</v>
      </c>
      <c r="D354" s="4">
        <f t="shared" si="61"/>
        <v>1.0222222222222221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51.1</v>
      </c>
      <c r="O354" s="35">
        <v>20.399999999999999</v>
      </c>
      <c r="P354" s="4">
        <f t="shared" si="62"/>
        <v>0.39921722113502933</v>
      </c>
      <c r="Q354" s="11">
        <v>20</v>
      </c>
      <c r="R354" s="35">
        <v>8</v>
      </c>
      <c r="S354" s="35">
        <v>8.1</v>
      </c>
      <c r="T354" s="4">
        <f t="shared" si="63"/>
        <v>1.0125</v>
      </c>
      <c r="U354" s="11">
        <v>10</v>
      </c>
      <c r="V354" s="35">
        <v>0.5</v>
      </c>
      <c r="W354" s="35">
        <v>0.5</v>
      </c>
      <c r="X354" s="4">
        <f t="shared" si="64"/>
        <v>1</v>
      </c>
      <c r="Y354" s="11">
        <v>40</v>
      </c>
      <c r="Z354" s="44">
        <f t="shared" si="71"/>
        <v>0.85414458306153518</v>
      </c>
      <c r="AA354" s="45">
        <v>812</v>
      </c>
      <c r="AB354" s="35">
        <f t="shared" si="65"/>
        <v>73.818181818181813</v>
      </c>
      <c r="AC354" s="35">
        <f t="shared" si="66"/>
        <v>63.1</v>
      </c>
      <c r="AD354" s="35">
        <f t="shared" si="67"/>
        <v>-10.718181818181812</v>
      </c>
      <c r="AE354" s="35">
        <v>1</v>
      </c>
      <c r="AF354" s="35">
        <f t="shared" si="68"/>
        <v>64.099999999999994</v>
      </c>
      <c r="AG354" s="35"/>
      <c r="AH354" s="35">
        <f t="shared" si="69"/>
        <v>64.099999999999994</v>
      </c>
      <c r="AI354" s="35">
        <v>64.099999999999994</v>
      </c>
      <c r="AJ354" s="35">
        <f t="shared" si="70"/>
        <v>0</v>
      </c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s="2" customFormat="1" ht="17" customHeight="1">
      <c r="A355" s="46" t="s">
        <v>346</v>
      </c>
      <c r="B355" s="35">
        <v>7158</v>
      </c>
      <c r="C355" s="35">
        <v>7970</v>
      </c>
      <c r="D355" s="4">
        <f t="shared" si="61"/>
        <v>1.1134395082425259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818.8</v>
      </c>
      <c r="O355" s="35">
        <v>1046.3</v>
      </c>
      <c r="P355" s="4">
        <f t="shared" si="62"/>
        <v>1.2077845627747923</v>
      </c>
      <c r="Q355" s="11">
        <v>20</v>
      </c>
      <c r="R355" s="35">
        <v>5</v>
      </c>
      <c r="S355" s="35">
        <v>5</v>
      </c>
      <c r="T355" s="4">
        <f t="shared" si="63"/>
        <v>1</v>
      </c>
      <c r="U355" s="11">
        <v>25</v>
      </c>
      <c r="V355" s="35">
        <v>0.6</v>
      </c>
      <c r="W355" s="35">
        <v>0.6</v>
      </c>
      <c r="X355" s="4">
        <f t="shared" si="64"/>
        <v>1</v>
      </c>
      <c r="Y355" s="11">
        <v>25</v>
      </c>
      <c r="Z355" s="44">
        <f t="shared" si="71"/>
        <v>1.0661260792240139</v>
      </c>
      <c r="AA355" s="45">
        <v>1529</v>
      </c>
      <c r="AB355" s="35">
        <f t="shared" si="65"/>
        <v>139</v>
      </c>
      <c r="AC355" s="35">
        <f t="shared" si="66"/>
        <v>148.19999999999999</v>
      </c>
      <c r="AD355" s="35">
        <f t="shared" si="67"/>
        <v>9.1999999999999886</v>
      </c>
      <c r="AE355" s="35">
        <v>-1.6</v>
      </c>
      <c r="AF355" s="35">
        <f t="shared" si="68"/>
        <v>146.6</v>
      </c>
      <c r="AG355" s="35"/>
      <c r="AH355" s="35">
        <f t="shared" si="69"/>
        <v>146.6</v>
      </c>
      <c r="AI355" s="35">
        <v>146.6</v>
      </c>
      <c r="AJ355" s="35">
        <f t="shared" si="70"/>
        <v>0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s="2" customFormat="1" ht="17" customHeight="1">
      <c r="A356" s="18" t="s">
        <v>347</v>
      </c>
      <c r="B356" s="6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35"/>
      <c r="AF356" s="35"/>
      <c r="AG356" s="35"/>
      <c r="AH356" s="35"/>
      <c r="AI356" s="35"/>
      <c r="AJ356" s="35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s="2" customFormat="1" ht="17" customHeight="1">
      <c r="A357" s="14" t="s">
        <v>348</v>
      </c>
      <c r="B357" s="35">
        <v>950</v>
      </c>
      <c r="C357" s="35">
        <v>908</v>
      </c>
      <c r="D357" s="4">
        <f t="shared" si="61"/>
        <v>0.95578947368421052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98.7</v>
      </c>
      <c r="O357" s="35">
        <v>45.9</v>
      </c>
      <c r="P357" s="4">
        <f t="shared" si="62"/>
        <v>0.46504559270516715</v>
      </c>
      <c r="Q357" s="11">
        <v>20</v>
      </c>
      <c r="R357" s="35">
        <v>1</v>
      </c>
      <c r="S357" s="35">
        <v>1.2</v>
      </c>
      <c r="T357" s="4">
        <f t="shared" si="63"/>
        <v>1.2</v>
      </c>
      <c r="U357" s="11">
        <v>15</v>
      </c>
      <c r="V357" s="35">
        <v>0</v>
      </c>
      <c r="W357" s="35">
        <v>0</v>
      </c>
      <c r="X357" s="4">
        <f t="shared" si="64"/>
        <v>1</v>
      </c>
      <c r="Y357" s="11">
        <v>35</v>
      </c>
      <c r="Z357" s="44">
        <f t="shared" si="71"/>
        <v>0.89823508238681815</v>
      </c>
      <c r="AA357" s="45">
        <v>1832</v>
      </c>
      <c r="AB357" s="35">
        <f t="shared" si="65"/>
        <v>166.54545454545453</v>
      </c>
      <c r="AC357" s="35">
        <f t="shared" si="66"/>
        <v>149.6</v>
      </c>
      <c r="AD357" s="35">
        <f t="shared" si="67"/>
        <v>-16.945454545454538</v>
      </c>
      <c r="AE357" s="35">
        <v>-3.2</v>
      </c>
      <c r="AF357" s="35">
        <f t="shared" si="68"/>
        <v>146.4</v>
      </c>
      <c r="AG357" s="35"/>
      <c r="AH357" s="35">
        <f t="shared" si="69"/>
        <v>146.4</v>
      </c>
      <c r="AI357" s="35">
        <v>146.4</v>
      </c>
      <c r="AJ357" s="35">
        <f t="shared" si="70"/>
        <v>0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s="2" customFormat="1" ht="17" customHeight="1">
      <c r="A358" s="14" t="s">
        <v>349</v>
      </c>
      <c r="B358" s="35">
        <v>0</v>
      </c>
      <c r="C358" s="35">
        <v>0</v>
      </c>
      <c r="D358" s="4">
        <f t="shared" si="61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54.1</v>
      </c>
      <c r="O358" s="35">
        <v>60.5</v>
      </c>
      <c r="P358" s="4">
        <f t="shared" si="62"/>
        <v>1.1182994454713493</v>
      </c>
      <c r="Q358" s="11">
        <v>20</v>
      </c>
      <c r="R358" s="35">
        <v>10</v>
      </c>
      <c r="S358" s="35">
        <v>11</v>
      </c>
      <c r="T358" s="4">
        <f t="shared" si="63"/>
        <v>1.1000000000000001</v>
      </c>
      <c r="U358" s="11">
        <v>25</v>
      </c>
      <c r="V358" s="35">
        <v>0</v>
      </c>
      <c r="W358" s="35">
        <v>0.5</v>
      </c>
      <c r="X358" s="4">
        <f t="shared" si="64"/>
        <v>1</v>
      </c>
      <c r="Y358" s="11">
        <v>25</v>
      </c>
      <c r="Z358" s="44">
        <f t="shared" si="71"/>
        <v>1.0695141272775284</v>
      </c>
      <c r="AA358" s="45">
        <v>1461</v>
      </c>
      <c r="AB358" s="35">
        <f t="shared" si="65"/>
        <v>132.81818181818181</v>
      </c>
      <c r="AC358" s="35">
        <f t="shared" si="66"/>
        <v>142.1</v>
      </c>
      <c r="AD358" s="35">
        <f t="shared" si="67"/>
        <v>9.2818181818181813</v>
      </c>
      <c r="AE358" s="35">
        <v>-4.9000000000000004</v>
      </c>
      <c r="AF358" s="35">
        <f t="shared" si="68"/>
        <v>137.19999999999999</v>
      </c>
      <c r="AG358" s="35"/>
      <c r="AH358" s="35">
        <f t="shared" si="69"/>
        <v>137.19999999999999</v>
      </c>
      <c r="AI358" s="35">
        <v>137.19999999999999</v>
      </c>
      <c r="AJ358" s="35">
        <f t="shared" si="70"/>
        <v>0</v>
      </c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s="2" customFormat="1" ht="17" customHeight="1">
      <c r="A359" s="46" t="s">
        <v>350</v>
      </c>
      <c r="B359" s="35">
        <v>1600</v>
      </c>
      <c r="C359" s="35">
        <v>1298</v>
      </c>
      <c r="D359" s="4">
        <f t="shared" si="61"/>
        <v>0.81125000000000003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4610.8999999999996</v>
      </c>
      <c r="O359" s="35">
        <v>2833.3</v>
      </c>
      <c r="P359" s="4">
        <f t="shared" si="62"/>
        <v>0.61447873517100793</v>
      </c>
      <c r="Q359" s="11">
        <v>20</v>
      </c>
      <c r="R359" s="35">
        <v>0</v>
      </c>
      <c r="S359" s="35">
        <v>0</v>
      </c>
      <c r="T359" s="4">
        <f t="shared" si="63"/>
        <v>1</v>
      </c>
      <c r="U359" s="11">
        <v>15</v>
      </c>
      <c r="V359" s="35">
        <v>0</v>
      </c>
      <c r="W359" s="35">
        <v>0</v>
      </c>
      <c r="X359" s="4">
        <f t="shared" si="64"/>
        <v>1</v>
      </c>
      <c r="Y359" s="11">
        <v>35</v>
      </c>
      <c r="Z359" s="44">
        <f t="shared" si="71"/>
        <v>0.88002593379275196</v>
      </c>
      <c r="AA359" s="45">
        <v>15</v>
      </c>
      <c r="AB359" s="35">
        <f t="shared" si="65"/>
        <v>1.3636363636363635</v>
      </c>
      <c r="AC359" s="35">
        <f t="shared" si="66"/>
        <v>1.2</v>
      </c>
      <c r="AD359" s="35">
        <f t="shared" si="67"/>
        <v>-0.16363636363636358</v>
      </c>
      <c r="AE359" s="35">
        <v>0</v>
      </c>
      <c r="AF359" s="35">
        <f t="shared" si="68"/>
        <v>1.2</v>
      </c>
      <c r="AG359" s="35">
        <f>MIN(AF359,0.7)</f>
        <v>0.7</v>
      </c>
      <c r="AH359" s="35">
        <f t="shared" si="69"/>
        <v>0.5</v>
      </c>
      <c r="AI359" s="35">
        <v>0.5</v>
      </c>
      <c r="AJ359" s="35">
        <f t="shared" si="70"/>
        <v>0</v>
      </c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s="2" customFormat="1" ht="17" customHeight="1">
      <c r="A360" s="14" t="s">
        <v>351</v>
      </c>
      <c r="B360" s="35">
        <v>0</v>
      </c>
      <c r="C360" s="35">
        <v>0</v>
      </c>
      <c r="D360" s="4">
        <f t="shared" si="61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15</v>
      </c>
      <c r="O360" s="35">
        <v>24</v>
      </c>
      <c r="P360" s="4">
        <f t="shared" si="62"/>
        <v>1.24</v>
      </c>
      <c r="Q360" s="11">
        <v>20</v>
      </c>
      <c r="R360" s="35">
        <v>0</v>
      </c>
      <c r="S360" s="35">
        <v>0</v>
      </c>
      <c r="T360" s="4">
        <f t="shared" si="63"/>
        <v>1</v>
      </c>
      <c r="U360" s="11">
        <v>20</v>
      </c>
      <c r="V360" s="35">
        <v>0</v>
      </c>
      <c r="W360" s="35">
        <v>0.5</v>
      </c>
      <c r="X360" s="4">
        <f t="shared" si="64"/>
        <v>1</v>
      </c>
      <c r="Y360" s="11">
        <v>30</v>
      </c>
      <c r="Z360" s="44">
        <f t="shared" si="71"/>
        <v>1.0685714285714285</v>
      </c>
      <c r="AA360" s="45">
        <v>950</v>
      </c>
      <c r="AB360" s="35">
        <f t="shared" si="65"/>
        <v>86.36363636363636</v>
      </c>
      <c r="AC360" s="35">
        <f t="shared" si="66"/>
        <v>92.3</v>
      </c>
      <c r="AD360" s="35">
        <f t="shared" si="67"/>
        <v>5.9363636363636374</v>
      </c>
      <c r="AE360" s="35">
        <v>1.2</v>
      </c>
      <c r="AF360" s="35">
        <f t="shared" si="68"/>
        <v>93.5</v>
      </c>
      <c r="AG360" s="35">
        <f>MIN(AF360,43.2)</f>
        <v>43.2</v>
      </c>
      <c r="AH360" s="35">
        <f t="shared" si="69"/>
        <v>50.3</v>
      </c>
      <c r="AI360" s="35">
        <v>50.3</v>
      </c>
      <c r="AJ360" s="35">
        <f t="shared" si="70"/>
        <v>0</v>
      </c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s="2" customFormat="1" ht="17" customHeight="1">
      <c r="A361" s="14" t="s">
        <v>352</v>
      </c>
      <c r="B361" s="35">
        <v>1700</v>
      </c>
      <c r="C361" s="35">
        <v>2178.6</v>
      </c>
      <c r="D361" s="4">
        <f t="shared" si="61"/>
        <v>1.2081529411764707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402.4</v>
      </c>
      <c r="O361" s="35">
        <v>365.4</v>
      </c>
      <c r="P361" s="4">
        <f t="shared" si="62"/>
        <v>0.90805168986083495</v>
      </c>
      <c r="Q361" s="11">
        <v>20</v>
      </c>
      <c r="R361" s="35">
        <v>10</v>
      </c>
      <c r="S361" s="35">
        <v>11</v>
      </c>
      <c r="T361" s="4">
        <f t="shared" si="63"/>
        <v>1.1000000000000001</v>
      </c>
      <c r="U361" s="11">
        <v>20</v>
      </c>
      <c r="V361" s="35">
        <v>32</v>
      </c>
      <c r="W361" s="35">
        <v>34</v>
      </c>
      <c r="X361" s="4">
        <f t="shared" si="64"/>
        <v>1.0625</v>
      </c>
      <c r="Y361" s="11">
        <v>30</v>
      </c>
      <c r="Z361" s="44">
        <f t="shared" si="71"/>
        <v>1.0514695401122676</v>
      </c>
      <c r="AA361" s="45">
        <v>1750</v>
      </c>
      <c r="AB361" s="35">
        <f t="shared" si="65"/>
        <v>159.09090909090909</v>
      </c>
      <c r="AC361" s="35">
        <f t="shared" si="66"/>
        <v>167.3</v>
      </c>
      <c r="AD361" s="35">
        <f t="shared" si="67"/>
        <v>8.2090909090909179</v>
      </c>
      <c r="AE361" s="35">
        <v>4.2</v>
      </c>
      <c r="AF361" s="35">
        <f t="shared" si="68"/>
        <v>171.5</v>
      </c>
      <c r="AG361" s="35"/>
      <c r="AH361" s="35">
        <f t="shared" si="69"/>
        <v>171.5</v>
      </c>
      <c r="AI361" s="35">
        <v>171.5</v>
      </c>
      <c r="AJ361" s="35">
        <f t="shared" si="70"/>
        <v>0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s="2" customFormat="1" ht="17" customHeight="1">
      <c r="A362" s="14" t="s">
        <v>353</v>
      </c>
      <c r="B362" s="35">
        <v>60</v>
      </c>
      <c r="C362" s="35">
        <v>22.2</v>
      </c>
      <c r="D362" s="4">
        <f t="shared" si="61"/>
        <v>0.37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181.4</v>
      </c>
      <c r="O362" s="35">
        <v>65.3</v>
      </c>
      <c r="P362" s="4">
        <f t="shared" si="62"/>
        <v>0.35997794928335169</v>
      </c>
      <c r="Q362" s="11">
        <v>20</v>
      </c>
      <c r="R362" s="35">
        <v>10</v>
      </c>
      <c r="S362" s="35">
        <v>12</v>
      </c>
      <c r="T362" s="4">
        <f t="shared" si="63"/>
        <v>1.2</v>
      </c>
      <c r="U362" s="11">
        <v>20</v>
      </c>
      <c r="V362" s="35">
        <v>0</v>
      </c>
      <c r="W362" s="35">
        <v>0</v>
      </c>
      <c r="X362" s="4">
        <f t="shared" si="64"/>
        <v>1</v>
      </c>
      <c r="Y362" s="11">
        <v>30</v>
      </c>
      <c r="Z362" s="44">
        <f t="shared" si="71"/>
        <v>0.81124448732083787</v>
      </c>
      <c r="AA362" s="45">
        <v>2522</v>
      </c>
      <c r="AB362" s="35">
        <f t="shared" si="65"/>
        <v>229.27272727272728</v>
      </c>
      <c r="AC362" s="35">
        <f t="shared" si="66"/>
        <v>186</v>
      </c>
      <c r="AD362" s="35">
        <f t="shared" si="67"/>
        <v>-43.27272727272728</v>
      </c>
      <c r="AE362" s="35">
        <v>-8.5</v>
      </c>
      <c r="AF362" s="35">
        <f t="shared" si="68"/>
        <v>177.5</v>
      </c>
      <c r="AG362" s="35"/>
      <c r="AH362" s="35">
        <f t="shared" si="69"/>
        <v>177.5</v>
      </c>
      <c r="AI362" s="35">
        <v>177.5</v>
      </c>
      <c r="AJ362" s="35">
        <f t="shared" si="70"/>
        <v>0</v>
      </c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s="2" customFormat="1" ht="17" customHeight="1">
      <c r="A363" s="14" t="s">
        <v>354</v>
      </c>
      <c r="B363" s="35">
        <v>1080</v>
      </c>
      <c r="C363" s="35">
        <v>536.1</v>
      </c>
      <c r="D363" s="4">
        <f t="shared" si="61"/>
        <v>0.49638888888888894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21.7</v>
      </c>
      <c r="O363" s="35">
        <v>44.5</v>
      </c>
      <c r="P363" s="4">
        <f t="shared" si="62"/>
        <v>1.2850691244239631</v>
      </c>
      <c r="Q363" s="11">
        <v>20</v>
      </c>
      <c r="R363" s="35">
        <v>0</v>
      </c>
      <c r="S363" s="35">
        <v>1</v>
      </c>
      <c r="T363" s="4">
        <f t="shared" si="63"/>
        <v>1</v>
      </c>
      <c r="U363" s="11">
        <v>30</v>
      </c>
      <c r="V363" s="35">
        <v>0</v>
      </c>
      <c r="W363" s="35">
        <v>0</v>
      </c>
      <c r="X363" s="4">
        <f t="shared" si="64"/>
        <v>1</v>
      </c>
      <c r="Y363" s="11">
        <v>20</v>
      </c>
      <c r="Z363" s="44">
        <f t="shared" si="71"/>
        <v>1.008315892217102</v>
      </c>
      <c r="AA363" s="45">
        <v>1041</v>
      </c>
      <c r="AB363" s="35">
        <f t="shared" si="65"/>
        <v>94.63636363636364</v>
      </c>
      <c r="AC363" s="35">
        <f t="shared" si="66"/>
        <v>95.4</v>
      </c>
      <c r="AD363" s="35">
        <f t="shared" si="67"/>
        <v>0.76363636363636545</v>
      </c>
      <c r="AE363" s="35">
        <v>2.8</v>
      </c>
      <c r="AF363" s="35">
        <f t="shared" si="68"/>
        <v>98.2</v>
      </c>
      <c r="AG363" s="35"/>
      <c r="AH363" s="35">
        <f t="shared" si="69"/>
        <v>98.2</v>
      </c>
      <c r="AI363" s="35">
        <v>98.2</v>
      </c>
      <c r="AJ363" s="35">
        <f t="shared" si="70"/>
        <v>0</v>
      </c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s="2" customFormat="1" ht="17" customHeight="1">
      <c r="A364" s="14" t="s">
        <v>355</v>
      </c>
      <c r="B364" s="35">
        <v>0</v>
      </c>
      <c r="C364" s="35">
        <v>0</v>
      </c>
      <c r="D364" s="4">
        <f t="shared" si="61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28.2</v>
      </c>
      <c r="O364" s="35">
        <v>45</v>
      </c>
      <c r="P364" s="4">
        <f t="shared" si="62"/>
        <v>1.2395744680851064</v>
      </c>
      <c r="Q364" s="11">
        <v>20</v>
      </c>
      <c r="R364" s="35">
        <v>0</v>
      </c>
      <c r="S364" s="35">
        <v>0</v>
      </c>
      <c r="T364" s="4">
        <f t="shared" si="63"/>
        <v>1</v>
      </c>
      <c r="U364" s="11">
        <v>25</v>
      </c>
      <c r="V364" s="35">
        <v>0</v>
      </c>
      <c r="W364" s="35">
        <v>0.4</v>
      </c>
      <c r="X364" s="4">
        <f t="shared" si="64"/>
        <v>1</v>
      </c>
      <c r="Y364" s="11">
        <v>25</v>
      </c>
      <c r="Z364" s="44">
        <f t="shared" si="71"/>
        <v>1.0684498480243161</v>
      </c>
      <c r="AA364" s="45">
        <v>1264</v>
      </c>
      <c r="AB364" s="35">
        <f t="shared" si="65"/>
        <v>114.90909090909091</v>
      </c>
      <c r="AC364" s="35">
        <f t="shared" si="66"/>
        <v>122.8</v>
      </c>
      <c r="AD364" s="35">
        <f t="shared" si="67"/>
        <v>7.8909090909090907</v>
      </c>
      <c r="AE364" s="35">
        <v>0</v>
      </c>
      <c r="AF364" s="35">
        <f t="shared" si="68"/>
        <v>122.8</v>
      </c>
      <c r="AG364" s="35">
        <f>MIN(AF364,57.5)</f>
        <v>57.5</v>
      </c>
      <c r="AH364" s="35">
        <f t="shared" si="69"/>
        <v>65.3</v>
      </c>
      <c r="AI364" s="35">
        <v>65.3</v>
      </c>
      <c r="AJ364" s="35">
        <f t="shared" si="70"/>
        <v>0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s="2" customFormat="1" ht="17" customHeight="1">
      <c r="A365" s="14" t="s">
        <v>356</v>
      </c>
      <c r="B365" s="35">
        <v>0</v>
      </c>
      <c r="C365" s="35">
        <v>0</v>
      </c>
      <c r="D365" s="4">
        <f t="shared" si="61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22.6</v>
      </c>
      <c r="O365" s="35">
        <v>40.299999999999997</v>
      </c>
      <c r="P365" s="4">
        <f t="shared" si="62"/>
        <v>1.2583185840707964</v>
      </c>
      <c r="Q365" s="11">
        <v>20</v>
      </c>
      <c r="R365" s="35">
        <v>0</v>
      </c>
      <c r="S365" s="35">
        <v>0</v>
      </c>
      <c r="T365" s="4">
        <f t="shared" si="63"/>
        <v>1</v>
      </c>
      <c r="U365" s="11">
        <v>20</v>
      </c>
      <c r="V365" s="35">
        <v>0</v>
      </c>
      <c r="W365" s="35">
        <v>2.9</v>
      </c>
      <c r="X365" s="4">
        <f t="shared" si="64"/>
        <v>1</v>
      </c>
      <c r="Y365" s="11">
        <v>30</v>
      </c>
      <c r="Z365" s="44">
        <f t="shared" si="71"/>
        <v>1.0738053097345133</v>
      </c>
      <c r="AA365" s="45">
        <v>1901</v>
      </c>
      <c r="AB365" s="35">
        <f t="shared" si="65"/>
        <v>172.81818181818181</v>
      </c>
      <c r="AC365" s="35">
        <f t="shared" si="66"/>
        <v>185.6</v>
      </c>
      <c r="AD365" s="35">
        <f t="shared" si="67"/>
        <v>12.781818181818181</v>
      </c>
      <c r="AE365" s="35">
        <v>-5.3</v>
      </c>
      <c r="AF365" s="35">
        <f t="shared" si="68"/>
        <v>180.29999999999998</v>
      </c>
      <c r="AG365" s="35">
        <f>MIN(AF365,86.4)</f>
        <v>86.4</v>
      </c>
      <c r="AH365" s="35">
        <f t="shared" si="69"/>
        <v>93.899999999999977</v>
      </c>
      <c r="AI365" s="35">
        <v>93.899999999999977</v>
      </c>
      <c r="AJ365" s="35">
        <f t="shared" si="70"/>
        <v>0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s="2" customFormat="1" ht="17" customHeight="1">
      <c r="A366" s="14" t="s">
        <v>357</v>
      </c>
      <c r="B366" s="35">
        <v>0</v>
      </c>
      <c r="C366" s="35">
        <v>0</v>
      </c>
      <c r="D366" s="4">
        <f t="shared" si="61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25.3</v>
      </c>
      <c r="O366" s="35">
        <v>26.7</v>
      </c>
      <c r="P366" s="4">
        <f t="shared" si="62"/>
        <v>1.0553359683794465</v>
      </c>
      <c r="Q366" s="11">
        <v>20</v>
      </c>
      <c r="R366" s="35">
        <v>8</v>
      </c>
      <c r="S366" s="35">
        <v>10.1</v>
      </c>
      <c r="T366" s="4">
        <f t="shared" si="63"/>
        <v>1.20625</v>
      </c>
      <c r="U366" s="11">
        <v>20</v>
      </c>
      <c r="V366" s="35">
        <v>0</v>
      </c>
      <c r="W366" s="35">
        <v>0.6</v>
      </c>
      <c r="X366" s="4">
        <f t="shared" si="64"/>
        <v>1</v>
      </c>
      <c r="Y366" s="11">
        <v>30</v>
      </c>
      <c r="Z366" s="44">
        <f t="shared" si="71"/>
        <v>1.0747388481084135</v>
      </c>
      <c r="AA366" s="45">
        <v>1628</v>
      </c>
      <c r="AB366" s="35">
        <f t="shared" si="65"/>
        <v>148</v>
      </c>
      <c r="AC366" s="35">
        <f t="shared" si="66"/>
        <v>159.1</v>
      </c>
      <c r="AD366" s="35">
        <f t="shared" si="67"/>
        <v>11.099999999999994</v>
      </c>
      <c r="AE366" s="35">
        <v>-6.5</v>
      </c>
      <c r="AF366" s="35">
        <f t="shared" si="68"/>
        <v>152.6</v>
      </c>
      <c r="AG366" s="35"/>
      <c r="AH366" s="35">
        <f t="shared" si="69"/>
        <v>152.6</v>
      </c>
      <c r="AI366" s="35">
        <v>152.6</v>
      </c>
      <c r="AJ366" s="35">
        <f t="shared" si="70"/>
        <v>0</v>
      </c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s="2" customFormat="1" ht="17" customHeight="1">
      <c r="A367" s="14" t="s">
        <v>358</v>
      </c>
      <c r="B367" s="35">
        <v>1700</v>
      </c>
      <c r="C367" s="35">
        <v>1328</v>
      </c>
      <c r="D367" s="4">
        <f t="shared" ref="D367:D368" si="72">IF(E367=0,0,IF(B367=0,1,IF(C367&lt;0,0,IF(C367/B367&gt;1.2,IF((C367/B367-1.2)*0.1+1.2&gt;1.3,1.3,(C367/B367-1.2)*0.1+1.2),C367/B367))))</f>
        <v>0.78117647058823525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186.9</v>
      </c>
      <c r="O367" s="35">
        <v>150</v>
      </c>
      <c r="P367" s="4">
        <f t="shared" ref="P367:P368" si="73">IF(Q367=0,0,IF(N367=0,1,IF(O367&lt;0,0,IF(O367/N367&gt;1.2,IF((O367/N367-1.2)*0.1+1.2&gt;1.3,1.3,(O367/N367-1.2)*0.1+1.2),O367/N367))))</f>
        <v>0.8025682182985554</v>
      </c>
      <c r="Q367" s="11">
        <v>20</v>
      </c>
      <c r="R367" s="35">
        <v>1</v>
      </c>
      <c r="S367" s="35">
        <v>1.2</v>
      </c>
      <c r="T367" s="4">
        <f t="shared" ref="T367:T368" si="74">IF(U367=0,0,IF(R367=0,1,IF(S367&lt;0,0,IF(S367/R367&gt;1.2,IF((S367/R367-1.2)*0.1+1.2&gt;1.3,1.3,(S367/R367-1.2)*0.1+1.2),S367/R367))))</f>
        <v>1.2</v>
      </c>
      <c r="U367" s="11">
        <v>20</v>
      </c>
      <c r="V367" s="35">
        <v>0</v>
      </c>
      <c r="W367" s="35">
        <v>0.6</v>
      </c>
      <c r="X367" s="4">
        <f t="shared" ref="X367:X368" si="75">IF(Y367=0,0,IF(V367=0,1,IF(W367&lt;0,0,IF(W367/V367&gt;1.2,IF((W367/V367-1.2)*0.1+1.2&gt;1.3,1.3,(W367/V367-1.2)*0.1+1.2),W367/V367))))</f>
        <v>1</v>
      </c>
      <c r="Y367" s="11">
        <v>30</v>
      </c>
      <c r="Z367" s="44">
        <f t="shared" si="71"/>
        <v>0.97328911339816826</v>
      </c>
      <c r="AA367" s="45">
        <v>1248</v>
      </c>
      <c r="AB367" s="35">
        <f t="shared" ref="AB367:AB368" si="76">AA367/11</f>
        <v>113.45454545454545</v>
      </c>
      <c r="AC367" s="35">
        <f t="shared" ref="AC367:AC368" si="77">ROUND(Z367*AB367,1)</f>
        <v>110.4</v>
      </c>
      <c r="AD367" s="35">
        <f t="shared" ref="AD367:AD368" si="78">AC367-AB367</f>
        <v>-3.0545454545454476</v>
      </c>
      <c r="AE367" s="35">
        <v>-3.3</v>
      </c>
      <c r="AF367" s="35">
        <f t="shared" ref="AF367:AF368" si="79">AC367+AE367</f>
        <v>107.10000000000001</v>
      </c>
      <c r="AG367" s="35">
        <f>MIN(AF367,20.6)</f>
        <v>20.6</v>
      </c>
      <c r="AH367" s="35">
        <f t="shared" ref="AH367:AH368" si="80">AF367-AG367</f>
        <v>86.5</v>
      </c>
      <c r="AI367" s="35">
        <v>86.5</v>
      </c>
      <c r="AJ367" s="35">
        <f t="shared" ref="AJ367:AJ368" si="81">ROUND(AH367-AI367,1)</f>
        <v>0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s="2" customFormat="1" ht="17" customHeight="1">
      <c r="A368" s="14" t="s">
        <v>359</v>
      </c>
      <c r="B368" s="35">
        <v>7800</v>
      </c>
      <c r="C368" s="35">
        <v>7976.3</v>
      </c>
      <c r="D368" s="4">
        <f t="shared" si="72"/>
        <v>1.0226025641025642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784.6</v>
      </c>
      <c r="O368" s="35">
        <v>594.20000000000005</v>
      </c>
      <c r="P368" s="4">
        <f t="shared" si="73"/>
        <v>0.75732857507009943</v>
      </c>
      <c r="Q368" s="11">
        <v>20</v>
      </c>
      <c r="R368" s="35">
        <v>0</v>
      </c>
      <c r="S368" s="35">
        <v>0</v>
      </c>
      <c r="T368" s="4">
        <f t="shared" si="74"/>
        <v>1</v>
      </c>
      <c r="U368" s="11">
        <v>20</v>
      </c>
      <c r="V368" s="35">
        <v>0</v>
      </c>
      <c r="W368" s="35">
        <v>0</v>
      </c>
      <c r="X368" s="4">
        <f t="shared" si="75"/>
        <v>1</v>
      </c>
      <c r="Y368" s="11">
        <v>30</v>
      </c>
      <c r="Z368" s="44">
        <f>(D368*E368+P368*Q368+T368*U368+X368*Y368)/(E368+Q368+U368+Y368)</f>
        <v>0.9421574642803453</v>
      </c>
      <c r="AA368" s="45">
        <v>1295</v>
      </c>
      <c r="AB368" s="35">
        <f t="shared" si="76"/>
        <v>117.72727272727273</v>
      </c>
      <c r="AC368" s="35">
        <f t="shared" si="77"/>
        <v>110.9</v>
      </c>
      <c r="AD368" s="35">
        <f t="shared" si="78"/>
        <v>-6.827272727272728</v>
      </c>
      <c r="AE368" s="35">
        <v>0</v>
      </c>
      <c r="AF368" s="35">
        <f t="shared" si="79"/>
        <v>110.9</v>
      </c>
      <c r="AG368" s="35">
        <f>MIN(AF368,58.9)</f>
        <v>58.9</v>
      </c>
      <c r="AH368" s="35">
        <f t="shared" si="80"/>
        <v>52.000000000000007</v>
      </c>
      <c r="AI368" s="35">
        <v>52.000000000000007</v>
      </c>
      <c r="AJ368" s="35">
        <f t="shared" si="81"/>
        <v>0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s="41" customFormat="1" ht="17" customHeight="1">
      <c r="A369" s="40" t="s">
        <v>369</v>
      </c>
      <c r="B369" s="42">
        <f>B6+B17</f>
        <v>78830634</v>
      </c>
      <c r="C369" s="42">
        <f>C6+C17</f>
        <v>76537230.299999997</v>
      </c>
      <c r="D369" s="43">
        <f>IF(C369/B369&gt;1.2,IF((C369/B369-1.2)*0.1+1.2&gt;1.3,1.3,(C369/B369-1.2)*0.1+1.2),C369/B369)</f>
        <v>0.97090720214174597</v>
      </c>
      <c r="E369" s="40"/>
      <c r="F369" s="40"/>
      <c r="G369" s="40"/>
      <c r="H369" s="40"/>
      <c r="I369" s="40"/>
      <c r="J369" s="42">
        <f>J6+J17</f>
        <v>22450</v>
      </c>
      <c r="K369" s="42">
        <f>K6+K17</f>
        <v>26345</v>
      </c>
      <c r="L369" s="43">
        <f>IF(J369/K369&gt;1.2,IF((J369/K369-1.2)*0.1+1.2&gt;1.3,1.3,(J369/K369-1.2)*0.1+1.2),J369/K369)</f>
        <v>0.85215410893907761</v>
      </c>
      <c r="M369" s="40"/>
      <c r="N369" s="42">
        <f>N6+N17</f>
        <v>2974162.3000000003</v>
      </c>
      <c r="O369" s="42">
        <f>O6+O17</f>
        <v>2922970.9000000008</v>
      </c>
      <c r="P369" s="43">
        <f>IF(O369/N369&gt;1.2,IF((O369/N369-1.2)*0.1+1.2&gt;1.3,1.3,(O369/N369-1.2)*0.1+1.2),O369/N369)</f>
        <v>0.98278796015940373</v>
      </c>
      <c r="Q369" s="40"/>
      <c r="R369" s="42">
        <f>R17</f>
        <v>13623.2</v>
      </c>
      <c r="S369" s="42">
        <f>S17</f>
        <v>14286.900000000001</v>
      </c>
      <c r="T369" s="43">
        <f>IF(S369/R369&gt;1.2,IF((S369/R369-1.2)*0.1+1.2&gt;1.3,1.3,(S369/R369-1.2)*0.1+1.2),S369/R369)</f>
        <v>1.0487183627928829</v>
      </c>
      <c r="U369" s="40"/>
      <c r="V369" s="42">
        <f t="shared" ref="V369:W369" si="82">V17</f>
        <v>5806.2</v>
      </c>
      <c r="W369" s="42">
        <f t="shared" si="82"/>
        <v>6707.2</v>
      </c>
      <c r="X369" s="43">
        <f>IF(W369/V369&gt;1.2,IF((W369/V369-1.2)*0.1+1.2&gt;1.3,1.3,(W369/V369-1.2)*0.1+1.2),W369/V369)</f>
        <v>1.1551789466432434</v>
      </c>
      <c r="Y369" s="40"/>
      <c r="Z369" s="40"/>
      <c r="AA369" s="63">
        <f>SUM(AA7:AA368)-AA17-AA45</f>
        <v>3552990</v>
      </c>
      <c r="AB369" s="42">
        <f>SUM(AB7:AB368)-AB17-AB45</f>
        <v>322999.09090909053</v>
      </c>
      <c r="AC369" s="42">
        <f>SUM(AC7:AC368)-AC17-AC45</f>
        <v>310178.00000000029</v>
      </c>
      <c r="AD369" s="42">
        <f>SUM(AD7:AD368)-AD17-AD45</f>
        <v>-12821.090909090912</v>
      </c>
      <c r="AE369" s="42">
        <f t="shared" ref="AE369:AJ369" si="83">SUM(AE7:AE368)-AE17-AE45</f>
        <v>-1396.400000000004</v>
      </c>
      <c r="AF369" s="42">
        <f t="shared" si="83"/>
        <v>308781.60000000027</v>
      </c>
      <c r="AG369" s="42">
        <f t="shared" si="83"/>
        <v>8454.5000000000055</v>
      </c>
      <c r="AH369" s="42">
        <f t="shared" si="83"/>
        <v>300327.09999999992</v>
      </c>
      <c r="AI369" s="42">
        <f t="shared" si="83"/>
        <v>303153.0999999998</v>
      </c>
      <c r="AJ369" s="42">
        <f t="shared" si="83"/>
        <v>-2826</v>
      </c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</sheetData>
  <mergeCells count="19">
    <mergeCell ref="AJ3:AJ4"/>
    <mergeCell ref="AH3:AH4"/>
    <mergeCell ref="A1:AH1"/>
    <mergeCell ref="A3:A4"/>
    <mergeCell ref="N3:Q3"/>
    <mergeCell ref="R3:U3"/>
    <mergeCell ref="V3:Y3"/>
    <mergeCell ref="Z3:Z4"/>
    <mergeCell ref="AB3:AB4"/>
    <mergeCell ref="F3:I3"/>
    <mergeCell ref="B3:E3"/>
    <mergeCell ref="J3:M3"/>
    <mergeCell ref="AE3:AE4"/>
    <mergeCell ref="AF3:AF4"/>
    <mergeCell ref="AA3:AA4"/>
    <mergeCell ref="AD3:AD4"/>
    <mergeCell ref="AC3:AC4"/>
    <mergeCell ref="AG3:AG4"/>
    <mergeCell ref="AI3:AI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1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18" sqref="U18:U44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8.33203125" style="23" customWidth="1"/>
    <col min="22" max="22" width="63.6640625" style="23" customWidth="1"/>
    <col min="23" max="16384" width="9.109375" style="23"/>
  </cols>
  <sheetData>
    <row r="1" spans="1:21" ht="15.55">
      <c r="A1" s="73" t="s">
        <v>406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55" customHeight="1">
      <c r="U2" s="47" t="s">
        <v>383</v>
      </c>
    </row>
    <row r="3" spans="1:21" ht="191.95" customHeight="1">
      <c r="A3" s="74" t="s">
        <v>15</v>
      </c>
      <c r="B3" s="75" t="s">
        <v>363</v>
      </c>
      <c r="C3" s="77" t="s">
        <v>370</v>
      </c>
      <c r="D3" s="77"/>
      <c r="E3" s="77"/>
      <c r="F3" s="77" t="s">
        <v>17</v>
      </c>
      <c r="G3" s="77"/>
      <c r="H3" s="77"/>
      <c r="I3" s="77" t="s">
        <v>385</v>
      </c>
      <c r="J3" s="77"/>
      <c r="K3" s="77"/>
      <c r="L3" s="77" t="s">
        <v>384</v>
      </c>
      <c r="M3" s="77"/>
      <c r="N3" s="77"/>
      <c r="O3" s="77" t="s">
        <v>18</v>
      </c>
      <c r="P3" s="77"/>
      <c r="Q3" s="77"/>
      <c r="R3" s="77" t="s">
        <v>19</v>
      </c>
      <c r="S3" s="77"/>
      <c r="T3" s="77"/>
      <c r="U3" s="76" t="s">
        <v>366</v>
      </c>
    </row>
    <row r="4" spans="1:21" ht="32" customHeight="1">
      <c r="A4" s="74"/>
      <c r="B4" s="75"/>
      <c r="C4" s="24" t="s">
        <v>364</v>
      </c>
      <c r="D4" s="24" t="s">
        <v>365</v>
      </c>
      <c r="E4" s="62" t="s">
        <v>388</v>
      </c>
      <c r="F4" s="24" t="s">
        <v>364</v>
      </c>
      <c r="G4" s="24" t="s">
        <v>365</v>
      </c>
      <c r="H4" s="62" t="s">
        <v>389</v>
      </c>
      <c r="I4" s="24" t="s">
        <v>364</v>
      </c>
      <c r="J4" s="24" t="s">
        <v>365</v>
      </c>
      <c r="K4" s="62" t="s">
        <v>390</v>
      </c>
      <c r="L4" s="24" t="s">
        <v>364</v>
      </c>
      <c r="M4" s="24" t="s">
        <v>365</v>
      </c>
      <c r="N4" s="62" t="s">
        <v>391</v>
      </c>
      <c r="O4" s="24" t="s">
        <v>364</v>
      </c>
      <c r="P4" s="24" t="s">
        <v>365</v>
      </c>
      <c r="Q4" s="62" t="s">
        <v>392</v>
      </c>
      <c r="R4" s="24" t="s">
        <v>364</v>
      </c>
      <c r="S4" s="24" t="s">
        <v>365</v>
      </c>
      <c r="T4" s="62" t="s">
        <v>393</v>
      </c>
      <c r="U4" s="76"/>
    </row>
    <row r="5" spans="1:21">
      <c r="A5" s="25">
        <v>1</v>
      </c>
      <c r="B5" s="48">
        <v>2</v>
      </c>
      <c r="C5" s="25">
        <v>3</v>
      </c>
      <c r="D5" s="48">
        <v>4</v>
      </c>
      <c r="E5" s="25">
        <v>5</v>
      </c>
      <c r="F5" s="48">
        <v>6</v>
      </c>
      <c r="G5" s="25">
        <v>7</v>
      </c>
      <c r="H5" s="48">
        <v>8</v>
      </c>
      <c r="I5" s="25">
        <v>9</v>
      </c>
      <c r="J5" s="48">
        <v>10</v>
      </c>
      <c r="K5" s="25">
        <v>11</v>
      </c>
      <c r="L5" s="48">
        <v>12</v>
      </c>
      <c r="M5" s="25">
        <v>13</v>
      </c>
      <c r="N5" s="48">
        <v>14</v>
      </c>
      <c r="O5" s="25">
        <v>15</v>
      </c>
      <c r="P5" s="48">
        <v>16</v>
      </c>
      <c r="Q5" s="25">
        <v>17</v>
      </c>
      <c r="R5" s="48">
        <v>18</v>
      </c>
      <c r="S5" s="25">
        <v>19</v>
      </c>
      <c r="T5" s="48">
        <v>20</v>
      </c>
      <c r="U5" s="25">
        <v>21</v>
      </c>
    </row>
    <row r="6" spans="1:21" ht="15" customHeight="1">
      <c r="A6" s="26" t="s">
        <v>4</v>
      </c>
      <c r="B6" s="51">
        <f>'Расчет субсидий'!AD6</f>
        <v>-13783.463636363631</v>
      </c>
      <c r="C6" s="51"/>
      <c r="D6" s="51"/>
      <c r="E6" s="51">
        <f>SUM(E7:E16)</f>
        <v>-843.11695709645846</v>
      </c>
      <c r="F6" s="51"/>
      <c r="G6" s="51"/>
      <c r="H6" s="51">
        <f>SUM(H7:H16)</f>
        <v>-3869.2728713931542</v>
      </c>
      <c r="I6" s="51"/>
      <c r="J6" s="51"/>
      <c r="K6" s="51">
        <f>SUM(K7:K16)</f>
        <v>-4790.852049389594</v>
      </c>
      <c r="L6" s="51"/>
      <c r="M6" s="51"/>
      <c r="N6" s="51">
        <f>SUM(N7:N16)</f>
        <v>-4280.2217584844257</v>
      </c>
      <c r="O6" s="51"/>
      <c r="P6" s="51"/>
      <c r="Q6" s="51"/>
      <c r="R6" s="51"/>
      <c r="S6" s="51"/>
      <c r="T6" s="51"/>
      <c r="U6" s="51"/>
    </row>
    <row r="7" spans="1:21" ht="15" customHeight="1">
      <c r="A7" s="28" t="s">
        <v>5</v>
      </c>
      <c r="B7" s="52">
        <f>'Расчет субсидий'!AD7</f>
        <v>-989.6818181818162</v>
      </c>
      <c r="C7" s="54">
        <f>'Расчет субсидий'!D7-1</f>
        <v>6.1429453734427764E-2</v>
      </c>
      <c r="D7" s="54">
        <f>C7*'Расчет субсидий'!E7</f>
        <v>0.92144180601641645</v>
      </c>
      <c r="E7" s="55">
        <f>$B7*D7/$U7</f>
        <v>840.51932509250753</v>
      </c>
      <c r="F7" s="60">
        <f>'Расчет субсидий'!H7-1</f>
        <v>-7.3461891643709865E-2</v>
      </c>
      <c r="G7" s="60">
        <f>F7*'Расчет субсидий'!I7</f>
        <v>-0.73461891643709865</v>
      </c>
      <c r="H7" s="55">
        <f>$B7*G7/$U7</f>
        <v>-670.10351800002718</v>
      </c>
      <c r="I7" s="54">
        <f>'Расчет субсидий'!L7-1</f>
        <v>-0.16333212077118953</v>
      </c>
      <c r="J7" s="54">
        <f>I7*'Расчет субсидий'!M7</f>
        <v>-0.81666060385594763</v>
      </c>
      <c r="K7" s="55">
        <f t="shared" ref="K7:K16" si="0">$B7*J7/$U7</f>
        <v>-744.94017430158954</v>
      </c>
      <c r="L7" s="54">
        <f>'Расчет субсидий'!P7-1</f>
        <v>-2.2756373350687698E-2</v>
      </c>
      <c r="M7" s="54">
        <f>L7*'Расчет субсидий'!Q7</f>
        <v>-0.45512746701375395</v>
      </c>
      <c r="N7" s="55">
        <f t="shared" ref="N7:N16" si="1">$B7*M7/$U7</f>
        <v>-415.15745097270695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54">
        <f>D7+G7+J7+M7</f>
        <v>-1.0849651812903838</v>
      </c>
    </row>
    <row r="8" spans="1:21" ht="15" customHeight="1">
      <c r="A8" s="28" t="s">
        <v>6</v>
      </c>
      <c r="B8" s="52">
        <f>'Расчет субсидий'!AD8</f>
        <v>-2351.6363636363603</v>
      </c>
      <c r="C8" s="54">
        <f>'Расчет субсидий'!D8-1</f>
        <v>-4.6353281030062754E-2</v>
      </c>
      <c r="D8" s="54">
        <f>C8*'Расчет субсидий'!E8</f>
        <v>-0.69529921545094131</v>
      </c>
      <c r="E8" s="55">
        <f t="shared" ref="E8:E16" si="2">$B8*D8/$U8</f>
        <v>-437.69841506705006</v>
      </c>
      <c r="F8" s="60">
        <f>'Расчет субсидий'!H8-1</f>
        <v>-2.5490196078431282E-2</v>
      </c>
      <c r="G8" s="60">
        <f>F8*'Расчет субсидий'!I8</f>
        <v>-0.25490196078431282</v>
      </c>
      <c r="H8" s="55">
        <f t="shared" ref="H8:H44" si="3">$B8*G8/$U8</f>
        <v>-160.46355547865448</v>
      </c>
      <c r="I8" s="54">
        <f>'Расчет субсидий'!L8-1</f>
        <v>-0.2259174311926605</v>
      </c>
      <c r="J8" s="54">
        <f>I8*'Расчет субсидий'!M8</f>
        <v>-3.3887614678899074</v>
      </c>
      <c r="K8" s="55">
        <f t="shared" si="0"/>
        <v>-2133.2621849339012</v>
      </c>
      <c r="L8" s="54">
        <f>'Расчет субсидий'!P8-1</f>
        <v>3.0165308419725756E-2</v>
      </c>
      <c r="M8" s="54">
        <f>L8*'Расчет субсидий'!Q8</f>
        <v>0.60330616839451512</v>
      </c>
      <c r="N8" s="55">
        <f t="shared" si="1"/>
        <v>379.7877918432456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54">
        <f t="shared" ref="U8:U16" si="4">D8+G8+J8+M8</f>
        <v>-3.7356564757306465</v>
      </c>
    </row>
    <row r="9" spans="1:21" ht="15" customHeight="1">
      <c r="A9" s="28" t="s">
        <v>7</v>
      </c>
      <c r="B9" s="52">
        <f>'Расчет субсидий'!AD9</f>
        <v>-3458.3181818181802</v>
      </c>
      <c r="C9" s="54">
        <f>'Расчет субсидий'!D9-1</f>
        <v>-5.022766531874967E-2</v>
      </c>
      <c r="D9" s="54">
        <f>C9*'Расчет субсидий'!E9</f>
        <v>-0.75341497978124505</v>
      </c>
      <c r="E9" s="55">
        <f t="shared" si="2"/>
        <v>-415.90917907303287</v>
      </c>
      <c r="F9" s="60">
        <f>'Расчет субсидий'!H9-1</f>
        <v>-0.20454545454545459</v>
      </c>
      <c r="G9" s="60">
        <f>F9*'Расчет субсидий'!I9</f>
        <v>-2.0454545454545459</v>
      </c>
      <c r="H9" s="55">
        <f t="shared" si="3"/>
        <v>-1129.1563662275632</v>
      </c>
      <c r="I9" s="54">
        <f>'Расчет субсидий'!L9-1</f>
        <v>-4.7619047619047672E-2</v>
      </c>
      <c r="J9" s="54">
        <f>I9*'Расчет субсидий'!M9</f>
        <v>-0.23809523809523836</v>
      </c>
      <c r="K9" s="55">
        <f t="shared" si="0"/>
        <v>-131.43619077781173</v>
      </c>
      <c r="L9" s="54">
        <f>'Расчет субсидий'!P9-1</f>
        <v>-0.1613870610445447</v>
      </c>
      <c r="M9" s="54">
        <f>L9*'Расчет субсидий'!Q9</f>
        <v>-3.227741220890894</v>
      </c>
      <c r="N9" s="55">
        <f t="shared" si="1"/>
        <v>-1781.8164457397725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54">
        <f t="shared" si="4"/>
        <v>-6.2647059842219228</v>
      </c>
    </row>
    <row r="10" spans="1:21" ht="15" customHeight="1">
      <c r="A10" s="28" t="s">
        <v>8</v>
      </c>
      <c r="B10" s="52">
        <f>'Расчет субсидий'!AD10</f>
        <v>-4162.1000000000004</v>
      </c>
      <c r="C10" s="54">
        <f>'Расчет субсидий'!D10-1</f>
        <v>-0.43431306771668887</v>
      </c>
      <c r="D10" s="54">
        <f>C10*'Расчет субсидий'!E10</f>
        <v>-6.5146960157503333</v>
      </c>
      <c r="E10" s="55">
        <f t="shared" si="2"/>
        <v>-1711.567854724824</v>
      </c>
      <c r="F10" s="60">
        <f>'Расчет субсидий'!H10-1</f>
        <v>-0.25067144136078778</v>
      </c>
      <c r="G10" s="60">
        <f>F10*'Расчет субсидий'!I10</f>
        <v>-2.5067144136078778</v>
      </c>
      <c r="H10" s="55">
        <f t="shared" si="3"/>
        <v>-658.57436800333653</v>
      </c>
      <c r="I10" s="54">
        <f>'Расчет субсидий'!L10-1</f>
        <v>-0.14338919925512106</v>
      </c>
      <c r="J10" s="54">
        <f>I10*'Расчет субсидий'!M10</f>
        <v>-1.4338919925512106</v>
      </c>
      <c r="K10" s="55">
        <f t="shared" si="0"/>
        <v>-376.71802884809114</v>
      </c>
      <c r="L10" s="54">
        <f>'Расчет субсидий'!P10-1</f>
        <v>-0.26933950427194775</v>
      </c>
      <c r="M10" s="54">
        <f>L10*'Расчет субсидий'!Q10</f>
        <v>-5.386790085438955</v>
      </c>
      <c r="N10" s="55">
        <f t="shared" si="1"/>
        <v>-1415.2397484237492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54">
        <f t="shared" si="4"/>
        <v>-15.842092507348376</v>
      </c>
    </row>
    <row r="11" spans="1:21" ht="15" customHeight="1">
      <c r="A11" s="28" t="s">
        <v>9</v>
      </c>
      <c r="B11" s="52">
        <f>'Расчет субсидий'!AD11</f>
        <v>176.85454545454559</v>
      </c>
      <c r="C11" s="54">
        <f>'Расчет субсидий'!D11-1</f>
        <v>6.0583035581799116E-2</v>
      </c>
      <c r="D11" s="54">
        <f>C11*'Расчет субсидий'!E11</f>
        <v>0.90874553372698674</v>
      </c>
      <c r="E11" s="55">
        <f t="shared" si="2"/>
        <v>222.27878648146347</v>
      </c>
      <c r="F11" s="60">
        <f>'Расчет субсидий'!H11-1</f>
        <v>-6.210621062106203E-2</v>
      </c>
      <c r="G11" s="60">
        <f>F11*'Расчет субсидий'!I11</f>
        <v>-0.6210621062106203</v>
      </c>
      <c r="H11" s="55">
        <f t="shared" si="3"/>
        <v>-151.91153758076385</v>
      </c>
      <c r="I11" s="54">
        <f>'Расчет субсидий'!L11-1</f>
        <v>3.2338308457711351E-2</v>
      </c>
      <c r="J11" s="54">
        <f>I11*'Расчет субсидий'!M11</f>
        <v>0.32338308457711351</v>
      </c>
      <c r="K11" s="55">
        <f t="shared" si="0"/>
        <v>79.099370440513695</v>
      </c>
      <c r="L11" s="54">
        <f>'Расчет субсидий'!P11-1</f>
        <v>5.5985224518064758E-3</v>
      </c>
      <c r="M11" s="54">
        <f>L11*'Расчет субсидий'!Q11</f>
        <v>0.11197044903612952</v>
      </c>
      <c r="N11" s="55">
        <f t="shared" si="1"/>
        <v>27.387926113332277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54">
        <f t="shared" si="4"/>
        <v>0.72303696112960947</v>
      </c>
    </row>
    <row r="12" spans="1:21" ht="15" customHeight="1">
      <c r="A12" s="28" t="s">
        <v>10</v>
      </c>
      <c r="B12" s="52">
        <f>'Расчет субсидий'!AD12</f>
        <v>-665.91818181818235</v>
      </c>
      <c r="C12" s="54">
        <f>'Расчет субсидий'!D12-1</f>
        <v>-6.1505334481048224E-2</v>
      </c>
      <c r="D12" s="54">
        <f>C12*'Расчет субсидий'!E12</f>
        <v>-0.92258001721572336</v>
      </c>
      <c r="E12" s="55">
        <f t="shared" si="2"/>
        <v>-122.13006064798525</v>
      </c>
      <c r="F12" s="60">
        <f>'Расчет субсидий'!H12-1</f>
        <v>-0.29354553492484514</v>
      </c>
      <c r="G12" s="60">
        <f>F12*'Расчет субсидий'!I12</f>
        <v>-2.9354553492484516</v>
      </c>
      <c r="H12" s="55">
        <f t="shared" si="3"/>
        <v>-388.59213633860628</v>
      </c>
      <c r="I12" s="54">
        <f>'Расчет субсидий'!L12-1</f>
        <v>8.6455331412103043E-3</v>
      </c>
      <c r="J12" s="54">
        <f>I12*'Расчет субсидий'!M12</f>
        <v>0.12968299711815456</v>
      </c>
      <c r="K12" s="55">
        <f t="shared" si="0"/>
        <v>17.16728306217945</v>
      </c>
      <c r="L12" s="54">
        <f>'Расчет субсидий'!P12-1</f>
        <v>-6.5102279413064457E-2</v>
      </c>
      <c r="M12" s="54">
        <f>L12*'Расчет субсидий'!Q12</f>
        <v>-1.3020455882612891</v>
      </c>
      <c r="N12" s="55">
        <f t="shared" si="1"/>
        <v>-172.36326789377023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54">
        <f t="shared" si="4"/>
        <v>-5.0303979576073097</v>
      </c>
    </row>
    <row r="13" spans="1:21" ht="15" customHeight="1">
      <c r="A13" s="28" t="s">
        <v>11</v>
      </c>
      <c r="B13" s="52">
        <f>'Расчет субсидий'!AD13</f>
        <v>-289.36363636363603</v>
      </c>
      <c r="C13" s="54">
        <f>'Расчет субсидий'!D13-1</f>
        <v>0.21231847141993598</v>
      </c>
      <c r="D13" s="54">
        <f>C13*'Расчет субсидий'!E13</f>
        <v>3.18477707129904</v>
      </c>
      <c r="E13" s="55">
        <f t="shared" si="2"/>
        <v>704.77065560522135</v>
      </c>
      <c r="F13" s="60">
        <f>'Расчет субсидий'!H13-1</f>
        <v>-5.7090239410681254E-2</v>
      </c>
      <c r="G13" s="60">
        <f>F13*'Расчет субсидий'!I13</f>
        <v>-0.57090239410681254</v>
      </c>
      <c r="H13" s="55">
        <f t="shared" si="3"/>
        <v>-126.33702314904318</v>
      </c>
      <c r="I13" s="54">
        <f>'Расчет субсидий'!L13-1</f>
        <v>-0.33943089430894313</v>
      </c>
      <c r="J13" s="54">
        <f>I13*'Расчет субсидий'!M13</f>
        <v>-3.3943089430894311</v>
      </c>
      <c r="K13" s="55">
        <f t="shared" si="0"/>
        <v>-751.13870942685639</v>
      </c>
      <c r="L13" s="54">
        <f>'Расчет субсидий'!P13-1</f>
        <v>-2.6358326795432263E-2</v>
      </c>
      <c r="M13" s="54">
        <f>L13*'Расчет субсидий'!Q13</f>
        <v>-0.52716653590864526</v>
      </c>
      <c r="N13" s="55">
        <f t="shared" si="1"/>
        <v>-116.65855939295786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54">
        <f t="shared" si="4"/>
        <v>-1.3076008018058487</v>
      </c>
    </row>
    <row r="14" spans="1:21" ht="15" customHeight="1">
      <c r="A14" s="28" t="s">
        <v>12</v>
      </c>
      <c r="B14" s="52">
        <f>'Расчет субсидий'!AD14</f>
        <v>-854.43636363636415</v>
      </c>
      <c r="C14" s="54">
        <f>'Расчет субсидий'!D14-1</f>
        <v>9.2273215193687586E-2</v>
      </c>
      <c r="D14" s="54">
        <f>C14*'Расчет субсидий'!E14</f>
        <v>1.3840982279053138</v>
      </c>
      <c r="E14" s="55">
        <f t="shared" si="2"/>
        <v>181.67635834973206</v>
      </c>
      <c r="F14" s="60">
        <f>'Расчет субсидий'!H14-1</f>
        <v>-5.7835820895522416E-2</v>
      </c>
      <c r="G14" s="60">
        <f>F14*'Расчет субсидий'!I14</f>
        <v>-0.57835820895522416</v>
      </c>
      <c r="H14" s="55">
        <f t="shared" si="3"/>
        <v>-75.915141791400828</v>
      </c>
      <c r="I14" s="54">
        <f>'Расчет субсидий'!L14-1</f>
        <v>-0.35960591133004927</v>
      </c>
      <c r="J14" s="54">
        <f>I14*'Расчет субсидий'!M14</f>
        <v>-5.3940886699507393</v>
      </c>
      <c r="K14" s="55">
        <f t="shared" si="0"/>
        <v>-708.0266171970278</v>
      </c>
      <c r="L14" s="54">
        <f>'Расчет субсидий'!P14-1</f>
        <v>-9.605800836847378E-2</v>
      </c>
      <c r="M14" s="54">
        <f>L14*'Расчет субсидий'!Q14</f>
        <v>-1.9211601673694756</v>
      </c>
      <c r="N14" s="55">
        <f t="shared" si="1"/>
        <v>-252.17096299766754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54">
        <f t="shared" si="4"/>
        <v>-6.5095088183701257</v>
      </c>
    </row>
    <row r="15" spans="1:21" ht="15" customHeight="1">
      <c r="A15" s="28" t="s">
        <v>13</v>
      </c>
      <c r="B15" s="52">
        <f>'Расчет субсидий'!AD15</f>
        <v>-514.81818181818198</v>
      </c>
      <c r="C15" s="54">
        <f>'Расчет субсидий'!D15-1</f>
        <v>7.8008326490077717E-3</v>
      </c>
      <c r="D15" s="54">
        <f>C15*'Расчет субсидий'!E15</f>
        <v>0.11701248973511658</v>
      </c>
      <c r="E15" s="55">
        <f t="shared" si="2"/>
        <v>26.323099294508964</v>
      </c>
      <c r="F15" s="60">
        <f>'Расчет субсидий'!H15-1</f>
        <v>-4.0489642184557417E-2</v>
      </c>
      <c r="G15" s="60">
        <f>F15*'Расчет субсидий'!I15</f>
        <v>-0.40489642184557417</v>
      </c>
      <c r="H15" s="55">
        <f t="shared" si="3"/>
        <v>-91.085393878546199</v>
      </c>
      <c r="I15" s="54">
        <f>'Расчет субсидий'!L15-1</f>
        <v>3.2967032967033072E-2</v>
      </c>
      <c r="J15" s="54">
        <f>I15*'Расчет субсидий'!M15</f>
        <v>0.32967032967033072</v>
      </c>
      <c r="K15" s="55">
        <f t="shared" si="0"/>
        <v>74.162551724265072</v>
      </c>
      <c r="L15" s="54">
        <f>'Расчет субсидий'!P15-1</f>
        <v>-0.11651383452475028</v>
      </c>
      <c r="M15" s="54">
        <f>L15*'Расчет субсидий'!Q15</f>
        <v>-2.3302766904950056</v>
      </c>
      <c r="N15" s="55">
        <f t="shared" si="1"/>
        <v>-524.21843895840982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54">
        <f t="shared" si="4"/>
        <v>-2.2884902929351325</v>
      </c>
    </row>
    <row r="16" spans="1:21" ht="15" customHeight="1">
      <c r="A16" s="28" t="s">
        <v>14</v>
      </c>
      <c r="B16" s="52">
        <f>'Расчет субсидий'!AD16</f>
        <v>-674.04545454545496</v>
      </c>
      <c r="C16" s="54">
        <f>'Расчет субсидий'!D16-1</f>
        <v>-7.2240603239333678E-2</v>
      </c>
      <c r="D16" s="54">
        <f>C16*'Расчет субсидий'!E16</f>
        <v>-1.0836090485900052</v>
      </c>
      <c r="E16" s="55">
        <f t="shared" si="2"/>
        <v>-131.37967240699953</v>
      </c>
      <c r="F16" s="60">
        <f>'Расчет субсидий'!H16-1</f>
        <v>-0.34404865334491741</v>
      </c>
      <c r="G16" s="60">
        <f>F16*'Расчет субсидий'!I16</f>
        <v>-3.4404865334491741</v>
      </c>
      <c r="H16" s="55">
        <f t="shared" si="3"/>
        <v>-417.13383094521259</v>
      </c>
      <c r="I16" s="54">
        <f>'Расчет субсидий'!L16-1</f>
        <v>-9.5477386934673336E-2</v>
      </c>
      <c r="J16" s="54">
        <f>I16*'Расчет субсидий'!M16</f>
        <v>-0.95477386934673336</v>
      </c>
      <c r="K16" s="55">
        <f t="shared" si="0"/>
        <v>-115.75934913127321</v>
      </c>
      <c r="L16" s="54">
        <f>'Расчет субсидий'!P16-1</f>
        <v>-4.0301820778688713E-3</v>
      </c>
      <c r="M16" s="54">
        <f>L16*'Расчет субсидий'!Q16</f>
        <v>-8.0603641557377426E-2</v>
      </c>
      <c r="N16" s="55">
        <f t="shared" si="1"/>
        <v>-9.7726020619694705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54">
        <f t="shared" si="4"/>
        <v>-5.559473092943291</v>
      </c>
    </row>
    <row r="17" spans="1:21" ht="15" customHeight="1">
      <c r="A17" s="29" t="s">
        <v>20</v>
      </c>
      <c r="B17" s="51">
        <f>'Расчет субсидий'!AD17</f>
        <v>1617.1636363636344</v>
      </c>
      <c r="C17" s="51"/>
      <c r="D17" s="51"/>
      <c r="E17" s="51">
        <f>SUM(E18:E44)</f>
        <v>-427.88325938991909</v>
      </c>
      <c r="F17" s="51"/>
      <c r="G17" s="51"/>
      <c r="H17" s="51">
        <f>SUM(H18:H44)</f>
        <v>-932.73549569730687</v>
      </c>
      <c r="I17" s="51"/>
      <c r="J17" s="51"/>
      <c r="K17" s="51">
        <f>SUM(K18:K44)</f>
        <v>179.88330138353081</v>
      </c>
      <c r="L17" s="51"/>
      <c r="M17" s="51"/>
      <c r="N17" s="51">
        <f>SUM(N18:N44)</f>
        <v>1470.5277239749655</v>
      </c>
      <c r="O17" s="51"/>
      <c r="P17" s="51"/>
      <c r="Q17" s="51">
        <f>SUM(Q18:Q44)</f>
        <v>613.90605088726261</v>
      </c>
      <c r="R17" s="51"/>
      <c r="S17" s="51"/>
      <c r="T17" s="51">
        <f>SUM(T18:T44)</f>
        <v>713.46531520510132</v>
      </c>
      <c r="U17" s="51"/>
    </row>
    <row r="18" spans="1:21" ht="15" customHeight="1">
      <c r="A18" s="30" t="s">
        <v>0</v>
      </c>
      <c r="B18" s="52">
        <f>'Расчет субсидий'!AD18</f>
        <v>239.19090909090892</v>
      </c>
      <c r="C18" s="54">
        <f>'Расчет субсидий'!D18-1</f>
        <v>0.15414652287095576</v>
      </c>
      <c r="D18" s="54">
        <f>C18*'Расчет субсидий'!E18</f>
        <v>1.5414652287095576</v>
      </c>
      <c r="E18" s="55">
        <f t="shared" ref="E18:E44" si="5">$B18*D18/$U18</f>
        <v>53.680740924445296</v>
      </c>
      <c r="F18" s="60">
        <f>'Расчет субсидий'!H18-1</f>
        <v>-2.2408963585434094E-2</v>
      </c>
      <c r="G18" s="60">
        <f>F18*'Расчет субсидий'!I18</f>
        <v>-0.11204481792717047</v>
      </c>
      <c r="H18" s="55">
        <f t="shared" si="3"/>
        <v>-3.9019036764846544</v>
      </c>
      <c r="I18" s="54">
        <f>'Расчет субсидий'!L18-1</f>
        <v>-6.25E-2</v>
      </c>
      <c r="J18" s="54">
        <f>I18*'Расчет субсидий'!M18</f>
        <v>-0.9375</v>
      </c>
      <c r="K18" s="55">
        <f t="shared" ref="K18:K44" si="6">$B18*J18/$U18</f>
        <v>-32.647959668086564</v>
      </c>
      <c r="L18" s="54">
        <f>'Расчет субсидий'!P18-1</f>
        <v>0.21027900925212029</v>
      </c>
      <c r="M18" s="54">
        <f>L18*'Расчет субсидий'!Q18</f>
        <v>4.2055801850424057</v>
      </c>
      <c r="N18" s="55">
        <f t="shared" ref="N18:N44" si="7">$B18*M18/$U18</f>
        <v>146.45718641297972</v>
      </c>
      <c r="O18" s="54">
        <f>'Расчет субсидий'!T18-1</f>
        <v>0.1620967741935484</v>
      </c>
      <c r="P18" s="54">
        <f>O18*'Расчет субсидий'!U18</f>
        <v>1.620967741935484</v>
      </c>
      <c r="Q18" s="55">
        <f t="shared" ref="Q18:Q44" si="8">$B18*P18/$U18</f>
        <v>56.449375426110961</v>
      </c>
      <c r="R18" s="54">
        <f>'Расчет субсидий'!X18-1</f>
        <v>5.500000000000016E-2</v>
      </c>
      <c r="S18" s="54">
        <f>R18*'Расчет субсидий'!Y18</f>
        <v>0.5500000000000016</v>
      </c>
      <c r="T18" s="55">
        <f t="shared" ref="T18:T44" si="9">$B18*S18/$U18</f>
        <v>19.153469671944173</v>
      </c>
      <c r="U18" s="54">
        <f>D18+G18+J18+M18+P18+S18</f>
        <v>6.8684683377602784</v>
      </c>
    </row>
    <row r="19" spans="1:21" ht="15" customHeight="1">
      <c r="A19" s="30" t="s">
        <v>21</v>
      </c>
      <c r="B19" s="52">
        <f>'Расчет субсидий'!AD19</f>
        <v>-69.227272727272521</v>
      </c>
      <c r="C19" s="54">
        <f>'Расчет субсидий'!D19-1</f>
        <v>-0.16415628157628837</v>
      </c>
      <c r="D19" s="54">
        <f>C19*'Расчет субсидий'!E19</f>
        <v>-1.6415628157628837</v>
      </c>
      <c r="E19" s="55">
        <f t="shared" si="5"/>
        <v>-130.89580115425395</v>
      </c>
      <c r="F19" s="60">
        <f>'Расчет субсидий'!H19-1</f>
        <v>-0.23974475843208753</v>
      </c>
      <c r="G19" s="60">
        <f>F19*'Расчет субсидий'!I19</f>
        <v>-1.1987237921604377</v>
      </c>
      <c r="H19" s="55">
        <f t="shared" si="3"/>
        <v>-95.584469647350062</v>
      </c>
      <c r="I19" s="54">
        <f>'Расчет субсидий'!L19-1</f>
        <v>0.11111111111111116</v>
      </c>
      <c r="J19" s="54">
        <f>I19*'Расчет субсидий'!M19</f>
        <v>0.5555555555555558</v>
      </c>
      <c r="K19" s="55">
        <f t="shared" si="6"/>
        <v>44.299181750377294</v>
      </c>
      <c r="L19" s="54">
        <f>'Расчет субсидий'!P19-1</f>
        <v>6.3844145327318857E-2</v>
      </c>
      <c r="M19" s="54">
        <f>L19*'Расчет субсидий'!Q19</f>
        <v>1.2768829065463771</v>
      </c>
      <c r="N19" s="55">
        <f t="shared" si="7"/>
        <v>101.81676231188634</v>
      </c>
      <c r="O19" s="54">
        <f>'Расчет субсидий'!T19-1</f>
        <v>5.1457975986268778E-4</v>
      </c>
      <c r="P19" s="54">
        <f>O19*'Расчет субсидий'!U19</f>
        <v>2.5728987993134389E-3</v>
      </c>
      <c r="Q19" s="55">
        <f t="shared" si="8"/>
        <v>0.20515916076500432</v>
      </c>
      <c r="R19" s="54">
        <f>'Расчет субсидий'!X19-1</f>
        <v>2.7419354838709831E-2</v>
      </c>
      <c r="S19" s="54">
        <f>R19*'Расчет субсидий'!Y19</f>
        <v>0.13709677419354915</v>
      </c>
      <c r="T19" s="55">
        <f t="shared" si="9"/>
        <v>10.931894851302841</v>
      </c>
      <c r="U19" s="54">
        <f t="shared" ref="U19:U44" si="10">D19+G19+J19+M19+P19+S19</f>
        <v>-0.86817847282852578</v>
      </c>
    </row>
    <row r="20" spans="1:21" ht="15" customHeight="1">
      <c r="A20" s="30" t="s">
        <v>22</v>
      </c>
      <c r="B20" s="52">
        <f>'Расчет субсидий'!AD20</f>
        <v>-112.80000000000018</v>
      </c>
      <c r="C20" s="54">
        <f>'Расчет субсидий'!D20-1</f>
        <v>-0.11732206612656892</v>
      </c>
      <c r="D20" s="54">
        <f>C20*'Расчет субсидий'!E20</f>
        <v>-1.1732206612656892</v>
      </c>
      <c r="E20" s="55">
        <f t="shared" si="5"/>
        <v>-57.395910298548216</v>
      </c>
      <c r="F20" s="60">
        <f>'Расчет субсидий'!H20-1</f>
        <v>-0.3246869409660107</v>
      </c>
      <c r="G20" s="60">
        <f>F20*'Расчет субсидий'!I20</f>
        <v>-1.6234347048300535</v>
      </c>
      <c r="H20" s="55">
        <f t="shared" si="3"/>
        <v>-79.421131736167496</v>
      </c>
      <c r="I20" s="54">
        <f>'Расчет субсидий'!L20-1</f>
        <v>-3.1007751937984551E-2</v>
      </c>
      <c r="J20" s="54">
        <f>I20*'Расчет субсидий'!M20</f>
        <v>-0.31007751937984551</v>
      </c>
      <c r="K20" s="55">
        <f t="shared" si="6"/>
        <v>-15.169509091940194</v>
      </c>
      <c r="L20" s="54">
        <f>'Расчет субсидий'!P20-1</f>
        <v>9.2441904001197894E-2</v>
      </c>
      <c r="M20" s="54">
        <f>L20*'Расчет субсидий'!Q20</f>
        <v>1.8488380800239579</v>
      </c>
      <c r="N20" s="55">
        <f t="shared" si="7"/>
        <v>90.448240557846844</v>
      </c>
      <c r="O20" s="54">
        <f>'Расчет субсидий'!T20-1</f>
        <v>2.6732981038234405E-2</v>
      </c>
      <c r="P20" s="54">
        <f>O20*'Расчет субсидий'!U20</f>
        <v>0.26732981038234405</v>
      </c>
      <c r="Q20" s="55">
        <f t="shared" si="8"/>
        <v>13.078219914981688</v>
      </c>
      <c r="R20" s="54">
        <f>'Расчет субсидий'!X20-1</f>
        <v>-0.26303236797274276</v>
      </c>
      <c r="S20" s="54">
        <f>R20*'Расчет субсидий'!Y20</f>
        <v>-1.3151618398637139</v>
      </c>
      <c r="T20" s="55">
        <f t="shared" si="9"/>
        <v>-64.339909346172803</v>
      </c>
      <c r="U20" s="54">
        <f t="shared" si="10"/>
        <v>-2.305726834933</v>
      </c>
    </row>
    <row r="21" spans="1:21" ht="15" customHeight="1">
      <c r="A21" s="30" t="s">
        <v>23</v>
      </c>
      <c r="B21" s="52">
        <f>'Расчет субсидий'!AD21</f>
        <v>362.06363636363631</v>
      </c>
      <c r="C21" s="54">
        <f>'Расчет субсидий'!D21-1</f>
        <v>-0.1511034312515428</v>
      </c>
      <c r="D21" s="54">
        <f>C21*'Расчет субсидий'!E21</f>
        <v>-1.511034312515428</v>
      </c>
      <c r="E21" s="55">
        <f t="shared" si="5"/>
        <v>-90.825452618050164</v>
      </c>
      <c r="F21" s="60">
        <f>'Расчет субсидий'!H21-1</f>
        <v>0.18582375478927204</v>
      </c>
      <c r="G21" s="60">
        <f>F21*'Расчет субсидий'!I21</f>
        <v>0.92911877394636022</v>
      </c>
      <c r="H21" s="55">
        <f t="shared" si="3"/>
        <v>55.847595571225256</v>
      </c>
      <c r="I21" s="54">
        <f>'Расчет субсидий'!L21-1</f>
        <v>0.2141463414634146</v>
      </c>
      <c r="J21" s="54">
        <f>I21*'Расчет субсидий'!M21</f>
        <v>2.141463414634146</v>
      </c>
      <c r="K21" s="55">
        <f t="shared" si="6"/>
        <v>128.71936943335012</v>
      </c>
      <c r="L21" s="54">
        <f>'Расчет субсидий'!P21-1</f>
        <v>0.20544881287918582</v>
      </c>
      <c r="M21" s="54">
        <f>L21*'Расчет субсидий'!Q21</f>
        <v>4.1089762575837163</v>
      </c>
      <c r="N21" s="55">
        <f t="shared" si="7"/>
        <v>246.98289463102611</v>
      </c>
      <c r="O21" s="54">
        <f>'Расчет субсидий'!T21-1</f>
        <v>7.0028011204481544E-3</v>
      </c>
      <c r="P21" s="54">
        <f>O21*'Расчет субсидий'!U21</f>
        <v>3.5014005602240772E-2</v>
      </c>
      <c r="Q21" s="55">
        <f t="shared" si="8"/>
        <v>2.1046265332654333</v>
      </c>
      <c r="R21" s="54">
        <f>'Расчет субсидий'!X21-1</f>
        <v>6.4000000000000057E-2</v>
      </c>
      <c r="S21" s="54">
        <f>R21*'Расчет субсидий'!Y21</f>
        <v>0.32000000000000028</v>
      </c>
      <c r="T21" s="55">
        <f t="shared" si="9"/>
        <v>19.234602812819535</v>
      </c>
      <c r="U21" s="54">
        <f t="shared" si="10"/>
        <v>6.0235381392510359</v>
      </c>
    </row>
    <row r="22" spans="1:21" ht="15" customHeight="1">
      <c r="A22" s="30" t="s">
        <v>24</v>
      </c>
      <c r="B22" s="52">
        <f>'Расчет субсидий'!AD22</f>
        <v>692.4818181818182</v>
      </c>
      <c r="C22" s="54">
        <f>'Расчет субсидий'!D22-1</f>
        <v>7.6327433628318619E-2</v>
      </c>
      <c r="D22" s="54">
        <f>C22*'Расчет субсидий'!E22</f>
        <v>0.76327433628318619</v>
      </c>
      <c r="E22" s="55">
        <f t="shared" si="5"/>
        <v>60.307436739389004</v>
      </c>
      <c r="F22" s="60">
        <f>'Расчет субсидий'!H22-1</f>
        <v>-0.12830558276199799</v>
      </c>
      <c r="G22" s="60">
        <f>F22*'Расчет субсидий'!I22</f>
        <v>-0.64152791380998997</v>
      </c>
      <c r="H22" s="55">
        <f t="shared" si="3"/>
        <v>-50.688071430576713</v>
      </c>
      <c r="I22" s="54">
        <f>'Расчет субсидий'!L22-1</f>
        <v>0.20272727272727264</v>
      </c>
      <c r="J22" s="54">
        <f>I22*'Расчет субсидий'!M22</f>
        <v>2.0272727272727264</v>
      </c>
      <c r="K22" s="55">
        <f t="shared" si="6"/>
        <v>160.17782328283133</v>
      </c>
      <c r="L22" s="54">
        <f>'Расчет субсидий'!P22-1</f>
        <v>0.22852518342256589</v>
      </c>
      <c r="M22" s="54">
        <f>L22*'Расчет субсидий'!Q22</f>
        <v>4.5705036684513178</v>
      </c>
      <c r="N22" s="55">
        <f t="shared" si="7"/>
        <v>361.1222698702245</v>
      </c>
      <c r="O22" s="54">
        <f>'Расчет субсидий'!T22-1</f>
        <v>0.20412048192771071</v>
      </c>
      <c r="P22" s="54">
        <f>O22*'Расчет субсидий'!U22</f>
        <v>1.0206024096385535</v>
      </c>
      <c r="Q22" s="55">
        <f t="shared" si="8"/>
        <v>80.639309262075216</v>
      </c>
      <c r="R22" s="54">
        <f>'Расчет субсидий'!X22-1</f>
        <v>0.20483870967741935</v>
      </c>
      <c r="S22" s="54">
        <f>R22*'Расчет субсидий'!Y22</f>
        <v>1.0241935483870968</v>
      </c>
      <c r="T22" s="55">
        <f t="shared" si="9"/>
        <v>80.923050457874822</v>
      </c>
      <c r="U22" s="54">
        <f t="shared" si="10"/>
        <v>8.7643187762228916</v>
      </c>
    </row>
    <row r="23" spans="1:21" ht="15" customHeight="1">
      <c r="A23" s="30" t="s">
        <v>25</v>
      </c>
      <c r="B23" s="52">
        <f>'Расчет субсидий'!AD23</f>
        <v>-70.772727272727479</v>
      </c>
      <c r="C23" s="54">
        <f>'Расчет субсидий'!D23-1</f>
        <v>9.0711811691524646E-2</v>
      </c>
      <c r="D23" s="54">
        <f>C23*'Расчет субсидий'!E23</f>
        <v>0.90711811691524646</v>
      </c>
      <c r="E23" s="55">
        <f t="shared" si="5"/>
        <v>56.714423378900307</v>
      </c>
      <c r="F23" s="60">
        <f>'Расчет субсидий'!H23-1</f>
        <v>-3.3944954128440341E-2</v>
      </c>
      <c r="G23" s="60">
        <f>F23*'Расчет субсидий'!I23</f>
        <v>-0.16972477064220171</v>
      </c>
      <c r="H23" s="55">
        <f t="shared" si="3"/>
        <v>-10.61145436365255</v>
      </c>
      <c r="I23" s="54">
        <f>'Расчет субсидий'!L23-1</f>
        <v>-5.084745762711862E-2</v>
      </c>
      <c r="J23" s="54">
        <f>I23*'Расчет субсидий'!M23</f>
        <v>-0.76271186440677929</v>
      </c>
      <c r="K23" s="55">
        <f t="shared" si="6"/>
        <v>-47.685921808259984</v>
      </c>
      <c r="L23" s="54">
        <f>'Расчет субсидий'!P23-1</f>
        <v>-0.12278207704476474</v>
      </c>
      <c r="M23" s="54">
        <f>L23*'Расчет субсидий'!Q23</f>
        <v>-2.4556415408952947</v>
      </c>
      <c r="N23" s="55">
        <f t="shared" si="7"/>
        <v>-153.53049555525868</v>
      </c>
      <c r="O23" s="54">
        <f>'Расчет субсидий'!T23-1</f>
        <v>0.14220087700981421</v>
      </c>
      <c r="P23" s="54">
        <f>O23*'Расчет субсидий'!U23</f>
        <v>0.71100438504907104</v>
      </c>
      <c r="Q23" s="55">
        <f t="shared" si="8"/>
        <v>44.453090469689322</v>
      </c>
      <c r="R23" s="54">
        <f>'Расчет субсидий'!X23-1</f>
        <v>0.12759643916913932</v>
      </c>
      <c r="S23" s="54">
        <f>R23*'Расчет субсидий'!Y23</f>
        <v>0.6379821958456966</v>
      </c>
      <c r="T23" s="55">
        <f t="shared" si="9"/>
        <v>39.887630605854106</v>
      </c>
      <c r="U23" s="54">
        <f t="shared" si="10"/>
        <v>-1.1319734781342616</v>
      </c>
    </row>
    <row r="24" spans="1:21" ht="15" customHeight="1">
      <c r="A24" s="30" t="s">
        <v>26</v>
      </c>
      <c r="B24" s="52">
        <f>'Расчет субсидий'!AD24</f>
        <v>332.5454545454545</v>
      </c>
      <c r="C24" s="54">
        <f>'Расчет субсидий'!D24-1</f>
        <v>0.14315913435519123</v>
      </c>
      <c r="D24" s="54">
        <f>C24*'Расчет субсидий'!E24</f>
        <v>1.4315913435519123</v>
      </c>
      <c r="E24" s="55">
        <f t="shared" si="5"/>
        <v>93.107097783263214</v>
      </c>
      <c r="F24" s="60">
        <f>'Расчет субсидий'!H24-1</f>
        <v>-7.7069457659372009E-2</v>
      </c>
      <c r="G24" s="60">
        <f>F24*'Расчет субсидий'!I24</f>
        <v>-0.38534728829686005</v>
      </c>
      <c r="H24" s="55">
        <f t="shared" si="3"/>
        <v>-25.062017742404745</v>
      </c>
      <c r="I24" s="54">
        <f>'Расчет субсидий'!L24-1</f>
        <v>5.2631578947368363E-2</v>
      </c>
      <c r="J24" s="54">
        <f>I24*'Расчет субсидий'!M24</f>
        <v>0.26315789473684181</v>
      </c>
      <c r="K24" s="55">
        <f t="shared" si="6"/>
        <v>17.115127126229602</v>
      </c>
      <c r="L24" s="54">
        <f>'Расчет субсидий'!P24-1</f>
        <v>0.11699059892864838</v>
      </c>
      <c r="M24" s="54">
        <f>L24*'Расчет субсидий'!Q24</f>
        <v>2.3398119785729676</v>
      </c>
      <c r="N24" s="55">
        <f t="shared" si="7"/>
        <v>152.17548196605458</v>
      </c>
      <c r="O24" s="54">
        <f>'Расчет субсидий'!T24-1</f>
        <v>0.16327608982826947</v>
      </c>
      <c r="P24" s="54">
        <f>O24*'Расчет субсидий'!U24</f>
        <v>0.81638044914134733</v>
      </c>
      <c r="Q24" s="55">
        <f t="shared" si="8"/>
        <v>53.095329647605865</v>
      </c>
      <c r="R24" s="54">
        <f>'Расчет субсидий'!X24-1</f>
        <v>0.12950819672131142</v>
      </c>
      <c r="S24" s="54">
        <f>R24*'Расчет субсидий'!Y24</f>
        <v>0.6475409836065571</v>
      </c>
      <c r="T24" s="55">
        <f t="shared" si="9"/>
        <v>42.114435764705988</v>
      </c>
      <c r="U24" s="54">
        <f t="shared" si="10"/>
        <v>5.1131353613127661</v>
      </c>
    </row>
    <row r="25" spans="1:21" ht="15" customHeight="1">
      <c r="A25" s="30" t="s">
        <v>27</v>
      </c>
      <c r="B25" s="52">
        <f>'Расчет субсидий'!AD25</f>
        <v>113.5181818181818</v>
      </c>
      <c r="C25" s="54">
        <f>'Расчет субсидий'!D25-1</f>
        <v>0.21065357539829566</v>
      </c>
      <c r="D25" s="54">
        <f>C25*'Расчет субсидий'!E25</f>
        <v>2.1065357539829566</v>
      </c>
      <c r="E25" s="55">
        <f t="shared" si="5"/>
        <v>61.799745117684552</v>
      </c>
      <c r="F25" s="60">
        <f>'Расчет субсидий'!H25-1</f>
        <v>-1.7159199237369083E-2</v>
      </c>
      <c r="G25" s="60">
        <f>F25*'Расчет субсидий'!I25</f>
        <v>-8.5795996186845414E-2</v>
      </c>
      <c r="H25" s="55">
        <f t="shared" si="3"/>
        <v>-2.5170095909550754</v>
      </c>
      <c r="I25" s="54">
        <f>'Расчет субсидий'!L25-1</f>
        <v>0.12903225806451624</v>
      </c>
      <c r="J25" s="54">
        <f>I25*'Расчет субсидий'!M25</f>
        <v>1.2903225806451624</v>
      </c>
      <c r="K25" s="55">
        <f t="shared" si="6"/>
        <v>37.854380801603604</v>
      </c>
      <c r="L25" s="54">
        <f>'Расчет субсидий'!P25-1</f>
        <v>-3.9017565676978228E-2</v>
      </c>
      <c r="M25" s="54">
        <f>L25*'Расчет субсидий'!Q25</f>
        <v>-0.78035131353956455</v>
      </c>
      <c r="N25" s="55">
        <f t="shared" si="7"/>
        <v>-22.893279730862623</v>
      </c>
      <c r="O25" s="54">
        <f>'Расчет субсидий'!T25-1</f>
        <v>0.15345911949685531</v>
      </c>
      <c r="P25" s="54">
        <f>O25*'Расчет субсидий'!U25</f>
        <v>0.76729559748427656</v>
      </c>
      <c r="Q25" s="55">
        <f t="shared" si="8"/>
        <v>22.5102622942869</v>
      </c>
      <c r="R25" s="54">
        <f>'Расчет субсидий'!X25-1</f>
        <v>0.11428571428571432</v>
      </c>
      <c r="S25" s="54">
        <f>R25*'Расчет субсидий'!Y25</f>
        <v>0.57142857142857162</v>
      </c>
      <c r="T25" s="55">
        <f t="shared" si="9"/>
        <v>16.764082926424447</v>
      </c>
      <c r="U25" s="54">
        <f t="shared" si="10"/>
        <v>3.869435193814557</v>
      </c>
    </row>
    <row r="26" spans="1:21" ht="15" customHeight="1">
      <c r="A26" s="30" t="s">
        <v>28</v>
      </c>
      <c r="B26" s="52">
        <f>'Расчет субсидий'!AD26</f>
        <v>235.27272727272702</v>
      </c>
      <c r="C26" s="54">
        <f>'Расчет субсидий'!D26-1</f>
        <v>5.6074906367041155E-2</v>
      </c>
      <c r="D26" s="54">
        <f>C26*'Расчет субсидий'!E26</f>
        <v>0.56074906367041155</v>
      </c>
      <c r="E26" s="55">
        <f t="shared" si="5"/>
        <v>38.606857972318565</v>
      </c>
      <c r="F26" s="60">
        <f>'Расчет субсидий'!H26-1</f>
        <v>-2.8169014084507005E-2</v>
      </c>
      <c r="G26" s="60">
        <f>F26*'Расчет субсидий'!I26</f>
        <v>-0.14084507042253502</v>
      </c>
      <c r="H26" s="55">
        <f t="shared" si="3"/>
        <v>-9.6970034944187375</v>
      </c>
      <c r="I26" s="54">
        <f>'Расчет субсидий'!L26-1</f>
        <v>8.040201005025116E-2</v>
      </c>
      <c r="J26" s="54">
        <f>I26*'Расчет субсидий'!M26</f>
        <v>1.2060301507537674</v>
      </c>
      <c r="K26" s="55">
        <f t="shared" si="6"/>
        <v>83.033637962258936</v>
      </c>
      <c r="L26" s="54">
        <f>'Расчет субсидий'!P26-1</f>
        <v>6.5972552375519022E-2</v>
      </c>
      <c r="M26" s="54">
        <f>L26*'Расчет субсидий'!Q26</f>
        <v>1.3194510475103804</v>
      </c>
      <c r="N26" s="55">
        <f t="shared" si="7"/>
        <v>90.84252207080074</v>
      </c>
      <c r="O26" s="54">
        <f>'Расчет субсидий'!T26-1</f>
        <v>3.1213389121338864E-2</v>
      </c>
      <c r="P26" s="54">
        <f>O26*'Расчет субсидий'!U26</f>
        <v>0.15606694560669432</v>
      </c>
      <c r="Q26" s="55">
        <f t="shared" si="8"/>
        <v>10.745010190070769</v>
      </c>
      <c r="R26" s="54">
        <f>'Расчет субсидий'!X26-1</f>
        <v>6.315789473684208E-2</v>
      </c>
      <c r="S26" s="54">
        <f>R26*'Расчет субсидий'!Y26</f>
        <v>0.3157894736842104</v>
      </c>
      <c r="T26" s="55">
        <f t="shared" si="9"/>
        <v>21.741702571696766</v>
      </c>
      <c r="U26" s="54">
        <f t="shared" si="10"/>
        <v>3.4172416108029289</v>
      </c>
    </row>
    <row r="27" spans="1:21" ht="15" customHeight="1">
      <c r="A27" s="30" t="s">
        <v>29</v>
      </c>
      <c r="B27" s="52">
        <f>'Расчет субсидий'!AD27</f>
        <v>-184.58181818181833</v>
      </c>
      <c r="C27" s="54">
        <f>'Расчет субсидий'!D27-1</f>
        <v>-4.8614834673815888E-2</v>
      </c>
      <c r="D27" s="54">
        <f>C27*'Расчет субсидий'!E27</f>
        <v>-0.48614834673815888</v>
      </c>
      <c r="E27" s="55">
        <f t="shared" si="5"/>
        <v>-12.62896951870416</v>
      </c>
      <c r="F27" s="60">
        <f>'Расчет субсидий'!H27-1</f>
        <v>-4.2318307267709354E-2</v>
      </c>
      <c r="G27" s="60">
        <f>F27*'Расчет субсидий'!I27</f>
        <v>-0.21159153633854677</v>
      </c>
      <c r="H27" s="55">
        <f t="shared" si="3"/>
        <v>-5.4966412634424477</v>
      </c>
      <c r="I27" s="54">
        <f>'Расчет субсидий'!L27-1</f>
        <v>-0.17808219178082196</v>
      </c>
      <c r="J27" s="54">
        <f>I27*'Расчет субсидий'!M27</f>
        <v>-2.6712328767123292</v>
      </c>
      <c r="K27" s="55">
        <f t="shared" si="6"/>
        <v>-69.392231411886655</v>
      </c>
      <c r="L27" s="54">
        <f>'Расчет субсидий'!P27-1</f>
        <v>-0.21460019184888213</v>
      </c>
      <c r="M27" s="54">
        <f>L27*'Расчет субсидий'!Q27</f>
        <v>-4.2920038369776421</v>
      </c>
      <c r="N27" s="55">
        <f t="shared" si="7"/>
        <v>-111.49597853213757</v>
      </c>
      <c r="O27" s="54">
        <f>'Расчет субсидий'!T27-1</f>
        <v>0</v>
      </c>
      <c r="P27" s="54">
        <f>O27*'Расчет субсидий'!U27</f>
        <v>0</v>
      </c>
      <c r="Q27" s="55">
        <f t="shared" si="8"/>
        <v>0</v>
      </c>
      <c r="R27" s="54">
        <f>'Расчет субсидий'!X27-1</f>
        <v>5.555555555555558E-2</v>
      </c>
      <c r="S27" s="54">
        <f>R27*'Расчет субсидий'!Y27</f>
        <v>0.5555555555555558</v>
      </c>
      <c r="T27" s="55">
        <f t="shared" si="9"/>
        <v>14.432002544352498</v>
      </c>
      <c r="U27" s="54">
        <f t="shared" si="10"/>
        <v>-7.1054210412111214</v>
      </c>
    </row>
    <row r="28" spans="1:21" ht="15" customHeight="1">
      <c r="A28" s="30" t="s">
        <v>30</v>
      </c>
      <c r="B28" s="52">
        <f>'Расчет субсидий'!AD28</f>
        <v>476.21818181818162</v>
      </c>
      <c r="C28" s="54">
        <f>'Расчет субсидий'!D28-1</f>
        <v>-1.643158781982168E-2</v>
      </c>
      <c r="D28" s="54">
        <f>C28*'Расчет субсидий'!E28</f>
        <v>-0.1643158781982168</v>
      </c>
      <c r="E28" s="55">
        <f t="shared" si="5"/>
        <v>-11.487501893297484</v>
      </c>
      <c r="F28" s="60">
        <f>'Расчет субсидий'!H28-1</f>
        <v>-0.24327018943170475</v>
      </c>
      <c r="G28" s="60">
        <f>F28*'Расчет субсидий'!I28</f>
        <v>-1.2163509471585239</v>
      </c>
      <c r="H28" s="55">
        <f t="shared" si="3"/>
        <v>-85.03641864447259</v>
      </c>
      <c r="I28" s="54">
        <f>'Расчет субсидий'!L28-1</f>
        <v>9.3896713615022609E-3</v>
      </c>
      <c r="J28" s="54">
        <f>I28*'Расчет субсидий'!M28</f>
        <v>9.3896713615022609E-2</v>
      </c>
      <c r="K28" s="55">
        <f t="shared" si="6"/>
        <v>6.5644214500427349</v>
      </c>
      <c r="L28" s="54">
        <f>'Расчет субсидий'!P28-1</f>
        <v>0.27292312357190029</v>
      </c>
      <c r="M28" s="54">
        <f>L28*'Расчет субсидий'!Q28</f>
        <v>5.4584624714380059</v>
      </c>
      <c r="N28" s="55">
        <f t="shared" si="7"/>
        <v>381.60705260325739</v>
      </c>
      <c r="O28" s="54">
        <f>'Расчет субсидий'!T28-1</f>
        <v>0.13166421207658319</v>
      </c>
      <c r="P28" s="54">
        <f>O28*'Расчет субсидий'!U28</f>
        <v>1.3166421207658319</v>
      </c>
      <c r="Q28" s="55">
        <f t="shared" si="8"/>
        <v>92.04788375258093</v>
      </c>
      <c r="R28" s="54">
        <f>'Расчет субсидий'!X28-1</f>
        <v>0.13234344738540993</v>
      </c>
      <c r="S28" s="54">
        <f>R28*'Расчет субсидий'!Y28</f>
        <v>1.3234344738540993</v>
      </c>
      <c r="T28" s="55">
        <f t="shared" si="9"/>
        <v>92.522744550070584</v>
      </c>
      <c r="U28" s="54">
        <f t="shared" si="10"/>
        <v>6.8117689543162196</v>
      </c>
    </row>
    <row r="29" spans="1:21" ht="15" customHeight="1">
      <c r="A29" s="30" t="s">
        <v>31</v>
      </c>
      <c r="B29" s="52">
        <f>'Расчет субсидий'!AD29</f>
        <v>922.29999999999927</v>
      </c>
      <c r="C29" s="54">
        <f>'Расчет субсидий'!D29-1</f>
        <v>-8.1060474787730818E-3</v>
      </c>
      <c r="D29" s="54">
        <f>C29*'Расчет субсидий'!E29</f>
        <v>-8.1060474787730818E-2</v>
      </c>
      <c r="E29" s="55">
        <f t="shared" si="5"/>
        <v>-15.024615371480575</v>
      </c>
      <c r="F29" s="60">
        <f>'Расчет субсидий'!H29-1</f>
        <v>-0.19360730593607312</v>
      </c>
      <c r="G29" s="60">
        <f>F29*'Расчет субсидий'!I29</f>
        <v>-0.96803652968036558</v>
      </c>
      <c r="H29" s="55">
        <f t="shared" si="3"/>
        <v>-179.42624395029753</v>
      </c>
      <c r="I29" s="54">
        <f>'Расчет субсидий'!L29-1</f>
        <v>4.1666666666666741E-2</v>
      </c>
      <c r="J29" s="54">
        <f>I29*'Расчет субсидий'!M29</f>
        <v>0.2083333333333337</v>
      </c>
      <c r="K29" s="55">
        <f t="shared" si="6"/>
        <v>38.614728208643101</v>
      </c>
      <c r="L29" s="54">
        <f>'Расчет субсидий'!P29-1</f>
        <v>0.12050571679859279</v>
      </c>
      <c r="M29" s="54">
        <f>L29*'Расчет субсидий'!Q29</f>
        <v>2.4101143359718558</v>
      </c>
      <c r="N29" s="55">
        <f t="shared" si="7"/>
        <v>446.71636816947546</v>
      </c>
      <c r="O29" s="54">
        <f>'Расчет субсидий'!T29-1</f>
        <v>1.7792792792792778E-2</v>
      </c>
      <c r="P29" s="54">
        <f>O29*'Расчет субсидий'!U29</f>
        <v>8.8963963963963888E-2</v>
      </c>
      <c r="Q29" s="55">
        <f t="shared" si="8"/>
        <v>16.489532586393498</v>
      </c>
      <c r="R29" s="54">
        <f>'Расчет субсидий'!X29-1</f>
        <v>0.22117720465890178</v>
      </c>
      <c r="S29" s="54">
        <f>R29*'Расчет субсидий'!Y29</f>
        <v>3.3176580698835267</v>
      </c>
      <c r="T29" s="55">
        <f t="shared" si="9"/>
        <v>614.93023035726537</v>
      </c>
      <c r="U29" s="54">
        <f t="shared" si="10"/>
        <v>4.9759726986845836</v>
      </c>
    </row>
    <row r="30" spans="1:21" ht="15" customHeight="1">
      <c r="A30" s="30" t="s">
        <v>32</v>
      </c>
      <c r="B30" s="52">
        <f>'Расчет субсидий'!AD30</f>
        <v>71.854545454545587</v>
      </c>
      <c r="C30" s="54">
        <f>'Расчет субсидий'!D30-1</f>
        <v>1.2208258527828253E-3</v>
      </c>
      <c r="D30" s="54">
        <f>C30*'Расчет субсидий'!E30</f>
        <v>1.2208258527828253E-2</v>
      </c>
      <c r="E30" s="55">
        <f t="shared" si="5"/>
        <v>0.35566950661098906</v>
      </c>
      <c r="F30" s="60">
        <f>'Расчет субсидий'!H30-1</f>
        <v>-0.25364963503649629</v>
      </c>
      <c r="G30" s="60">
        <f>F30*'Расчет субсидий'!I30</f>
        <v>-1.2682481751824815</v>
      </c>
      <c r="H30" s="55">
        <f t="shared" si="3"/>
        <v>-36.948529693995859</v>
      </c>
      <c r="I30" s="54">
        <f>'Расчет субсидий'!L30-1</f>
        <v>0.13636363636363646</v>
      </c>
      <c r="J30" s="54">
        <f>I30*'Расчет субсидий'!M30</f>
        <v>1.3636363636363646</v>
      </c>
      <c r="K30" s="55">
        <f t="shared" si="6"/>
        <v>39.727523098057063</v>
      </c>
      <c r="L30" s="54">
        <f>'Расчет субсидий'!P30-1</f>
        <v>0.21234505906228862</v>
      </c>
      <c r="M30" s="54">
        <f>L30*'Расчет субсидий'!Q30</f>
        <v>4.2469011812457724</v>
      </c>
      <c r="N30" s="55">
        <f t="shared" si="7"/>
        <v>123.72716750027855</v>
      </c>
      <c r="O30" s="54">
        <f>'Расчет субсидий'!T30-1</f>
        <v>-3.6258158085569203E-3</v>
      </c>
      <c r="P30" s="54">
        <f>O30*'Расчет субсидий'!U30</f>
        <v>-3.6258158085569203E-2</v>
      </c>
      <c r="Q30" s="55">
        <f t="shared" si="8"/>
        <v>-1.0563276627474663</v>
      </c>
      <c r="R30" s="54">
        <f>'Расчет субсидий'!X30-1</f>
        <v>-0.18518518518518523</v>
      </c>
      <c r="S30" s="54">
        <f>R30*'Расчет субсидий'!Y30</f>
        <v>-1.8518518518518523</v>
      </c>
      <c r="T30" s="55">
        <f t="shared" si="9"/>
        <v>-53.950957293657716</v>
      </c>
      <c r="U30" s="54">
        <f t="shared" si="10"/>
        <v>2.4663876182900628</v>
      </c>
    </row>
    <row r="31" spans="1:21" ht="15" customHeight="1">
      <c r="A31" s="30" t="s">
        <v>33</v>
      </c>
      <c r="B31" s="52">
        <f>'Расчет субсидий'!AD31</f>
        <v>-173.30000000000018</v>
      </c>
      <c r="C31" s="54">
        <f>'Расчет субсидий'!D31-1</f>
        <v>-0.23940670122176977</v>
      </c>
      <c r="D31" s="54">
        <f>C31*'Расчет субсидий'!E31</f>
        <v>-2.3940670122176977</v>
      </c>
      <c r="E31" s="55">
        <f t="shared" si="5"/>
        <v>-156.02337627049391</v>
      </c>
      <c r="F31" s="60">
        <f>'Расчет субсидий'!H31-1</f>
        <v>-6.1637534498620083E-2</v>
      </c>
      <c r="G31" s="60">
        <f>F31*'Расчет субсидий'!I31</f>
        <v>-0.30818767249310042</v>
      </c>
      <c r="H31" s="55">
        <f t="shared" si="3"/>
        <v>-20.0848518199065</v>
      </c>
      <c r="I31" s="54">
        <f>'Расчет субсидий'!L31-1</f>
        <v>0.134020618556701</v>
      </c>
      <c r="J31" s="54">
        <f>I31*'Расчет субсидий'!M31</f>
        <v>1.34020618556701</v>
      </c>
      <c r="K31" s="55">
        <f t="shared" si="6"/>
        <v>87.342373001107433</v>
      </c>
      <c r="L31" s="54">
        <f>'Расчет субсидий'!P31-1</f>
        <v>-0.10823478260869568</v>
      </c>
      <c r="M31" s="54">
        <f>L31*'Расчет субсидий'!Q31</f>
        <v>-2.1646956521739136</v>
      </c>
      <c r="N31" s="55">
        <f t="shared" si="7"/>
        <v>-141.07505033343693</v>
      </c>
      <c r="O31" s="54">
        <f>'Расчет субсидий'!T31-1</f>
        <v>2.2313527180783721E-2</v>
      </c>
      <c r="P31" s="54">
        <f>O31*'Расчет субсидий'!U31</f>
        <v>0.22313527180783721</v>
      </c>
      <c r="Q31" s="55">
        <f t="shared" si="8"/>
        <v>14.541914781342541</v>
      </c>
      <c r="R31" s="54">
        <f>'Расчет субсидий'!X31-1</f>
        <v>0.12888888888888883</v>
      </c>
      <c r="S31" s="54">
        <f>R31*'Расчет субсидий'!Y31</f>
        <v>0.64444444444444415</v>
      </c>
      <c r="T31" s="55">
        <f t="shared" si="9"/>
        <v>41.998990641387202</v>
      </c>
      <c r="U31" s="54">
        <f t="shared" si="10"/>
        <v>-2.6591644350654207</v>
      </c>
    </row>
    <row r="32" spans="1:21" ht="15" customHeight="1">
      <c r="A32" s="30" t="s">
        <v>34</v>
      </c>
      <c r="B32" s="52">
        <f>'Расчет субсидий'!AD32</f>
        <v>105.13636363636351</v>
      </c>
      <c r="C32" s="54">
        <f>'Расчет субсидий'!D32-1</f>
        <v>-3.4720607610632115E-3</v>
      </c>
      <c r="D32" s="54">
        <f>C32*'Расчет субсидий'!E32</f>
        <v>-3.4720607610632115E-2</v>
      </c>
      <c r="E32" s="55">
        <f t="shared" si="5"/>
        <v>-1.4194111411227615</v>
      </c>
      <c r="F32" s="60">
        <f>'Расчет субсидий'!H32-1</f>
        <v>-0.12396694214876036</v>
      </c>
      <c r="G32" s="60">
        <f>F32*'Расчет субсидий'!I32</f>
        <v>-0.61983471074380181</v>
      </c>
      <c r="H32" s="55">
        <f t="shared" si="3"/>
        <v>-25.339426773595537</v>
      </c>
      <c r="I32" s="54">
        <f>'Расчет субсидий'!L32-1</f>
        <v>2.4390243902439046E-2</v>
      </c>
      <c r="J32" s="54">
        <f>I32*'Расчет субсидий'!M32</f>
        <v>0.36585365853658569</v>
      </c>
      <c r="K32" s="55">
        <f t="shared" si="6"/>
        <v>14.95644214441494</v>
      </c>
      <c r="L32" s="54">
        <f>'Расчет субсидий'!P32-1</f>
        <v>0.15524790301379698</v>
      </c>
      <c r="M32" s="54">
        <f>L32*'Расчет субсидий'!Q32</f>
        <v>3.1049580602759397</v>
      </c>
      <c r="N32" s="55">
        <f t="shared" si="7"/>
        <v>126.93360994422846</v>
      </c>
      <c r="O32" s="54">
        <f>'Расчет субсидий'!T32-1</f>
        <v>3.4470872113057105E-4</v>
      </c>
      <c r="P32" s="54">
        <f>O32*'Расчет субсидий'!U32</f>
        <v>3.4470872113057105E-3</v>
      </c>
      <c r="Q32" s="55">
        <f t="shared" si="8"/>
        <v>0.14092017187656694</v>
      </c>
      <c r="R32" s="54">
        <f>'Расчет субсидий'!X32-1</f>
        <v>-2.4793388429751984E-2</v>
      </c>
      <c r="S32" s="54">
        <f>R32*'Расчет субсидий'!Y32</f>
        <v>-0.24793388429751984</v>
      </c>
      <c r="T32" s="55">
        <f t="shared" si="9"/>
        <v>-10.13577070943818</v>
      </c>
      <c r="U32" s="54">
        <f t="shared" si="10"/>
        <v>2.5717696033718775</v>
      </c>
    </row>
    <row r="33" spans="1:21" ht="15" customHeight="1">
      <c r="A33" s="30" t="s">
        <v>1</v>
      </c>
      <c r="B33" s="52">
        <f>'Расчет субсидий'!AD33</f>
        <v>-290.87272727272739</v>
      </c>
      <c r="C33" s="54">
        <f>'Расчет субсидий'!D33-1</f>
        <v>0.20572254821722002</v>
      </c>
      <c r="D33" s="54">
        <f>C33*'Расчет субсидий'!E33</f>
        <v>2.0572254821722002</v>
      </c>
      <c r="E33" s="55">
        <f t="shared" si="5"/>
        <v>218.94108869876834</v>
      </c>
      <c r="F33" s="60">
        <f>'Расчет субсидий'!H33-1</f>
        <v>-1.0466222645099887E-2</v>
      </c>
      <c r="G33" s="60">
        <f>F33*'Расчет субсидий'!I33</f>
        <v>-5.2331113225499437E-2</v>
      </c>
      <c r="H33" s="55">
        <f t="shared" si="3"/>
        <v>-5.5693607733808514</v>
      </c>
      <c r="I33" s="54">
        <f>'Расчет субсидий'!L33-1</f>
        <v>-7.3529411764705843E-2</v>
      </c>
      <c r="J33" s="54">
        <f>I33*'Расчет субсидий'!M33</f>
        <v>-0.73529411764705843</v>
      </c>
      <c r="K33" s="55">
        <f t="shared" si="6"/>
        <v>-78.253986267690934</v>
      </c>
      <c r="L33" s="54">
        <f>'Расчет субсидий'!P33-1</f>
        <v>-0.1074820207778695</v>
      </c>
      <c r="M33" s="54">
        <f>L33*'Расчет субсидий'!Q33</f>
        <v>-2.14964041555739</v>
      </c>
      <c r="N33" s="55">
        <f t="shared" si="7"/>
        <v>-228.77638692092208</v>
      </c>
      <c r="O33" s="54">
        <f>'Расчет субсидий'!T33-1</f>
        <v>-0.12540244687701241</v>
      </c>
      <c r="P33" s="54">
        <f>O33*'Расчет субсидий'!U33</f>
        <v>-0.62701223438506204</v>
      </c>
      <c r="Q33" s="55">
        <f t="shared" si="8"/>
        <v>-66.730041219770314</v>
      </c>
      <c r="R33" s="54">
        <f>'Расчет субсидий'!X33-1</f>
        <v>-0.12260608336462642</v>
      </c>
      <c r="S33" s="54">
        <f>R33*'Расчет субсидий'!Y33</f>
        <v>-1.2260608336462642</v>
      </c>
      <c r="T33" s="55">
        <f t="shared" si="9"/>
        <v>-130.48404078973158</v>
      </c>
      <c r="U33" s="54">
        <f t="shared" si="10"/>
        <v>-2.7331132322890737</v>
      </c>
    </row>
    <row r="34" spans="1:21" ht="15" customHeight="1">
      <c r="A34" s="30" t="s">
        <v>35</v>
      </c>
      <c r="B34" s="52">
        <f>'Расчет субсидий'!AD34</f>
        <v>-445.11818181818217</v>
      </c>
      <c r="C34" s="54">
        <f>'Расчет субсидий'!D34-1</f>
        <v>-0.22176049091338212</v>
      </c>
      <c r="D34" s="54">
        <f>C34*'Расчет субсидий'!E34</f>
        <v>-2.2176049091338212</v>
      </c>
      <c r="E34" s="55">
        <f t="shared" si="5"/>
        <v>-112.55679753792333</v>
      </c>
      <c r="F34" s="60">
        <f>'Расчет субсидий'!H34-1</f>
        <v>-0.29522952295229521</v>
      </c>
      <c r="G34" s="60">
        <f>F34*'Расчет субсидий'!I34</f>
        <v>-1.476147614761476</v>
      </c>
      <c r="H34" s="55">
        <f t="shared" si="3"/>
        <v>-74.923376804614378</v>
      </c>
      <c r="I34" s="54">
        <f>'Расчет субсидий'!L34-1</f>
        <v>-5.4545454545454564E-2</v>
      </c>
      <c r="J34" s="54">
        <f>I34*'Расчет субсидий'!M34</f>
        <v>-0.54545454545454564</v>
      </c>
      <c r="K34" s="55">
        <f t="shared" si="6"/>
        <v>-27.685101429022151</v>
      </c>
      <c r="L34" s="54">
        <f>'Расчет субсидий'!P34-1</f>
        <v>-0.1190398948730057</v>
      </c>
      <c r="M34" s="54">
        <f>L34*'Расчет субсидий'!Q34</f>
        <v>-2.3807978974601141</v>
      </c>
      <c r="N34" s="55">
        <f t="shared" si="7"/>
        <v>-120.83982400084084</v>
      </c>
      <c r="O34" s="54">
        <f>'Расчет субсидий'!T34-1</f>
        <v>-5.2678571428571463E-2</v>
      </c>
      <c r="P34" s="54">
        <f>O34*'Расчет субсидий'!U34</f>
        <v>-0.26339285714285732</v>
      </c>
      <c r="Q34" s="55">
        <f t="shared" si="8"/>
        <v>-13.368772937079896</v>
      </c>
      <c r="R34" s="54">
        <f>'Расчет субсидий'!X34-1</f>
        <v>-0.37727272727272732</v>
      </c>
      <c r="S34" s="54">
        <f>R34*'Расчет субсидий'!Y34</f>
        <v>-1.8863636363636367</v>
      </c>
      <c r="T34" s="55">
        <f t="shared" si="9"/>
        <v>-95.7443091087016</v>
      </c>
      <c r="U34" s="54">
        <f t="shared" si="10"/>
        <v>-8.7697614603164507</v>
      </c>
    </row>
    <row r="35" spans="1:21" ht="15" customHeight="1">
      <c r="A35" s="30" t="s">
        <v>36</v>
      </c>
      <c r="B35" s="52">
        <f>'Расчет субсидий'!AD35</f>
        <v>0.87272727272738848</v>
      </c>
      <c r="C35" s="54">
        <f>'Расчет субсидий'!D35-1</f>
        <v>-1.2047985552736784E-2</v>
      </c>
      <c r="D35" s="54">
        <f>C35*'Расчет субсидий'!E35</f>
        <v>-0.12047985552736784</v>
      </c>
      <c r="E35" s="55">
        <f t="shared" si="5"/>
        <v>-4.413576889202468</v>
      </c>
      <c r="F35" s="60">
        <f>'Расчет субсидий'!H35-1</f>
        <v>-9.27643784786647E-3</v>
      </c>
      <c r="G35" s="60">
        <f>F35*'Расчет субсидий'!I35</f>
        <v>-4.638218923933235E-2</v>
      </c>
      <c r="H35" s="55">
        <f t="shared" si="3"/>
        <v>-1.6991334991336458</v>
      </c>
      <c r="I35" s="54">
        <f>'Расчет субсидий'!L35-1</f>
        <v>6.7114093959732557E-3</v>
      </c>
      <c r="J35" s="54">
        <f>I35*'Расчет субсидий'!M35</f>
        <v>0.10067114093959884</v>
      </c>
      <c r="K35" s="55">
        <f t="shared" si="6"/>
        <v>3.6879179437572236</v>
      </c>
      <c r="L35" s="54">
        <f>'Расчет субсидий'!P35-1</f>
        <v>-8.1764626218851499E-2</v>
      </c>
      <c r="M35" s="54">
        <f>L35*'Расчет субсидий'!Q35</f>
        <v>-1.63529252437703</v>
      </c>
      <c r="N35" s="55">
        <f t="shared" si="7"/>
        <v>-59.906191463157249</v>
      </c>
      <c r="O35" s="54">
        <f>'Расчет субсидий'!T35-1</f>
        <v>6.5030674846625836E-2</v>
      </c>
      <c r="P35" s="54">
        <f>O35*'Расчет субсидий'!U35</f>
        <v>0.65030674846625836</v>
      </c>
      <c r="Q35" s="55">
        <f t="shared" si="8"/>
        <v>23.822894071043262</v>
      </c>
      <c r="R35" s="54">
        <f>'Расчет субсидий'!X35-1</f>
        <v>0.21499999999999986</v>
      </c>
      <c r="S35" s="54">
        <f>R35*'Расчет субсидий'!Y35</f>
        <v>1.0749999999999993</v>
      </c>
      <c r="T35" s="55">
        <f t="shared" si="9"/>
        <v>39.380817109420271</v>
      </c>
      <c r="U35" s="54">
        <f t="shared" si="10"/>
        <v>2.3823320262126302E-2</v>
      </c>
    </row>
    <row r="36" spans="1:21" ht="15" customHeight="1">
      <c r="A36" s="30" t="s">
        <v>37</v>
      </c>
      <c r="B36" s="52">
        <f>'Расчет субсидий'!AD36</f>
        <v>175.66363636363621</v>
      </c>
      <c r="C36" s="54">
        <f>'Расчет субсидий'!D36-1</f>
        <v>-0.35972109120521167</v>
      </c>
      <c r="D36" s="54">
        <f>C36*'Расчет субсидий'!E36</f>
        <v>-3.597210912052117</v>
      </c>
      <c r="E36" s="55">
        <f t="shared" si="5"/>
        <v>-317.52786287336818</v>
      </c>
      <c r="F36" s="60">
        <f>'Расчет субсидий'!H36-1</f>
        <v>2.8735632183908066E-2</v>
      </c>
      <c r="G36" s="60">
        <f>F36*'Расчет субсидий'!I36</f>
        <v>0.14367816091954033</v>
      </c>
      <c r="H36" s="55">
        <f t="shared" si="3"/>
        <v>12.682553370864607</v>
      </c>
      <c r="I36" s="54">
        <f>'Расчет субсидий'!L36-1</f>
        <v>2.2727272727272707E-2</v>
      </c>
      <c r="J36" s="54">
        <f>I36*'Расчет субсидий'!M36</f>
        <v>0.34090909090909061</v>
      </c>
      <c r="K36" s="55">
        <f t="shared" si="6"/>
        <v>30.092240270869613</v>
      </c>
      <c r="L36" s="54">
        <f>'Расчет субсидий'!P36-1</f>
        <v>0.14375318242836621</v>
      </c>
      <c r="M36" s="54">
        <f>L36*'Расчет субсидий'!Q36</f>
        <v>2.8750636485673242</v>
      </c>
      <c r="N36" s="55">
        <f t="shared" si="7"/>
        <v>253.78351124641102</v>
      </c>
      <c r="O36" s="54">
        <f>'Расчет субсидий'!T36-1</f>
        <v>1.363504496663781E-2</v>
      </c>
      <c r="P36" s="54">
        <f>O36*'Расчет субсидий'!U36</f>
        <v>0.1363504496663781</v>
      </c>
      <c r="Q36" s="55">
        <f t="shared" si="8"/>
        <v>12.035732111045183</v>
      </c>
      <c r="R36" s="54">
        <f>'Расчет субсидий'!X36-1</f>
        <v>0.20912684622067768</v>
      </c>
      <c r="S36" s="54">
        <f>R36*'Расчет субсидий'!Y36</f>
        <v>2.0912684622067768</v>
      </c>
      <c r="T36" s="55">
        <f t="shared" si="9"/>
        <v>184.59746223781394</v>
      </c>
      <c r="U36" s="54">
        <f t="shared" si="10"/>
        <v>1.9900589002169933</v>
      </c>
    </row>
    <row r="37" spans="1:21" ht="15" customHeight="1">
      <c r="A37" s="30" t="s">
        <v>38</v>
      </c>
      <c r="B37" s="52">
        <f>'Расчет субсидий'!AD37</f>
        <v>359.74545454545432</v>
      </c>
      <c r="C37" s="54">
        <f>'Расчет субсидий'!D37-1</f>
        <v>0.12025229880690014</v>
      </c>
      <c r="D37" s="54">
        <f>C37*'Расчет субсидий'!E37</f>
        <v>1.2025229880690014</v>
      </c>
      <c r="E37" s="55">
        <f t="shared" si="5"/>
        <v>58.053797020788735</v>
      </c>
      <c r="F37" s="60">
        <f>'Расчет субсидий'!H37-1</f>
        <v>-9.6716947648624707E-2</v>
      </c>
      <c r="G37" s="60">
        <f>F37*'Расчет субсидий'!I37</f>
        <v>-0.48358473824312354</v>
      </c>
      <c r="H37" s="55">
        <f t="shared" si="3"/>
        <v>-23.345857430466559</v>
      </c>
      <c r="I37" s="54">
        <f>'Расчет субсидий'!L37-1</f>
        <v>2.16110019646365E-2</v>
      </c>
      <c r="J37" s="54">
        <f>I37*'Расчет субсидий'!M37</f>
        <v>0.32416502946954751</v>
      </c>
      <c r="K37" s="55">
        <f t="shared" si="6"/>
        <v>15.649605877624408</v>
      </c>
      <c r="L37" s="54">
        <f>'Расчет субсидий'!P37-1</f>
        <v>0.226595770139699</v>
      </c>
      <c r="M37" s="54">
        <f>L37*'Расчет субсидий'!Q37</f>
        <v>4.5319154027939801</v>
      </c>
      <c r="N37" s="55">
        <f t="shared" si="7"/>
        <v>218.78575255485364</v>
      </c>
      <c r="O37" s="54">
        <f>'Расчет субсидий'!T37-1</f>
        <v>0.10289017341040463</v>
      </c>
      <c r="P37" s="54">
        <f>O37*'Расчет субсидий'!U37</f>
        <v>1.0289017341040463</v>
      </c>
      <c r="Q37" s="55">
        <f t="shared" si="8"/>
        <v>49.67194225694621</v>
      </c>
      <c r="R37" s="54">
        <f>'Расчет субсидий'!X37-1</f>
        <v>8.478260869565224E-2</v>
      </c>
      <c r="S37" s="54">
        <f>R37*'Расчет субсидий'!Y37</f>
        <v>0.8478260869565224</v>
      </c>
      <c r="T37" s="55">
        <f t="shared" si="9"/>
        <v>40.930214265707896</v>
      </c>
      <c r="U37" s="54">
        <f t="shared" si="10"/>
        <v>7.4517465031499741</v>
      </c>
    </row>
    <row r="38" spans="1:21" ht="15" customHeight="1">
      <c r="A38" s="30" t="s">
        <v>39</v>
      </c>
      <c r="B38" s="52">
        <f>'Расчет субсидий'!AD38</f>
        <v>-131.84545454545469</v>
      </c>
      <c r="C38" s="54">
        <f>'Расчет субсидий'!D38-1</f>
        <v>-0.15013750443895713</v>
      </c>
      <c r="D38" s="54">
        <f>C38*'Расчет субсидий'!E38</f>
        <v>-1.5013750443895713</v>
      </c>
      <c r="E38" s="55">
        <f t="shared" si="5"/>
        <v>-69.099108539444472</v>
      </c>
      <c r="F38" s="60">
        <f>'Расчет субсидий'!H38-1</f>
        <v>-0.20582877959927137</v>
      </c>
      <c r="G38" s="60">
        <f>F38*'Расчет субсидий'!I38</f>
        <v>-1.0291438979963567</v>
      </c>
      <c r="H38" s="55">
        <f t="shared" si="3"/>
        <v>-47.365197773931499</v>
      </c>
      <c r="I38" s="54">
        <f>'Расчет субсидий'!L38-1</f>
        <v>-0.1866028708133971</v>
      </c>
      <c r="J38" s="54">
        <f>I38*'Расчет субсидий'!M38</f>
        <v>-1.866028708133971</v>
      </c>
      <c r="K38" s="55">
        <f t="shared" si="6"/>
        <v>-85.881885890472759</v>
      </c>
      <c r="L38" s="54">
        <f>'Расчет субсидий'!P38-1</f>
        <v>6.0444256706586597E-2</v>
      </c>
      <c r="M38" s="54">
        <f>L38*'Расчет субсидий'!Q38</f>
        <v>1.2088851341317319</v>
      </c>
      <c r="N38" s="55">
        <f t="shared" si="7"/>
        <v>55.637587295219909</v>
      </c>
      <c r="O38" s="54">
        <f>'Расчет субсидий'!T38-1</f>
        <v>5.7692307692307709E-2</v>
      </c>
      <c r="P38" s="54">
        <f>O38*'Расчет субсидий'!U38</f>
        <v>0.28846153846153855</v>
      </c>
      <c r="Q38" s="55">
        <f t="shared" si="8"/>
        <v>13.276119934252081</v>
      </c>
      <c r="R38" s="54">
        <f>'Расчет субсидий'!X38-1</f>
        <v>6.8965517241379448E-3</v>
      </c>
      <c r="S38" s="54">
        <f>R38*'Расчет субсидий'!Y38</f>
        <v>3.4482758620689724E-2</v>
      </c>
      <c r="T38" s="55">
        <f t="shared" si="9"/>
        <v>1.5870304289220905</v>
      </c>
      <c r="U38" s="54">
        <f t="shared" si="10"/>
        <v>-2.8647182193059395</v>
      </c>
    </row>
    <row r="39" spans="1:21" ht="15" customHeight="1">
      <c r="A39" s="30" t="s">
        <v>40</v>
      </c>
      <c r="B39" s="52">
        <f>'Расчет субсидий'!AD39</f>
        <v>-733.92727272727279</v>
      </c>
      <c r="C39" s="54">
        <f>'Расчет субсидий'!D39-1</f>
        <v>8.0595372222912687E-2</v>
      </c>
      <c r="D39" s="54">
        <f>C39*'Расчет субсидий'!E39</f>
        <v>0.80595372222912687</v>
      </c>
      <c r="E39" s="55">
        <f t="shared" si="5"/>
        <v>131.13203127278939</v>
      </c>
      <c r="F39" s="60">
        <f>'Расчет субсидий'!H39-1</f>
        <v>-9.5505617977528101E-2</v>
      </c>
      <c r="G39" s="60">
        <f>F39*'Расчет субсидий'!I39</f>
        <v>-0.47752808988764051</v>
      </c>
      <c r="H39" s="55">
        <f t="shared" si="3"/>
        <v>-77.695811421513923</v>
      </c>
      <c r="I39" s="54">
        <f>'Расчет субсидий'!L39-1</f>
        <v>-0.38775510204081631</v>
      </c>
      <c r="J39" s="54">
        <f>I39*'Расчет субсидий'!M39</f>
        <v>-1.9387755102040816</v>
      </c>
      <c r="K39" s="55">
        <f t="shared" si="6"/>
        <v>-315.44685981699888</v>
      </c>
      <c r="L39" s="54">
        <f>'Расчет субсидий'!P39-1</f>
        <v>-4.1048707250696537E-2</v>
      </c>
      <c r="M39" s="54">
        <f>L39*'Расчет субсидий'!Q39</f>
        <v>-0.82097414501393073</v>
      </c>
      <c r="N39" s="55">
        <f t="shared" si="7"/>
        <v>-133.57591669204112</v>
      </c>
      <c r="O39" s="54">
        <f>'Расчет субсидий'!T39-1</f>
        <v>5.9463379260333848E-3</v>
      </c>
      <c r="P39" s="54">
        <f>O39*'Расчет субсидий'!U39</f>
        <v>5.9463379260333848E-2</v>
      </c>
      <c r="Q39" s="55">
        <f t="shared" si="8"/>
        <v>9.6749397560757782</v>
      </c>
      <c r="R39" s="54">
        <f>'Расчет субсидий'!X39-1</f>
        <v>-0.21389473684210536</v>
      </c>
      <c r="S39" s="54">
        <f>R39*'Расчет субсидий'!Y39</f>
        <v>-2.1389473684210536</v>
      </c>
      <c r="T39" s="55">
        <f t="shared" si="9"/>
        <v>-348.01565582558408</v>
      </c>
      <c r="U39" s="54">
        <f t="shared" si="10"/>
        <v>-4.5108080120372458</v>
      </c>
    </row>
    <row r="40" spans="1:21" ht="15" customHeight="1">
      <c r="A40" s="30" t="s">
        <v>41</v>
      </c>
      <c r="B40" s="52">
        <f>'Расчет субсидий'!AD40</f>
        <v>-131.5</v>
      </c>
      <c r="C40" s="54">
        <f>'Расчет субсидий'!D40-1</f>
        <v>-4.7252770538003475E-2</v>
      </c>
      <c r="D40" s="54">
        <f>C40*'Расчет субсидий'!E40</f>
        <v>-0.47252770538003475</v>
      </c>
      <c r="E40" s="55">
        <f t="shared" si="5"/>
        <v>-32.23998939476499</v>
      </c>
      <c r="F40" s="60">
        <f>'Расчет субсидий'!H40-1</f>
        <v>-0.18837863167760083</v>
      </c>
      <c r="G40" s="60">
        <f>F40*'Расчет субсидий'!I40</f>
        <v>-0.94189315838800414</v>
      </c>
      <c r="H40" s="55">
        <f t="shared" si="3"/>
        <v>-64.264222164514806</v>
      </c>
      <c r="I40" s="54">
        <f>'Расчет субсидий'!L40-1</f>
        <v>6.5573770491803351E-2</v>
      </c>
      <c r="J40" s="54">
        <f>I40*'Расчет субсидий'!M40</f>
        <v>0.32786885245901676</v>
      </c>
      <c r="K40" s="55">
        <f t="shared" si="6"/>
        <v>22.370092178301068</v>
      </c>
      <c r="L40" s="54">
        <f>'Расчет субсидий'!P40-1</f>
        <v>-0.10929627302914136</v>
      </c>
      <c r="M40" s="54">
        <f>L40*'Расчет субсидий'!Q40</f>
        <v>-2.1859254605828271</v>
      </c>
      <c r="N40" s="55">
        <f t="shared" si="7"/>
        <v>-149.14302984680566</v>
      </c>
      <c r="O40" s="54">
        <f>'Расчет субсидий'!T40-1</f>
        <v>0.17679465776293823</v>
      </c>
      <c r="P40" s="54">
        <f>O40*'Расчет субсидий'!U40</f>
        <v>0.88397328881469117</v>
      </c>
      <c r="Q40" s="55">
        <f t="shared" si="8"/>
        <v>60.31242005951875</v>
      </c>
      <c r="R40" s="54">
        <f>'Расчет субсидий'!X40-1</f>
        <v>9.2233009708737823E-2</v>
      </c>
      <c r="S40" s="54">
        <f>R40*'Расчет субсидий'!Y40</f>
        <v>0.46116504854368912</v>
      </c>
      <c r="T40" s="55">
        <f t="shared" si="9"/>
        <v>31.464729168265652</v>
      </c>
      <c r="U40" s="54">
        <f t="shared" si="10"/>
        <v>-1.9273391345334689</v>
      </c>
    </row>
    <row r="41" spans="1:21" ht="15" customHeight="1">
      <c r="A41" s="30" t="s">
        <v>2</v>
      </c>
      <c r="B41" s="52">
        <f>'Расчет субсидий'!AD41</f>
        <v>-242.06363636363585</v>
      </c>
      <c r="C41" s="54">
        <f>'Расчет субсидий'!D41-1</f>
        <v>-7.0861033239887905E-2</v>
      </c>
      <c r="D41" s="54">
        <f>C41*'Расчет субсидий'!E41</f>
        <v>-0.70861033239887905</v>
      </c>
      <c r="E41" s="55">
        <f t="shared" si="5"/>
        <v>-51.925132907161654</v>
      </c>
      <c r="F41" s="60">
        <f>'Расчет субсидий'!H41-1</f>
        <v>-0.21973929236499079</v>
      </c>
      <c r="G41" s="60">
        <f>F41*'Расчет субсидий'!I41</f>
        <v>-1.098696461824954</v>
      </c>
      <c r="H41" s="55">
        <f t="shared" si="3"/>
        <v>-80.509635827290452</v>
      </c>
      <c r="I41" s="54">
        <f>'Расчет субсидий'!L41-1</f>
        <v>-1.1857707509881465E-2</v>
      </c>
      <c r="J41" s="54">
        <f>I41*'Расчет субсидий'!M41</f>
        <v>-0.17786561264822198</v>
      </c>
      <c r="K41" s="55">
        <f t="shared" si="6"/>
        <v>-13.033532188426877</v>
      </c>
      <c r="L41" s="54">
        <f>'Расчет субсидий'!P41-1</f>
        <v>-0.10913723673425746</v>
      </c>
      <c r="M41" s="54">
        <f>L41*'Расчет субсидий'!Q41</f>
        <v>-2.1827447346851492</v>
      </c>
      <c r="N41" s="55">
        <f t="shared" si="7"/>
        <v>-159.94589024300961</v>
      </c>
      <c r="O41" s="54">
        <f>'Расчет субсидий'!T41-1</f>
        <v>0.11436950146627556</v>
      </c>
      <c r="P41" s="54">
        <f>O41*'Расчет субсидий'!U41</f>
        <v>0.57184750733137779</v>
      </c>
      <c r="Q41" s="55">
        <f t="shared" si="8"/>
        <v>41.903506713329236</v>
      </c>
      <c r="R41" s="54">
        <f>'Расчет субсидий'!X41-1</f>
        <v>5.8536585365853711E-2</v>
      </c>
      <c r="S41" s="54">
        <f>R41*'Расчет субсидий'!Y41</f>
        <v>0.29268292682926855</v>
      </c>
      <c r="T41" s="55">
        <f t="shared" si="9"/>
        <v>21.44704808892352</v>
      </c>
      <c r="U41" s="54">
        <f t="shared" si="10"/>
        <v>-3.3033867073965579</v>
      </c>
    </row>
    <row r="42" spans="1:21" ht="15" customHeight="1">
      <c r="A42" s="30" t="s">
        <v>42</v>
      </c>
      <c r="B42" s="52">
        <f>'Расчет субсидий'!AD42</f>
        <v>-124.42727272727234</v>
      </c>
      <c r="C42" s="54">
        <f>'Расчет субсидий'!D42-1</f>
        <v>-0.17168698837941498</v>
      </c>
      <c r="D42" s="54">
        <f>C42*'Расчет субсидий'!E42</f>
        <v>-1.7168698837941498</v>
      </c>
      <c r="E42" s="55">
        <f t="shared" si="5"/>
        <v>-72.54114299252511</v>
      </c>
      <c r="F42" s="60">
        <f>'Расчет субсидий'!H42-1</f>
        <v>-2.6484018264840259E-2</v>
      </c>
      <c r="G42" s="60">
        <f>F42*'Расчет субсидий'!I42</f>
        <v>-0.13242009132420129</v>
      </c>
      <c r="H42" s="55">
        <f t="shared" si="3"/>
        <v>-5.5950103560578572</v>
      </c>
      <c r="I42" s="54">
        <f>'Расчет субсидий'!L42-1</f>
        <v>0.11111111111111116</v>
      </c>
      <c r="J42" s="54">
        <f>I42*'Расчет субсидий'!M42</f>
        <v>1.1111111111111116</v>
      </c>
      <c r="K42" s="55">
        <f t="shared" si="6"/>
        <v>46.946638619795706</v>
      </c>
      <c r="L42" s="54">
        <f>'Расчет субсидий'!P42-1</f>
        <v>-0.12317537082362651</v>
      </c>
      <c r="M42" s="54">
        <f>L42*'Расчет субсидий'!Q42</f>
        <v>-2.4635074164725301</v>
      </c>
      <c r="N42" s="55">
        <f t="shared" si="7"/>
        <v>-104.08805317649013</v>
      </c>
      <c r="O42" s="54">
        <f>'Расчет субсидий'!T42-1</f>
        <v>2.2371364653244186E-3</v>
      </c>
      <c r="P42" s="54">
        <f>O42*'Расчет субсидий'!U42</f>
        <v>1.1185682326622093E-2</v>
      </c>
      <c r="Q42" s="55">
        <f t="shared" si="8"/>
        <v>0.47261716731338649</v>
      </c>
      <c r="R42" s="54">
        <f>'Расчет субсидий'!X42-1</f>
        <v>4.912280701754379E-2</v>
      </c>
      <c r="S42" s="54">
        <f>R42*'Расчет субсидий'!Y42</f>
        <v>0.24561403508771895</v>
      </c>
      <c r="T42" s="55">
        <f t="shared" si="9"/>
        <v>10.377678010691662</v>
      </c>
      <c r="U42" s="54">
        <f t="shared" si="10"/>
        <v>-2.9448865630654284</v>
      </c>
    </row>
    <row r="43" spans="1:21" ht="15" customHeight="1">
      <c r="A43" s="30" t="s">
        <v>3</v>
      </c>
      <c r="B43" s="52">
        <f>'Расчет субсидий'!AD43</f>
        <v>273.62727272727261</v>
      </c>
      <c r="C43" s="54">
        <f>'Расчет субсидий'!D43-1</f>
        <v>-8.0114714689384581E-2</v>
      </c>
      <c r="D43" s="54">
        <f>C43*'Расчет субсидий'!E43</f>
        <v>-0.80114714689384581</v>
      </c>
      <c r="E43" s="55">
        <f t="shared" si="5"/>
        <v>-37.783544153367345</v>
      </c>
      <c r="F43" s="60">
        <f>'Расчет субсидий'!H43-1</f>
        <v>1.6083254493850507E-2</v>
      </c>
      <c r="G43" s="60">
        <f>F43*'Расчет субсидий'!I43</f>
        <v>8.0416272469252537E-2</v>
      </c>
      <c r="H43" s="55">
        <f t="shared" si="3"/>
        <v>3.792576424033399</v>
      </c>
      <c r="I43" s="54">
        <f>'Расчет субсидий'!L43-1</f>
        <v>0.18644067796610164</v>
      </c>
      <c r="J43" s="54">
        <f>I43*'Расчет субсидий'!M43</f>
        <v>1.8644067796610164</v>
      </c>
      <c r="K43" s="55">
        <f t="shared" si="6"/>
        <v>87.928785807051554</v>
      </c>
      <c r="L43" s="54">
        <f>'Расчет субсидий'!P43-1</f>
        <v>0.2033489982686123</v>
      </c>
      <c r="M43" s="54">
        <f>L43*'Расчет субсидий'!Q43</f>
        <v>4.066979965372246</v>
      </c>
      <c r="N43" s="55">
        <f t="shared" si="7"/>
        <v>191.8061091377308</v>
      </c>
      <c r="O43" s="54">
        <f>'Расчет субсидий'!T43-1</f>
        <v>8.1435643564356397E-2</v>
      </c>
      <c r="P43" s="54">
        <f>O43*'Расчет субсидий'!U43</f>
        <v>0.40717821782178198</v>
      </c>
      <c r="Q43" s="55">
        <f t="shared" si="8"/>
        <v>19.203259015534172</v>
      </c>
      <c r="R43" s="54">
        <f>'Расчет субсидий'!X43-1</f>
        <v>3.6809815950920033E-2</v>
      </c>
      <c r="S43" s="54">
        <f>R43*'Расчет субсидий'!Y43</f>
        <v>0.18404907975460016</v>
      </c>
      <c r="T43" s="55">
        <f t="shared" si="9"/>
        <v>8.6800864962900395</v>
      </c>
      <c r="U43" s="54">
        <f t="shared" si="10"/>
        <v>5.8018831681850509</v>
      </c>
    </row>
    <row r="44" spans="1:21" ht="15" customHeight="1">
      <c r="A44" s="30" t="s">
        <v>43</v>
      </c>
      <c r="B44" s="52">
        <f>'Расчет субсидий'!AD44</f>
        <v>-32.89090909090919</v>
      </c>
      <c r="C44" s="54">
        <f>'Расчет субсидий'!D44-1</f>
        <v>-4.3169912693082568E-2</v>
      </c>
      <c r="D44" s="54">
        <f>C44*'Расчет субсидий'!E44</f>
        <v>-0.43169912693082568</v>
      </c>
      <c r="E44" s="55">
        <f t="shared" si="5"/>
        <v>-26.793954251168699</v>
      </c>
      <c r="F44" s="60">
        <f>'Расчет субсидий'!H44-1</f>
        <v>1.844660194174752E-2</v>
      </c>
      <c r="G44" s="60">
        <f>F44*'Расчет субсидий'!I44</f>
        <v>9.2233009708737601E-2</v>
      </c>
      <c r="H44" s="55">
        <f t="shared" si="3"/>
        <v>5.7245588151942366</v>
      </c>
      <c r="I44" s="54">
        <f>'Расчет субсидий'!L44-1</f>
        <v>0</v>
      </c>
      <c r="J44" s="54">
        <f>I44*'Расчет субсидий'!M44</f>
        <v>0</v>
      </c>
      <c r="K44" s="55">
        <f t="shared" si="6"/>
        <v>0</v>
      </c>
      <c r="L44" s="54">
        <f>'Расчет субсидий'!P44-1</f>
        <v>-0.10717954968917065</v>
      </c>
      <c r="M44" s="54">
        <f>L44*'Расчет субсидий'!Q44</f>
        <v>-2.143590993783413</v>
      </c>
      <c r="N44" s="55">
        <f t="shared" si="7"/>
        <v>-133.0446958023459</v>
      </c>
      <c r="O44" s="54">
        <f>'Расчет субсидий'!T44-1</f>
        <v>0.1875</v>
      </c>
      <c r="P44" s="54">
        <f>O44*'Расчет субсидий'!U44</f>
        <v>0.9375</v>
      </c>
      <c r="Q44" s="55">
        <f t="shared" si="8"/>
        <v>58.187127430757371</v>
      </c>
      <c r="R44" s="54">
        <f>'Расчет субсидий'!X44-1</f>
        <v>0.203125</v>
      </c>
      <c r="S44" s="54">
        <f>R44*'Расчет субсидий'!Y44</f>
        <v>1.015625</v>
      </c>
      <c r="T44" s="55">
        <f t="shared" si="9"/>
        <v>63.036054716653823</v>
      </c>
      <c r="U44" s="54">
        <f t="shared" si="10"/>
        <v>-0.52993211100550131</v>
      </c>
    </row>
    <row r="45" spans="1:21" ht="15" customHeight="1">
      <c r="A45" s="31" t="s">
        <v>44</v>
      </c>
      <c r="B45" s="51">
        <f>'Расчет субсидий'!AD45</f>
        <v>-654.79090909090894</v>
      </c>
      <c r="C45" s="51"/>
      <c r="D45" s="51"/>
      <c r="E45" s="51">
        <f>SUM(E47:E368)</f>
        <v>-206.12648033392011</v>
      </c>
      <c r="F45" s="51"/>
      <c r="G45" s="51"/>
      <c r="H45" s="51"/>
      <c r="I45" s="51"/>
      <c r="J45" s="51"/>
      <c r="K45" s="51"/>
      <c r="L45" s="51"/>
      <c r="M45" s="51"/>
      <c r="N45" s="51">
        <f>SUM(N47:N368)</f>
        <v>-1470.9969139488039</v>
      </c>
      <c r="O45" s="51"/>
      <c r="P45" s="51"/>
      <c r="Q45" s="51">
        <f>SUM(Q47:Q368)</f>
        <v>344.10975758046362</v>
      </c>
      <c r="R45" s="51"/>
      <c r="S45" s="51"/>
      <c r="T45" s="51">
        <f>SUM(T47:T368)</f>
        <v>678.22272761135162</v>
      </c>
      <c r="U45" s="51"/>
    </row>
    <row r="46" spans="1:21" ht="15" customHeight="1">
      <c r="A46" s="32" t="s">
        <v>45</v>
      </c>
      <c r="B46" s="56"/>
      <c r="C46" s="57"/>
      <c r="D46" s="57"/>
      <c r="E46" s="58"/>
      <c r="F46" s="57"/>
      <c r="G46" s="57"/>
      <c r="H46" s="58"/>
      <c r="I46" s="58"/>
      <c r="J46" s="58"/>
      <c r="K46" s="58"/>
      <c r="L46" s="57"/>
      <c r="M46" s="57"/>
      <c r="N46" s="58"/>
      <c r="O46" s="57"/>
      <c r="P46" s="57"/>
      <c r="Q46" s="58"/>
      <c r="R46" s="57"/>
      <c r="S46" s="57"/>
      <c r="T46" s="58"/>
      <c r="U46" s="58"/>
    </row>
    <row r="47" spans="1:21" ht="15" customHeight="1">
      <c r="A47" s="33" t="s">
        <v>46</v>
      </c>
      <c r="B47" s="52">
        <f>'Расчет субсидий'!AD47</f>
        <v>17.981818181818184</v>
      </c>
      <c r="C47" s="54">
        <f>'Расчет субсидий'!D47-1</f>
        <v>0.15384615384615374</v>
      </c>
      <c r="D47" s="54">
        <f>C47*'Расчет субсидий'!E47</f>
        <v>1.5384615384615374</v>
      </c>
      <c r="E47" s="55">
        <f>$B47*D47/$U47</f>
        <v>1.7635584805781908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4">
        <f>'Расчет субсидий'!P47-1</f>
        <v>0.25021276595744668</v>
      </c>
      <c r="M47" s="54">
        <f>L47*'Расчет субсидий'!Q47</f>
        <v>5.0042553191489336</v>
      </c>
      <c r="N47" s="55">
        <f>$B47*M47/$U47</f>
        <v>5.7364429895913585</v>
      </c>
      <c r="O47" s="54">
        <f>'Расчет субсидий'!T47-1</f>
        <v>0.21590909090909083</v>
      </c>
      <c r="P47" s="54">
        <f>O47*'Расчет субсидий'!U47</f>
        <v>6.4772727272727249</v>
      </c>
      <c r="Q47" s="55">
        <f>$B47*P47/$U47</f>
        <v>7.4249820119797709</v>
      </c>
      <c r="R47" s="54">
        <f>'Расчет субсидий'!X47-1</f>
        <v>0.1333333333333333</v>
      </c>
      <c r="S47" s="54">
        <f>R47*'Расчет субсидий'!Y47</f>
        <v>2.6666666666666661</v>
      </c>
      <c r="T47" s="55">
        <f>$B47*S47/$U47</f>
        <v>3.0568346996688653</v>
      </c>
      <c r="U47" s="54">
        <f>D47+M47+P47+S47</f>
        <v>15.686656251549861</v>
      </c>
    </row>
    <row r="48" spans="1:21" ht="15" customHeight="1">
      <c r="A48" s="33" t="s">
        <v>47</v>
      </c>
      <c r="B48" s="52">
        <f>'Расчет субсидий'!AD48</f>
        <v>24.045454545454533</v>
      </c>
      <c r="C48" s="54">
        <f>'Расчет субсидий'!D48-1</f>
        <v>0.17871591908531226</v>
      </c>
      <c r="D48" s="54">
        <f>C48*'Расчет субсидий'!E48</f>
        <v>1.7871591908531226</v>
      </c>
      <c r="E48" s="55">
        <f>$B48*D48/$U48</f>
        <v>3.8362364695225994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4">
        <f>'Расчет субсидий'!P48-1</f>
        <v>0.2130139611278401</v>
      </c>
      <c r="M48" s="54">
        <f>L48*'Расчет субсидий'!Q48</f>
        <v>4.260279222556802</v>
      </c>
      <c r="N48" s="55">
        <f>$B48*M48/$U48</f>
        <v>9.1449259850881255</v>
      </c>
      <c r="O48" s="54">
        <f>'Расчет субсидий'!T48-1</f>
        <v>0.19189189189189193</v>
      </c>
      <c r="P48" s="54">
        <f>O48*'Расчет субсидий'!U48</f>
        <v>4.7972972972972983</v>
      </c>
      <c r="Q48" s="55">
        <f>$B48*P48/$U48</f>
        <v>10.297665110766618</v>
      </c>
      <c r="R48" s="54">
        <f>'Расчет субсидий'!X48-1</f>
        <v>1.4285714285714235E-2</v>
      </c>
      <c r="S48" s="54">
        <f>R48*'Расчет субсидий'!Y48</f>
        <v>0.35714285714285587</v>
      </c>
      <c r="T48" s="55">
        <f>$B48*S48/$U48</f>
        <v>0.76662698007718999</v>
      </c>
      <c r="U48" s="54">
        <f>D48+M48+P48+S48</f>
        <v>11.201878567850079</v>
      </c>
    </row>
    <row r="49" spans="1:21" ht="15" customHeight="1">
      <c r="A49" s="33" t="s">
        <v>48</v>
      </c>
      <c r="B49" s="52">
        <f>'Расчет субсидий'!AD49</f>
        <v>11.645454545454541</v>
      </c>
      <c r="C49" s="54">
        <f>'Расчет субсидий'!D49-1</f>
        <v>3.3333333333351867E-4</v>
      </c>
      <c r="D49" s="54">
        <f>C49*'Расчет субсидий'!E49</f>
        <v>3.3333333333351867E-3</v>
      </c>
      <c r="E49" s="55">
        <f>$B49*D49/$U49</f>
        <v>5.2909834372835132E-3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4">
        <f>'Расчет субсидий'!P49-1</f>
        <v>0.30000000000000004</v>
      </c>
      <c r="M49" s="54">
        <f>L49*'Расчет субсидий'!Q49</f>
        <v>6.0000000000000009</v>
      </c>
      <c r="N49" s="55">
        <f>$B49*M49/$U49</f>
        <v>9.5237701871050309</v>
      </c>
      <c r="O49" s="54">
        <f>'Расчет субсидий'!T49-1</f>
        <v>0</v>
      </c>
      <c r="P49" s="54">
        <f>O49*'Расчет субсидий'!U49</f>
        <v>0</v>
      </c>
      <c r="Q49" s="55">
        <f>$B49*P49/$U49</f>
        <v>0</v>
      </c>
      <c r="R49" s="54">
        <f>'Расчет субсидий'!X49-1</f>
        <v>6.6666666666666652E-2</v>
      </c>
      <c r="S49" s="54">
        <f>R49*'Расчет субсидий'!Y49</f>
        <v>1.333333333333333</v>
      </c>
      <c r="T49" s="55">
        <f>$B49*S49/$U49</f>
        <v>2.1163933749122283</v>
      </c>
      <c r="U49" s="54">
        <f t="shared" ref="U49:U110" si="11">D49+M49+P49+S49</f>
        <v>7.3366666666666687</v>
      </c>
    </row>
    <row r="50" spans="1:21" ht="15" customHeight="1">
      <c r="A50" s="33" t="s">
        <v>49</v>
      </c>
      <c r="B50" s="52">
        <f>'Расчет субсидий'!AD50</f>
        <v>-8.3909090909090907</v>
      </c>
      <c r="C50" s="54">
        <f>'Расчет субсидий'!D50-1</f>
        <v>-1</v>
      </c>
      <c r="D50" s="54">
        <f>C50*'Расчет субсидий'!E50</f>
        <v>0</v>
      </c>
      <c r="E50" s="55">
        <f>$B50*D50/$U50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4">
        <f>'Расчет субсидий'!P50-1</f>
        <v>-0.51506024096385539</v>
      </c>
      <c r="M50" s="54">
        <f>L50*'Расчет субсидий'!Q50</f>
        <v>-10.301204819277107</v>
      </c>
      <c r="N50" s="55">
        <f>$B50*M50/$U50</f>
        <v>-11.079887679887678</v>
      </c>
      <c r="O50" s="54">
        <f>'Расчет субсидий'!T50-1</f>
        <v>4.9999999999999822E-2</v>
      </c>
      <c r="P50" s="54">
        <f>O50*'Расчет субсидий'!U50</f>
        <v>1.2499999999999956</v>
      </c>
      <c r="Q50" s="55">
        <f>$B50*P50/$U50</f>
        <v>1.3444892944892894</v>
      </c>
      <c r="R50" s="54">
        <f>'Расчет субсидий'!X50-1</f>
        <v>5.0000000000000044E-2</v>
      </c>
      <c r="S50" s="54">
        <f>R50*'Расчет субсидий'!Y50</f>
        <v>1.2500000000000011</v>
      </c>
      <c r="T50" s="55">
        <f>$B50*S50/$U50</f>
        <v>1.3444892944892954</v>
      </c>
      <c r="U50" s="54">
        <f t="shared" si="11"/>
        <v>-7.8012048192771095</v>
      </c>
    </row>
    <row r="51" spans="1:21" ht="15" customHeight="1">
      <c r="A51" s="33" t="s">
        <v>50</v>
      </c>
      <c r="B51" s="52">
        <f>'Расчет субсидий'!AD51</f>
        <v>18.090909090909093</v>
      </c>
      <c r="C51" s="54">
        <f>'Расчет субсидий'!D51-1</f>
        <v>3.6363636363636376E-2</v>
      </c>
      <c r="D51" s="54">
        <f>C51*'Расчет субсидий'!E51</f>
        <v>0.36363636363636376</v>
      </c>
      <c r="E51" s="55">
        <f>$B51*D51/$U51</f>
        <v>0.74328425947098287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4">
        <f>'Расчет субсидий'!P51-1</f>
        <v>0.13268156424581012</v>
      </c>
      <c r="M51" s="54">
        <f>L51*'Расчет субсидий'!Q51</f>
        <v>2.6536312849162025</v>
      </c>
      <c r="N51" s="55">
        <f>$B51*M51/$U51</f>
        <v>5.4241065024244222</v>
      </c>
      <c r="O51" s="54">
        <f>'Расчет субсидий'!T51-1</f>
        <v>0.15000000000000013</v>
      </c>
      <c r="P51" s="54">
        <f>O51*'Расчет субсидий'!U51</f>
        <v>4.5000000000000036</v>
      </c>
      <c r="Q51" s="55">
        <f>$B51*P51/$U51</f>
        <v>9.1981427109534177</v>
      </c>
      <c r="R51" s="54">
        <f>'Расчет субсидий'!X51-1</f>
        <v>6.6666666666666652E-2</v>
      </c>
      <c r="S51" s="54">
        <f>R51*'Расчет субсидий'!Y51</f>
        <v>1.333333333333333</v>
      </c>
      <c r="T51" s="55">
        <f>$B51*S51/$U51</f>
        <v>2.7253756180602688</v>
      </c>
      <c r="U51" s="54">
        <f t="shared" si="11"/>
        <v>8.8506009818859042</v>
      </c>
    </row>
    <row r="52" spans="1:21" ht="15" customHeight="1">
      <c r="A52" s="32" t="s">
        <v>51</v>
      </c>
      <c r="B52" s="56"/>
      <c r="C52" s="57"/>
      <c r="D52" s="57"/>
      <c r="E52" s="58"/>
      <c r="F52" s="57"/>
      <c r="G52" s="57"/>
      <c r="H52" s="58"/>
      <c r="I52" s="58"/>
      <c r="J52" s="58"/>
      <c r="K52" s="58"/>
      <c r="L52" s="57"/>
      <c r="M52" s="57"/>
      <c r="N52" s="58"/>
      <c r="O52" s="57"/>
      <c r="P52" s="57"/>
      <c r="Q52" s="58"/>
      <c r="R52" s="57"/>
      <c r="S52" s="57"/>
      <c r="T52" s="58"/>
      <c r="U52" s="58"/>
    </row>
    <row r="53" spans="1:21" ht="15" customHeight="1">
      <c r="A53" s="33" t="s">
        <v>52</v>
      </c>
      <c r="B53" s="52">
        <f>'Расчет субсидий'!AD53</f>
        <v>0.2181818181818187</v>
      </c>
      <c r="C53" s="54">
        <f>'Расчет субсидий'!D53-1</f>
        <v>-0.16619397373165079</v>
      </c>
      <c r="D53" s="54">
        <f>C53*'Расчет субсидий'!E53</f>
        <v>-1.6619397373165079</v>
      </c>
      <c r="E53" s="55">
        <f t="shared" ref="E53:E64" si="12">$B53*D53/$U53</f>
        <v>-7.855115298725121E-2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4">
        <f>'Расчет субсидий'!P53-1</f>
        <v>0.17024848891873745</v>
      </c>
      <c r="M53" s="54">
        <f>L53*'Расчет субсидий'!Q53</f>
        <v>3.404969778374749</v>
      </c>
      <c r="N53" s="55">
        <f t="shared" ref="N53:N64" si="13">$B53*M53/$U53</f>
        <v>0.16093501826362827</v>
      </c>
      <c r="O53" s="54">
        <f>'Расчет субсидий'!T53-1</f>
        <v>0.10000000000000009</v>
      </c>
      <c r="P53" s="54">
        <f>O53*'Расчет субсидий'!U53</f>
        <v>2.5000000000000022</v>
      </c>
      <c r="Q53" s="55">
        <f t="shared" ref="Q53:Q64" si="14">$B53*P53/$U53</f>
        <v>0.11816185512551412</v>
      </c>
      <c r="R53" s="54">
        <f>'Расчет субсидий'!X53-1</f>
        <v>1.4925373134328401E-2</v>
      </c>
      <c r="S53" s="54">
        <f>R53*'Расчет субсидий'!Y53</f>
        <v>0.37313432835821003</v>
      </c>
      <c r="T53" s="55">
        <f t="shared" ref="T53:T64" si="15">$B53*S53/$U53</f>
        <v>1.7636097779927518E-2</v>
      </c>
      <c r="U53" s="54">
        <f t="shared" si="11"/>
        <v>4.6161643694164534</v>
      </c>
    </row>
    <row r="54" spans="1:21" ht="15" customHeight="1">
      <c r="A54" s="33" t="s">
        <v>53</v>
      </c>
      <c r="B54" s="52">
        <f>'Расчет субсидий'!AD54</f>
        <v>-3.0909090909090935</v>
      </c>
      <c r="C54" s="54">
        <f>'Расчет субсидий'!D54-1</f>
        <v>0.22999999999999998</v>
      </c>
      <c r="D54" s="54">
        <f>C54*'Расчет субсидий'!E54</f>
        <v>2.2999999999999998</v>
      </c>
      <c r="E54" s="55">
        <f t="shared" si="12"/>
        <v>1.2544179298490965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4">
        <f>'Расчет субсидий'!P54-1</f>
        <v>-0.42143906020557997</v>
      </c>
      <c r="M54" s="54">
        <f>L54*'Расчет субсидий'!Q54</f>
        <v>-8.4287812041115995</v>
      </c>
      <c r="N54" s="55">
        <f t="shared" si="13"/>
        <v>-4.5970496822663689</v>
      </c>
      <c r="O54" s="54">
        <f>'Расчет субсидий'!T54-1</f>
        <v>0</v>
      </c>
      <c r="P54" s="54">
        <f>O54*'Расчет субсидий'!U54</f>
        <v>0</v>
      </c>
      <c r="Q54" s="55">
        <f t="shared" si="14"/>
        <v>0</v>
      </c>
      <c r="R54" s="54">
        <f>'Расчет субсидий'!X54-1</f>
        <v>1.538461538461533E-2</v>
      </c>
      <c r="S54" s="54">
        <f>R54*'Расчет субсидий'!Y54</f>
        <v>0.4615384615384599</v>
      </c>
      <c r="T54" s="55">
        <f t="shared" si="15"/>
        <v>0.25172266150817901</v>
      </c>
      <c r="U54" s="54">
        <f t="shared" si="11"/>
        <v>-5.6672427425731398</v>
      </c>
    </row>
    <row r="55" spans="1:21" ht="15" customHeight="1">
      <c r="A55" s="33" t="s">
        <v>54</v>
      </c>
      <c r="B55" s="52">
        <f>'Расчет субсидий'!AD55</f>
        <v>4.5363636363636317</v>
      </c>
      <c r="C55" s="54">
        <f>'Расчет субсидий'!D55-1</f>
        <v>-1</v>
      </c>
      <c r="D55" s="54">
        <f>C55*'Расчет субсидий'!E55</f>
        <v>0</v>
      </c>
      <c r="E55" s="55">
        <f t="shared" si="12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4">
        <f>'Расчет субсидий'!P55-1</f>
        <v>0.30000000000000004</v>
      </c>
      <c r="M55" s="54">
        <f>L55*'Расчет субсидий'!Q55</f>
        <v>6.0000000000000009</v>
      </c>
      <c r="N55" s="55">
        <f t="shared" si="13"/>
        <v>4.0537717601547332</v>
      </c>
      <c r="O55" s="54">
        <f>'Расчет субсидий'!T55-1</f>
        <v>0</v>
      </c>
      <c r="P55" s="54">
        <f>O55*'Расчет субсидий'!U55</f>
        <v>0</v>
      </c>
      <c r="Q55" s="55">
        <f t="shared" si="14"/>
        <v>0</v>
      </c>
      <c r="R55" s="54">
        <f>'Расчет субсидий'!X55-1</f>
        <v>3.5714285714285809E-2</v>
      </c>
      <c r="S55" s="54">
        <f>R55*'Расчет субсидий'!Y55</f>
        <v>0.71428571428571619</v>
      </c>
      <c r="T55" s="55">
        <f t="shared" si="15"/>
        <v>0.48259187620889804</v>
      </c>
      <c r="U55" s="54">
        <f t="shared" si="11"/>
        <v>6.7142857142857171</v>
      </c>
    </row>
    <row r="56" spans="1:21" ht="15" customHeight="1">
      <c r="A56" s="33" t="s">
        <v>55</v>
      </c>
      <c r="B56" s="52">
        <f>'Расчет субсидий'!AD56</f>
        <v>-4.1909090909090878</v>
      </c>
      <c r="C56" s="54">
        <f>'Расчет субсидий'!D56-1</f>
        <v>-1</v>
      </c>
      <c r="D56" s="54">
        <f>C56*'Расчет субсидий'!E56</f>
        <v>0</v>
      </c>
      <c r="E56" s="55">
        <f t="shared" si="12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4">
        <f>'Расчет субсидий'!P56-1</f>
        <v>-0.1906825568797399</v>
      </c>
      <c r="M56" s="54">
        <f>L56*'Расчет субсидий'!Q56</f>
        <v>-3.8136511375947979</v>
      </c>
      <c r="N56" s="55">
        <f t="shared" si="13"/>
        <v>-5.1400696864111444</v>
      </c>
      <c r="O56" s="54">
        <f>'Расчет субсидий'!T56-1</f>
        <v>0</v>
      </c>
      <c r="P56" s="54">
        <f>O56*'Расчет субсидий'!U56</f>
        <v>0</v>
      </c>
      <c r="Q56" s="55">
        <f t="shared" si="14"/>
        <v>0</v>
      </c>
      <c r="R56" s="54">
        <f>'Расчет субсидий'!X56-1</f>
        <v>2.8169014084507005E-2</v>
      </c>
      <c r="S56" s="54">
        <f>R56*'Расчет субсидий'!Y56</f>
        <v>0.70422535211267512</v>
      </c>
      <c r="T56" s="55">
        <f t="shared" si="15"/>
        <v>0.94916059550205711</v>
      </c>
      <c r="U56" s="54">
        <f t="shared" si="11"/>
        <v>-3.1094257854821228</v>
      </c>
    </row>
    <row r="57" spans="1:21" ht="15" customHeight="1">
      <c r="A57" s="33" t="s">
        <v>56</v>
      </c>
      <c r="B57" s="52">
        <f>'Расчет субсидий'!AD57</f>
        <v>3.7545454545454504</v>
      </c>
      <c r="C57" s="54">
        <f>'Расчет субсидий'!D57-1</f>
        <v>-1</v>
      </c>
      <c r="D57" s="54">
        <f>C57*'Расчет субсидий'!E57</f>
        <v>0</v>
      </c>
      <c r="E57" s="55">
        <f t="shared" si="12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4">
        <f>'Расчет субсидий'!P57-1</f>
        <v>-1.6611295681063787E-3</v>
      </c>
      <c r="M57" s="54">
        <f>L57*'Расчет субсидий'!Q57</f>
        <v>-3.3222591362127574E-2</v>
      </c>
      <c r="N57" s="55">
        <f t="shared" si="13"/>
        <v>-4.6082743630429406E-2</v>
      </c>
      <c r="O57" s="54">
        <f>'Расчет субсидий'!T57-1</f>
        <v>7.1333333333333249E-2</v>
      </c>
      <c r="P57" s="54">
        <f>O57*'Расчет субсидий'!U57</f>
        <v>2.1399999999999975</v>
      </c>
      <c r="Q57" s="55">
        <f t="shared" si="14"/>
        <v>2.9683738482103572</v>
      </c>
      <c r="R57" s="54">
        <f>'Расчет субсидий'!X57-1</f>
        <v>3.0000000000000027E-2</v>
      </c>
      <c r="S57" s="54">
        <f>R57*'Расчет субсидий'!Y57</f>
        <v>0.60000000000000053</v>
      </c>
      <c r="T57" s="55">
        <f t="shared" si="15"/>
        <v>0.83225434996552261</v>
      </c>
      <c r="U57" s="54">
        <f t="shared" si="11"/>
        <v>2.7067774086378704</v>
      </c>
    </row>
    <row r="58" spans="1:21" ht="15" customHeight="1">
      <c r="A58" s="33" t="s">
        <v>57</v>
      </c>
      <c r="B58" s="52">
        <f>'Расчет субсидий'!AD58</f>
        <v>8.2999999999999972</v>
      </c>
      <c r="C58" s="54">
        <f>'Расчет субсидий'!D58-1</f>
        <v>-1</v>
      </c>
      <c r="D58" s="54">
        <f>C58*'Расчет субсидий'!E58</f>
        <v>0</v>
      </c>
      <c r="E58" s="55">
        <f t="shared" si="12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4">
        <f>'Расчет субсидий'!P58-1</f>
        <v>0.19999999999999996</v>
      </c>
      <c r="M58" s="54">
        <f>L58*'Расчет субсидий'!Q58</f>
        <v>3.9999999999999991</v>
      </c>
      <c r="N58" s="55">
        <f t="shared" si="13"/>
        <v>6.0241935483870988</v>
      </c>
      <c r="O58" s="54">
        <f>'Расчет субсидий'!T58-1</f>
        <v>1.3333333333333197E-2</v>
      </c>
      <c r="P58" s="54">
        <f>O58*'Расчет субсидий'!U58</f>
        <v>0.39999999999999591</v>
      </c>
      <c r="Q58" s="55">
        <f t="shared" si="14"/>
        <v>0.60241935483870379</v>
      </c>
      <c r="R58" s="54">
        <f>'Расчет субсидий'!X58-1</f>
        <v>5.555555555555558E-2</v>
      </c>
      <c r="S58" s="54">
        <f>R58*'Расчет субсидий'!Y58</f>
        <v>1.1111111111111116</v>
      </c>
      <c r="T58" s="55">
        <f t="shared" si="15"/>
        <v>1.6733870967741951</v>
      </c>
      <c r="U58" s="54">
        <f t="shared" si="11"/>
        <v>5.5111111111111066</v>
      </c>
    </row>
    <row r="59" spans="1:21" ht="15" customHeight="1">
      <c r="A59" s="33" t="s">
        <v>58</v>
      </c>
      <c r="B59" s="52">
        <f>'Расчет субсидий'!AD59</f>
        <v>-14.954545454545453</v>
      </c>
      <c r="C59" s="54">
        <f>'Расчет субсидий'!D59-1</f>
        <v>-1</v>
      </c>
      <c r="D59" s="54">
        <f>C59*'Расчет субсидий'!E59</f>
        <v>0</v>
      </c>
      <c r="E59" s="55">
        <f t="shared" si="12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4">
        <f>'Расчет субсидий'!P59-1</f>
        <v>-0.56317991631799158</v>
      </c>
      <c r="M59" s="54">
        <f>L59*'Расчет субсидий'!Q59</f>
        <v>-11.263598326359832</v>
      </c>
      <c r="N59" s="55">
        <f t="shared" si="13"/>
        <v>-17.173864051112584</v>
      </c>
      <c r="O59" s="54">
        <f>'Расчет субсидий'!T59-1</f>
        <v>3.0000000000000027E-2</v>
      </c>
      <c r="P59" s="54">
        <f>O59*'Расчет субсидий'!U59</f>
        <v>0.9000000000000008</v>
      </c>
      <c r="Q59" s="55">
        <f t="shared" si="14"/>
        <v>1.3722504299384548</v>
      </c>
      <c r="R59" s="54">
        <f>'Расчет субсидий'!X59-1</f>
        <v>2.7777777777777901E-2</v>
      </c>
      <c r="S59" s="54">
        <f>R59*'Расчет субсидий'!Y59</f>
        <v>0.55555555555555802</v>
      </c>
      <c r="T59" s="55">
        <f t="shared" si="15"/>
        <v>0.84706816662867879</v>
      </c>
      <c r="U59" s="54">
        <f t="shared" si="11"/>
        <v>-9.8080427708042741</v>
      </c>
    </row>
    <row r="60" spans="1:21" ht="15" customHeight="1">
      <c r="A60" s="33" t="s">
        <v>59</v>
      </c>
      <c r="B60" s="52">
        <f>'Расчет субсидий'!AD60</f>
        <v>0.51818181818181763</v>
      </c>
      <c r="C60" s="54">
        <f>'Расчет субсидий'!D60-1</f>
        <v>0.11616470588235295</v>
      </c>
      <c r="D60" s="54">
        <f>C60*'Расчет субсидий'!E60</f>
        <v>1.1616470588235295</v>
      </c>
      <c r="E60" s="55">
        <f t="shared" si="12"/>
        <v>0.19155634596165394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4">
        <f>'Расчет субсидий'!P60-1</f>
        <v>-2.7629613825474686E-2</v>
      </c>
      <c r="M60" s="54">
        <f>L60*'Расчет субсидий'!Q60</f>
        <v>-0.55259227650949372</v>
      </c>
      <c r="N60" s="55">
        <f t="shared" si="13"/>
        <v>-9.1122821248300512E-2</v>
      </c>
      <c r="O60" s="54">
        <f>'Расчет субсидий'!T60-1</f>
        <v>4.0000000000000036E-2</v>
      </c>
      <c r="P60" s="54">
        <f>O60*'Расчет субсидий'!U60</f>
        <v>1.2000000000000011</v>
      </c>
      <c r="Q60" s="55">
        <f t="shared" si="14"/>
        <v>0.19788077059032527</v>
      </c>
      <c r="R60" s="54">
        <f>'Расчет субсидий'!X60-1</f>
        <v>6.6666666666666652E-2</v>
      </c>
      <c r="S60" s="54">
        <f>R60*'Расчет субсидий'!Y60</f>
        <v>1.333333333333333</v>
      </c>
      <c r="T60" s="55">
        <f t="shared" si="15"/>
        <v>0.21986752287813896</v>
      </c>
      <c r="U60" s="54">
        <f t="shared" si="11"/>
        <v>3.1423881156473699</v>
      </c>
    </row>
    <row r="61" spans="1:21" ht="15" customHeight="1">
      <c r="A61" s="33" t="s">
        <v>60</v>
      </c>
      <c r="B61" s="52">
        <f>'Расчет субсидий'!AD61</f>
        <v>-12.072727272727271</v>
      </c>
      <c r="C61" s="54">
        <f>'Расчет субсидий'!D61-1</f>
        <v>-1</v>
      </c>
      <c r="D61" s="54">
        <f>C61*'Расчет субсидий'!E61</f>
        <v>0</v>
      </c>
      <c r="E61" s="55">
        <f t="shared" si="12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4">
        <f>'Расчет субсидий'!P61-1</f>
        <v>-0.48266666666666669</v>
      </c>
      <c r="M61" s="54">
        <f>L61*'Расчет субсидий'!Q61</f>
        <v>-9.6533333333333342</v>
      </c>
      <c r="N61" s="55">
        <f t="shared" si="13"/>
        <v>-8.0603601488883676</v>
      </c>
      <c r="O61" s="54">
        <f>'Расчет субсидий'!T61-1</f>
        <v>-0.18240000000000001</v>
      </c>
      <c r="P61" s="54">
        <f>O61*'Расчет субсидий'!U61</f>
        <v>-5.4720000000000004</v>
      </c>
      <c r="Q61" s="55">
        <f t="shared" si="14"/>
        <v>-4.5690218302538481</v>
      </c>
      <c r="R61" s="54">
        <f>'Расчет субсидий'!X61-1</f>
        <v>3.3333333333333437E-2</v>
      </c>
      <c r="S61" s="54">
        <f>R61*'Расчет субсидий'!Y61</f>
        <v>0.66666666666666874</v>
      </c>
      <c r="T61" s="55">
        <f t="shared" si="15"/>
        <v>0.55665470641494419</v>
      </c>
      <c r="U61" s="54">
        <f t="shared" si="11"/>
        <v>-14.458666666666666</v>
      </c>
    </row>
    <row r="62" spans="1:21" ht="15" customHeight="1">
      <c r="A62" s="33" t="s">
        <v>61</v>
      </c>
      <c r="B62" s="52">
        <f>'Расчет субсидий'!AD62</f>
        <v>-8.0636363636363697</v>
      </c>
      <c r="C62" s="54">
        <f>'Расчет субсидий'!D62-1</f>
        <v>0</v>
      </c>
      <c r="D62" s="54">
        <f>C62*'Расчет субсидий'!E62</f>
        <v>0</v>
      </c>
      <c r="E62" s="55">
        <f t="shared" si="12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4">
        <f>'Расчет субсидий'!P62-1</f>
        <v>-0.82822523164647188</v>
      </c>
      <c r="M62" s="54">
        <f>L62*'Расчет субсидий'!Q62</f>
        <v>-16.564504632929438</v>
      </c>
      <c r="N62" s="55">
        <f t="shared" si="13"/>
        <v>-8.80807814939552</v>
      </c>
      <c r="O62" s="54">
        <f>'Расчет субсидий'!T62-1</f>
        <v>3.0000000000000027E-2</v>
      </c>
      <c r="P62" s="54">
        <f>O62*'Расчет субсидий'!U62</f>
        <v>0.9000000000000008</v>
      </c>
      <c r="Q62" s="55">
        <f t="shared" si="14"/>
        <v>0.47856971941659782</v>
      </c>
      <c r="R62" s="54">
        <f>'Расчет субсидий'!X62-1</f>
        <v>2.4999999999999911E-2</v>
      </c>
      <c r="S62" s="54">
        <f>R62*'Расчет субсидий'!Y62</f>
        <v>0.49999999999999822</v>
      </c>
      <c r="T62" s="55">
        <f t="shared" si="15"/>
        <v>0.26587206634255317</v>
      </c>
      <c r="U62" s="54">
        <f t="shared" si="11"/>
        <v>-15.16450463292944</v>
      </c>
    </row>
    <row r="63" spans="1:21" ht="15" customHeight="1">
      <c r="A63" s="33" t="s">
        <v>62</v>
      </c>
      <c r="B63" s="52">
        <f>'Расчет субсидий'!AD63</f>
        <v>-8.0545454545454547</v>
      </c>
      <c r="C63" s="54">
        <f>'Расчет субсидий'!D63-1</f>
        <v>-1</v>
      </c>
      <c r="D63" s="54">
        <f>C63*'Расчет субсидий'!E63</f>
        <v>0</v>
      </c>
      <c r="E63" s="55">
        <f t="shared" si="12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4">
        <f>'Расчет субсидий'!P63-1</f>
        <v>-0.45142180094786732</v>
      </c>
      <c r="M63" s="54">
        <f>L63*'Расчет субсидий'!Q63</f>
        <v>-9.0284360189573469</v>
      </c>
      <c r="N63" s="55">
        <f t="shared" si="13"/>
        <v>-9.0577975743265</v>
      </c>
      <c r="O63" s="54">
        <f>'Расчет субсидий'!T63-1</f>
        <v>0</v>
      </c>
      <c r="P63" s="54">
        <f>O63*'Расчет субсидий'!U63</f>
        <v>0</v>
      </c>
      <c r="Q63" s="55">
        <f t="shared" si="14"/>
        <v>0</v>
      </c>
      <c r="R63" s="54">
        <f>'Расчет субсидий'!X63-1</f>
        <v>6.6666666666666652E-2</v>
      </c>
      <c r="S63" s="54">
        <f>R63*'Расчет субсидий'!Y63</f>
        <v>0.99999999999999978</v>
      </c>
      <c r="T63" s="55">
        <f t="shared" si="15"/>
        <v>1.0032521197810451</v>
      </c>
      <c r="U63" s="54">
        <f t="shared" si="11"/>
        <v>-8.0284360189573469</v>
      </c>
    </row>
    <row r="64" spans="1:21" ht="15" customHeight="1">
      <c r="A64" s="33" t="s">
        <v>63</v>
      </c>
      <c r="B64" s="52">
        <f>'Расчет субсидий'!AD64</f>
        <v>-21.6</v>
      </c>
      <c r="C64" s="54">
        <f>'Расчет субсидий'!D64-1</f>
        <v>-1</v>
      </c>
      <c r="D64" s="54">
        <f>C64*'Расчет субсидий'!E64</f>
        <v>-10</v>
      </c>
      <c r="E64" s="55">
        <f t="shared" si="12"/>
        <v>-9.6116967738517776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4">
        <f>'Расчет субсидий'!P64-1</f>
        <v>-0.70349206349206339</v>
      </c>
      <c r="M64" s="54">
        <f>L64*'Расчет субсидий'!Q64</f>
        <v>-14.069841269841268</v>
      </c>
      <c r="N64" s="55">
        <f t="shared" si="13"/>
        <v>-13.523504794193991</v>
      </c>
      <c r="O64" s="54">
        <f>'Расчет субсидий'!T64-1</f>
        <v>4.1666666666666741E-2</v>
      </c>
      <c r="P64" s="54">
        <f>O64*'Расчет субсидий'!U64</f>
        <v>1.0416666666666685</v>
      </c>
      <c r="Q64" s="55">
        <f t="shared" si="14"/>
        <v>1.0012184139428952</v>
      </c>
      <c r="R64" s="54">
        <f>'Расчет субсидий'!X64-1</f>
        <v>2.2222222222222143E-2</v>
      </c>
      <c r="S64" s="54">
        <f>R64*'Расчет субсидий'!Y64</f>
        <v>0.55555555555555358</v>
      </c>
      <c r="T64" s="55">
        <f t="shared" si="15"/>
        <v>0.53398315410287456</v>
      </c>
      <c r="U64" s="54">
        <f t="shared" si="11"/>
        <v>-22.472619047619048</v>
      </c>
    </row>
    <row r="65" spans="1:21" ht="15" customHeight="1">
      <c r="A65" s="32" t="s">
        <v>64</v>
      </c>
      <c r="B65" s="56"/>
      <c r="C65" s="57"/>
      <c r="D65" s="57"/>
      <c r="E65" s="58"/>
      <c r="F65" s="57"/>
      <c r="G65" s="57"/>
      <c r="H65" s="58"/>
      <c r="I65" s="58"/>
      <c r="J65" s="58"/>
      <c r="K65" s="58"/>
      <c r="L65" s="57"/>
      <c r="M65" s="57"/>
      <c r="N65" s="58"/>
      <c r="O65" s="57"/>
      <c r="P65" s="57"/>
      <c r="Q65" s="58"/>
      <c r="R65" s="57"/>
      <c r="S65" s="57"/>
      <c r="T65" s="58"/>
      <c r="U65" s="58"/>
    </row>
    <row r="66" spans="1:21" ht="15" customHeight="1">
      <c r="A66" s="33" t="s">
        <v>65</v>
      </c>
      <c r="B66" s="52">
        <f>'Расчет субсидий'!AD66</f>
        <v>16.754545454545479</v>
      </c>
      <c r="C66" s="54">
        <f>'Расчет субсидий'!D66-1</f>
        <v>0</v>
      </c>
      <c r="D66" s="54">
        <f>C66*'Расчет субсидий'!E66</f>
        <v>0</v>
      </c>
      <c r="E66" s="55">
        <f>$B66*D66/$U66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4">
        <f>'Расчет субсидий'!P66-1</f>
        <v>0.30000000000000004</v>
      </c>
      <c r="M66" s="54">
        <f>L66*'Расчет субсидий'!Q66</f>
        <v>6.0000000000000009</v>
      </c>
      <c r="N66" s="55">
        <f>$B66*M66/$U66</f>
        <v>15.004146649577233</v>
      </c>
      <c r="O66" s="54">
        <f>'Расчет субсидий'!T66-1</f>
        <v>2.3332200702231409E-2</v>
      </c>
      <c r="P66" s="54">
        <f>O66*'Расчет субсидий'!U66</f>
        <v>0.69996602106694228</v>
      </c>
      <c r="Q66" s="55">
        <f>$B66*P66/$U66</f>
        <v>1.7503988049682444</v>
      </c>
      <c r="R66" s="54">
        <f>'Расчет субсидий'!X66-1</f>
        <v>0</v>
      </c>
      <c r="S66" s="54">
        <f>R66*'Расчет субсидий'!Y66</f>
        <v>0</v>
      </c>
      <c r="T66" s="55">
        <f>$B66*S66/$U66</f>
        <v>0</v>
      </c>
      <c r="U66" s="54">
        <f t="shared" si="11"/>
        <v>6.6999660210669436</v>
      </c>
    </row>
    <row r="67" spans="1:21" ht="15" customHeight="1">
      <c r="A67" s="33" t="s">
        <v>66</v>
      </c>
      <c r="B67" s="52">
        <f>'Расчет субсидий'!AD67</f>
        <v>-70.990909090909099</v>
      </c>
      <c r="C67" s="54">
        <f>'Расчет субсидий'!D67-1</f>
        <v>-0.33222654960723474</v>
      </c>
      <c r="D67" s="54">
        <f>C67*'Расчет субсидий'!E67</f>
        <v>-3.3222654960723474</v>
      </c>
      <c r="E67" s="55">
        <f>$B67*D67/$U67</f>
        <v>-9.6791061925646051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4">
        <f>'Расчет субсидий'!P67-1</f>
        <v>4.4696899152620873E-3</v>
      </c>
      <c r="M67" s="54">
        <f>L67*'Расчет субсидий'!Q67</f>
        <v>8.9393798305241745E-2</v>
      </c>
      <c r="N67" s="55">
        <f>$B67*M67/$U67</f>
        <v>0.26044037352705735</v>
      </c>
      <c r="O67" s="54">
        <f>'Расчет субсидий'!T67-1</f>
        <v>8.3333333333333481E-2</v>
      </c>
      <c r="P67" s="54">
        <f>O67*'Расчет субсидий'!U67</f>
        <v>0.41666666666666741</v>
      </c>
      <c r="Q67" s="55">
        <f>$B67*P67/$U67</f>
        <v>1.2139189111575954</v>
      </c>
      <c r="R67" s="54">
        <f>'Расчет субсидий'!X67-1</f>
        <v>-0.47890624999999998</v>
      </c>
      <c r="S67" s="54">
        <f>R67*'Расчет субсидий'!Y67</f>
        <v>-21.55078125</v>
      </c>
      <c r="T67" s="55">
        <f>$B67*S67/$U67</f>
        <v>-62.786162183029148</v>
      </c>
      <c r="U67" s="54">
        <f t="shared" si="11"/>
        <v>-24.366986281100438</v>
      </c>
    </row>
    <row r="68" spans="1:21" ht="15" customHeight="1">
      <c r="A68" s="33" t="s">
        <v>67</v>
      </c>
      <c r="B68" s="52">
        <f>'Расчет субсидий'!AD68</f>
        <v>13.799999999999997</v>
      </c>
      <c r="C68" s="54">
        <f>'Расчет субсидий'!D68-1</f>
        <v>0.30000000000000004</v>
      </c>
      <c r="D68" s="54">
        <f>C68*'Расчет субсидий'!E68</f>
        <v>3.0000000000000004</v>
      </c>
      <c r="E68" s="55">
        <f>$B68*D68/$U68</f>
        <v>3.4420439373710385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4">
        <f>'Расчет субсидий'!P68-1</f>
        <v>0.30000000000000004</v>
      </c>
      <c r="M68" s="54">
        <f>L68*'Расчет субсидий'!Q68</f>
        <v>6.0000000000000009</v>
      </c>
      <c r="N68" s="55">
        <f>$B68*M68/$U68</f>
        <v>6.8840878747420771</v>
      </c>
      <c r="O68" s="54">
        <f>'Расчет субсидий'!T68-1</f>
        <v>2.0000000000000018E-2</v>
      </c>
      <c r="P68" s="54">
        <f>O68*'Расчет субсидий'!U68</f>
        <v>0.40000000000000036</v>
      </c>
      <c r="Q68" s="55">
        <f>$B68*P68/$U68</f>
        <v>0.45893919164947217</v>
      </c>
      <c r="R68" s="54">
        <f>'Расчет субсидий'!X68-1</f>
        <v>8.7591240875912524E-2</v>
      </c>
      <c r="S68" s="54">
        <f>R68*'Расчет субсидий'!Y68</f>
        <v>2.6277372262773757</v>
      </c>
      <c r="T68" s="55">
        <f>$B68*S68/$U68</f>
        <v>3.0149289962374093</v>
      </c>
      <c r="U68" s="54">
        <f t="shared" si="11"/>
        <v>12.027737226277377</v>
      </c>
    </row>
    <row r="69" spans="1:21" ht="15" customHeight="1">
      <c r="A69" s="33" t="s">
        <v>68</v>
      </c>
      <c r="B69" s="52">
        <f>'Расчет субсидий'!AD69</f>
        <v>13.036363636363632</v>
      </c>
      <c r="C69" s="54">
        <f>'Расчет субсидий'!D69-1</f>
        <v>-0.1042896368030779</v>
      </c>
      <c r="D69" s="54">
        <f>C69*'Расчет субсидий'!E69</f>
        <v>-1.042896368030779</v>
      </c>
      <c r="E69" s="55">
        <f>$B69*D69/$U69</f>
        <v>-1.8975557739077933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4">
        <f>'Расчет субсидий'!P69-1</f>
        <v>-0.33093179634966385</v>
      </c>
      <c r="M69" s="54">
        <f>L69*'Расчет субсидий'!Q69</f>
        <v>-6.6186359269932771</v>
      </c>
      <c r="N69" s="55">
        <f>$B69*M69/$U69</f>
        <v>-12.042645083110495</v>
      </c>
      <c r="O69" s="54">
        <f>'Расчет субсидий'!T69-1</f>
        <v>0.28263157894736834</v>
      </c>
      <c r="P69" s="54">
        <f>O69*'Расчет субсидий'!U69</f>
        <v>2.8263157894736834</v>
      </c>
      <c r="Q69" s="55">
        <f>$B69*P69/$U69</f>
        <v>5.1424973847873927</v>
      </c>
      <c r="R69" s="54">
        <f>'Расчет субсидий'!X69-1</f>
        <v>0.30000000000000004</v>
      </c>
      <c r="S69" s="54">
        <f>R69*'Расчет субсидий'!Y69</f>
        <v>12.000000000000002</v>
      </c>
      <c r="T69" s="55">
        <f>$B69*S69/$U69</f>
        <v>21.834067108594525</v>
      </c>
      <c r="U69" s="54">
        <f t="shared" si="11"/>
        <v>7.1647834944496296</v>
      </c>
    </row>
    <row r="70" spans="1:21" ht="15" customHeight="1">
      <c r="A70" s="33" t="s">
        <v>69</v>
      </c>
      <c r="B70" s="52">
        <f>'Расчет субсидий'!AD70</f>
        <v>10.118181818181824</v>
      </c>
      <c r="C70" s="54">
        <f>'Расчет субсидий'!D70-1</f>
        <v>-1</v>
      </c>
      <c r="D70" s="54">
        <f>C70*'Расчет субсидий'!E70</f>
        <v>0</v>
      </c>
      <c r="E70" s="55">
        <f>$B70*D70/$U70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4">
        <f>'Расчет субсидий'!P70-1</f>
        <v>0.22079229122055666</v>
      </c>
      <c r="M70" s="54">
        <f>L70*'Расчет субсидий'!Q70</f>
        <v>4.4158458244111332</v>
      </c>
      <c r="N70" s="55">
        <f>$B70*M70/$U70</f>
        <v>9.4524119238058315</v>
      </c>
      <c r="O70" s="54">
        <f>'Расчет субсидий'!T70-1</f>
        <v>6.8807339449541427E-3</v>
      </c>
      <c r="P70" s="54">
        <f>O70*'Расчет субсидий'!U70</f>
        <v>0.13761467889908285</v>
      </c>
      <c r="Q70" s="55">
        <f>$B70*P70/$U70</f>
        <v>0.29457338037608366</v>
      </c>
      <c r="R70" s="54">
        <f>'Расчет субсидий'!X70-1</f>
        <v>5.7803468208090791E-3</v>
      </c>
      <c r="S70" s="54">
        <f>R70*'Расчет субсидий'!Y70</f>
        <v>0.17341040462427237</v>
      </c>
      <c r="T70" s="55">
        <f>$B70*S70/$U70</f>
        <v>0.37119651399990883</v>
      </c>
      <c r="U70" s="54">
        <f t="shared" si="11"/>
        <v>4.7268709079344884</v>
      </c>
    </row>
    <row r="71" spans="1:21" ht="15" customHeight="1">
      <c r="A71" s="32" t="s">
        <v>70</v>
      </c>
      <c r="B71" s="56"/>
      <c r="C71" s="57"/>
      <c r="D71" s="57"/>
      <c r="E71" s="58"/>
      <c r="F71" s="57"/>
      <c r="G71" s="57"/>
      <c r="H71" s="58"/>
      <c r="I71" s="58"/>
      <c r="J71" s="58"/>
      <c r="K71" s="58"/>
      <c r="L71" s="57"/>
      <c r="M71" s="57"/>
      <c r="N71" s="58"/>
      <c r="O71" s="57"/>
      <c r="P71" s="57"/>
      <c r="Q71" s="58"/>
      <c r="R71" s="57"/>
      <c r="S71" s="57"/>
      <c r="T71" s="58"/>
      <c r="U71" s="58"/>
    </row>
    <row r="72" spans="1:21" ht="15" customHeight="1">
      <c r="A72" s="33" t="s">
        <v>71</v>
      </c>
      <c r="B72" s="52">
        <f>'Расчет субсидий'!AD72</f>
        <v>2.663636363636364</v>
      </c>
      <c r="C72" s="54">
        <f>'Расчет субсидий'!D72-1</f>
        <v>-7.5602094240837747E-2</v>
      </c>
      <c r="D72" s="54">
        <f>C72*'Расчет субсидий'!E72</f>
        <v>-0.75602094240837747</v>
      </c>
      <c r="E72" s="55">
        <f t="shared" ref="E72:E79" si="16">$B72*D72/$U72</f>
        <v>-0.38006144338046388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4">
        <f>'Расчет субсидий'!P72-1</f>
        <v>0.30000000000000004</v>
      </c>
      <c r="M72" s="54">
        <f>L72*'Расчет субсидий'!Q72</f>
        <v>6.0000000000000009</v>
      </c>
      <c r="N72" s="55">
        <f t="shared" ref="N72:N79" si="17">$B72*M72/$U72</f>
        <v>3.0162771060527103</v>
      </c>
      <c r="O72" s="54">
        <f>'Расчет субсидий'!T72-1</f>
        <v>1.8181818181819409E-3</v>
      </c>
      <c r="P72" s="54">
        <f>O72*'Расчет субсидий'!U72</f>
        <v>5.4545454545458227E-2</v>
      </c>
      <c r="Q72" s="55">
        <f t="shared" ref="Q72:Q79" si="18">$B72*P72/$U72</f>
        <v>2.74207009641174E-2</v>
      </c>
      <c r="R72" s="54">
        <f>'Расчет субсидий'!X72-1</f>
        <v>0</v>
      </c>
      <c r="S72" s="54">
        <f>R72*'Расчет субсидий'!Y72</f>
        <v>0</v>
      </c>
      <c r="T72" s="55">
        <f t="shared" ref="T72:T79" si="19">$B72*S72/$U72</f>
        <v>0</v>
      </c>
      <c r="U72" s="54">
        <f t="shared" si="11"/>
        <v>5.2985245121370816</v>
      </c>
    </row>
    <row r="73" spans="1:21" ht="15" customHeight="1">
      <c r="A73" s="33" t="s">
        <v>72</v>
      </c>
      <c r="B73" s="52">
        <f>'Расчет субсидий'!AD73</f>
        <v>1.318181818181813</v>
      </c>
      <c r="C73" s="54">
        <f>'Расчет субсидий'!D73-1</f>
        <v>-0.17994423904479062</v>
      </c>
      <c r="D73" s="54">
        <f>C73*'Расчет субсидий'!E73</f>
        <v>-1.7994423904479062</v>
      </c>
      <c r="E73" s="55">
        <f t="shared" si="16"/>
        <v>-1.8690649011356821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4">
        <f>'Расчет субсидий'!P73-1</f>
        <v>3.3177655122217597E-2</v>
      </c>
      <c r="M73" s="54">
        <f>L73*'Расчет субсидий'!Q73</f>
        <v>0.66355310244435195</v>
      </c>
      <c r="N73" s="55">
        <f t="shared" si="17"/>
        <v>0.68922674068477341</v>
      </c>
      <c r="O73" s="54">
        <f>'Расчет субсидий'!T73-1</f>
        <v>2.8571428571428914E-3</v>
      </c>
      <c r="P73" s="54">
        <f>O73*'Расчет субсидий'!U73</f>
        <v>5.7142857142857828E-2</v>
      </c>
      <c r="Q73" s="55">
        <f t="shared" si="18"/>
        <v>5.9353780484042641E-2</v>
      </c>
      <c r="R73" s="54">
        <f>'Расчет субсидий'!X73-1</f>
        <v>7.8260869565217384E-2</v>
      </c>
      <c r="S73" s="54">
        <f>R73*'Расчет субсидий'!Y73</f>
        <v>2.3478260869565215</v>
      </c>
      <c r="T73" s="55">
        <f t="shared" si="19"/>
        <v>2.4386661981486792</v>
      </c>
      <c r="U73" s="54">
        <f t="shared" si="11"/>
        <v>1.2690796560958251</v>
      </c>
    </row>
    <row r="74" spans="1:21" ht="15" customHeight="1">
      <c r="A74" s="33" t="s">
        <v>73</v>
      </c>
      <c r="B74" s="52">
        <f>'Расчет субсидий'!AD74</f>
        <v>4.3454545454545475</v>
      </c>
      <c r="C74" s="54">
        <f>'Расчет субсидий'!D74-1</f>
        <v>2.4409448818897506E-2</v>
      </c>
      <c r="D74" s="54">
        <f>C74*'Расчет субсидий'!E74</f>
        <v>0.24409448818897506</v>
      </c>
      <c r="E74" s="55">
        <f t="shared" si="16"/>
        <v>8.311436478420782E-2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4">
        <f>'Расчет субсидий'!P74-1</f>
        <v>0.30000000000000004</v>
      </c>
      <c r="M74" s="54">
        <f>L74*'Расчет субсидий'!Q74</f>
        <v>6.0000000000000009</v>
      </c>
      <c r="N74" s="55">
        <f t="shared" si="17"/>
        <v>2.0430047085666678</v>
      </c>
      <c r="O74" s="54">
        <f>'Расчет субсидий'!T74-1</f>
        <v>6.0714285714285721E-2</v>
      </c>
      <c r="P74" s="54">
        <f>O74*'Расчет субсидий'!U74</f>
        <v>1.517857142857143</v>
      </c>
      <c r="Q74" s="55">
        <f t="shared" si="18"/>
        <v>0.5168315482981154</v>
      </c>
      <c r="R74" s="54">
        <f>'Расчет субсидий'!X74-1</f>
        <v>0.19999999999999996</v>
      </c>
      <c r="S74" s="54">
        <f>R74*'Расчет субсидий'!Y74</f>
        <v>4.9999999999999991</v>
      </c>
      <c r="T74" s="55">
        <f t="shared" si="19"/>
        <v>1.7025039238055562</v>
      </c>
      <c r="U74" s="54">
        <f t="shared" si="11"/>
        <v>12.761951631046118</v>
      </c>
    </row>
    <row r="75" spans="1:21" ht="15" customHeight="1">
      <c r="A75" s="33" t="s">
        <v>74</v>
      </c>
      <c r="B75" s="52">
        <f>'Расчет субсидий'!AD75</f>
        <v>-7.6181818181818102</v>
      </c>
      <c r="C75" s="54">
        <f>'Расчет субсидий'!D75-1</f>
        <v>-2.0000000000000018E-2</v>
      </c>
      <c r="D75" s="54">
        <f>C75*'Расчет субсидий'!E75</f>
        <v>-0.20000000000000018</v>
      </c>
      <c r="E75" s="55">
        <f t="shared" si="16"/>
        <v>-0.17946250421777557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4">
        <f>'Расчет субсидий'!P75-1</f>
        <v>-0.62394436164927969</v>
      </c>
      <c r="M75" s="54">
        <f>L75*'Расчет субсидий'!Q75</f>
        <v>-12.478887232985594</v>
      </c>
      <c r="N75" s="55">
        <f t="shared" si="17"/>
        <v>-11.197461763414104</v>
      </c>
      <c r="O75" s="54">
        <f>'Расчет субсидий'!T75-1</f>
        <v>1.8518518518517713E-3</v>
      </c>
      <c r="P75" s="54">
        <f>O75*'Расчет субсидий'!U75</f>
        <v>5.5555555555553138E-2</v>
      </c>
      <c r="Q75" s="55">
        <f t="shared" si="18"/>
        <v>4.9850695616046554E-2</v>
      </c>
      <c r="R75" s="54">
        <f>'Расчет субсидий'!X75-1</f>
        <v>0.20666666666666655</v>
      </c>
      <c r="S75" s="54">
        <f>R75*'Расчет субсидий'!Y75</f>
        <v>4.1333333333333311</v>
      </c>
      <c r="T75" s="55">
        <f t="shared" si="19"/>
        <v>3.7088917538340231</v>
      </c>
      <c r="U75" s="54">
        <f t="shared" si="11"/>
        <v>-8.4899983440967102</v>
      </c>
    </row>
    <row r="76" spans="1:21" ht="15" customHeight="1">
      <c r="A76" s="33" t="s">
        <v>75</v>
      </c>
      <c r="B76" s="52">
        <f>'Расчет субсидий'!AD76</f>
        <v>-1.672727272727272</v>
      </c>
      <c r="C76" s="54">
        <f>'Расчет субсидий'!D76-1</f>
        <v>2.117647058823513E-2</v>
      </c>
      <c r="D76" s="54">
        <f>C76*'Расчет субсидий'!E76</f>
        <v>0.2117647058823513</v>
      </c>
      <c r="E76" s="55">
        <f t="shared" si="16"/>
        <v>0.11680433755283227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4">
        <f>'Расчет субсидий'!P76-1</f>
        <v>-0.37104337631887452</v>
      </c>
      <c r="M76" s="54">
        <f>L76*'Расчет субсидий'!Q76</f>
        <v>-7.4208675263774904</v>
      </c>
      <c r="N76" s="55">
        <f t="shared" si="17"/>
        <v>-4.0931727120165355</v>
      </c>
      <c r="O76" s="54">
        <f>'Расчет субсидий'!T76-1</f>
        <v>5.8823529411764497E-3</v>
      </c>
      <c r="P76" s="54">
        <f>O76*'Расчет субсидий'!U76</f>
        <v>0.17647058823529349</v>
      </c>
      <c r="Q76" s="55">
        <f t="shared" si="18"/>
        <v>9.7336947960693976E-2</v>
      </c>
      <c r="R76" s="54">
        <f>'Расчет субсидий'!X76-1</f>
        <v>0.19999999999999996</v>
      </c>
      <c r="S76" s="54">
        <f>R76*'Расчет субсидий'!Y76</f>
        <v>3.9999999999999991</v>
      </c>
      <c r="T76" s="55">
        <f t="shared" si="19"/>
        <v>2.2063041537757373</v>
      </c>
      <c r="U76" s="54">
        <f t="shared" si="11"/>
        <v>-3.0326322322598465</v>
      </c>
    </row>
    <row r="77" spans="1:21" ht="15" customHeight="1">
      <c r="A77" s="33" t="s">
        <v>76</v>
      </c>
      <c r="B77" s="52">
        <f>'Расчет субсидий'!AD77</f>
        <v>12.409090909090907</v>
      </c>
      <c r="C77" s="54">
        <f>'Расчет субсидий'!D77-1</f>
        <v>6.8965517241379226E-2</v>
      </c>
      <c r="D77" s="54">
        <f>C77*'Расчет субсидий'!E77</f>
        <v>0.68965517241379226</v>
      </c>
      <c r="E77" s="55">
        <f t="shared" si="16"/>
        <v>0.81013565766100404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4">
        <f>'Расчет субсидий'!P77-1</f>
        <v>0.29249999999999998</v>
      </c>
      <c r="M77" s="54">
        <f>L77*'Расчет субсидий'!Q77</f>
        <v>5.85</v>
      </c>
      <c r="N77" s="55">
        <f t="shared" si="17"/>
        <v>6.8719757161094748</v>
      </c>
      <c r="O77" s="54">
        <f>'Расчет субсидий'!T77-1</f>
        <v>7.9999999999991189E-4</v>
      </c>
      <c r="P77" s="54">
        <f>O77*'Расчет субсидий'!U77</f>
        <v>2.3999999999997357E-2</v>
      </c>
      <c r="Q77" s="55">
        <f t="shared" si="18"/>
        <v>2.8192720886599867E-2</v>
      </c>
      <c r="R77" s="54">
        <f>'Расчет субсидий'!X77-1</f>
        <v>0.19999999999999996</v>
      </c>
      <c r="S77" s="54">
        <f>R77*'Расчет субсидий'!Y77</f>
        <v>3.9999999999999991</v>
      </c>
      <c r="T77" s="55">
        <f t="shared" si="19"/>
        <v>4.6987868144338272</v>
      </c>
      <c r="U77" s="54">
        <f t="shared" si="11"/>
        <v>10.563655172413789</v>
      </c>
    </row>
    <row r="78" spans="1:21" ht="15" customHeight="1">
      <c r="A78" s="33" t="s">
        <v>77</v>
      </c>
      <c r="B78" s="52">
        <f>'Расчет субсидий'!AD78</f>
        <v>1.5545454545454476</v>
      </c>
      <c r="C78" s="54">
        <f>'Расчет субсидий'!D78-1</f>
        <v>-2.6881720430107503E-2</v>
      </c>
      <c r="D78" s="54">
        <f>C78*'Расчет субсидий'!E78</f>
        <v>-0.26881720430107503</v>
      </c>
      <c r="E78" s="55">
        <f t="shared" si="16"/>
        <v>-0.30888793703187134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4">
        <f>'Расчет субсидий'!P78-1</f>
        <v>7.5650118203309802E-2</v>
      </c>
      <c r="M78" s="54">
        <f>L78*'Расчет субсидий'!Q78</f>
        <v>1.513002364066196</v>
      </c>
      <c r="N78" s="55">
        <f t="shared" si="17"/>
        <v>1.7385352257339977</v>
      </c>
      <c r="O78" s="54">
        <f>'Расчет субсидий'!T78-1</f>
        <v>4.3478260869564966E-3</v>
      </c>
      <c r="P78" s="54">
        <f>O78*'Расчет субсидий'!U78</f>
        <v>0.10869565217391242</v>
      </c>
      <c r="Q78" s="55">
        <f t="shared" si="18"/>
        <v>0.12489816584332128</v>
      </c>
      <c r="R78" s="54">
        <f>'Расчет субсидий'!X78-1</f>
        <v>0</v>
      </c>
      <c r="S78" s="54">
        <f>R78*'Расчет субсидий'!Y78</f>
        <v>0</v>
      </c>
      <c r="T78" s="55">
        <f t="shared" si="19"/>
        <v>0</v>
      </c>
      <c r="U78" s="54">
        <f t="shared" si="11"/>
        <v>1.3528808119390334</v>
      </c>
    </row>
    <row r="79" spans="1:21" ht="15" customHeight="1">
      <c r="A79" s="33" t="s">
        <v>78</v>
      </c>
      <c r="B79" s="52">
        <f>'Расчет субсидий'!AD79</f>
        <v>5.6090909090909093</v>
      </c>
      <c r="C79" s="54">
        <f>'Расчет субсидий'!D79-1</f>
        <v>-1.3440860215053752E-3</v>
      </c>
      <c r="D79" s="54">
        <f>C79*'Расчет субсидий'!E79</f>
        <v>-1.3440860215053752E-2</v>
      </c>
      <c r="E79" s="55">
        <f t="shared" si="16"/>
        <v>-1.1882978158350224E-2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4">
        <f>'Расчет субсидий'!P79-1</f>
        <v>0.30000000000000004</v>
      </c>
      <c r="M79" s="54">
        <f>L79*'Расчет субсидий'!Q79</f>
        <v>6.0000000000000009</v>
      </c>
      <c r="N79" s="55">
        <f t="shared" si="17"/>
        <v>5.3045614498875455</v>
      </c>
      <c r="O79" s="54">
        <f>'Расчет субсидий'!T79-1</f>
        <v>1.0000000000000009E-2</v>
      </c>
      <c r="P79" s="54">
        <f>O79*'Расчет субсидий'!U79</f>
        <v>0.20000000000000018</v>
      </c>
      <c r="Q79" s="55">
        <f t="shared" si="18"/>
        <v>0.17681871499625165</v>
      </c>
      <c r="R79" s="54">
        <f>'Расчет субсидий'!X79-1</f>
        <v>5.2631578947368585E-3</v>
      </c>
      <c r="S79" s="54">
        <f>R79*'Расчет субсидий'!Y79</f>
        <v>0.15789473684210575</v>
      </c>
      <c r="T79" s="55">
        <f t="shared" si="19"/>
        <v>0.13959372236546214</v>
      </c>
      <c r="U79" s="54">
        <f t="shared" si="11"/>
        <v>6.3444538766270533</v>
      </c>
    </row>
    <row r="80" spans="1:21" ht="15" customHeight="1">
      <c r="A80" s="32" t="s">
        <v>79</v>
      </c>
      <c r="B80" s="56"/>
      <c r="C80" s="57"/>
      <c r="D80" s="57"/>
      <c r="E80" s="58"/>
      <c r="F80" s="57"/>
      <c r="G80" s="57"/>
      <c r="H80" s="58"/>
      <c r="I80" s="58"/>
      <c r="J80" s="58"/>
      <c r="K80" s="58"/>
      <c r="L80" s="57"/>
      <c r="M80" s="57"/>
      <c r="N80" s="58"/>
      <c r="O80" s="57"/>
      <c r="P80" s="57"/>
      <c r="Q80" s="58"/>
      <c r="R80" s="57"/>
      <c r="S80" s="57"/>
      <c r="T80" s="58"/>
      <c r="U80" s="58"/>
    </row>
    <row r="81" spans="1:21" ht="15" customHeight="1">
      <c r="A81" s="33" t="s">
        <v>80</v>
      </c>
      <c r="B81" s="52">
        <f>'Расчет субсидий'!AD81</f>
        <v>1.4000000000000057</v>
      </c>
      <c r="C81" s="54">
        <f>'Расчет субсидий'!D81-1</f>
        <v>0.20048192771084339</v>
      </c>
      <c r="D81" s="54">
        <f>C81*'Расчет субсидий'!E81</f>
        <v>2.0048192771084339</v>
      </c>
      <c r="E81" s="55">
        <f t="shared" ref="E81:E89" si="20">$B81*D81/$U81</f>
        <v>4.4011226824630461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4">
        <f>'Расчет субсидий'!P81-1</f>
        <v>-0.59400642169104534</v>
      </c>
      <c r="M81" s="54">
        <f>L81*'Расчет субсидий'!Q81</f>
        <v>-11.880128433820907</v>
      </c>
      <c r="N81" s="55">
        <f t="shared" ref="N81:N89" si="21">$B81*M81/$U81</f>
        <v>-26.080107727253964</v>
      </c>
      <c r="O81" s="54">
        <f>'Расчет субсидий'!T81-1</f>
        <v>0.21086956521739131</v>
      </c>
      <c r="P81" s="54">
        <f>O81*'Расчет субсидий'!U81</f>
        <v>3.1630434782608696</v>
      </c>
      <c r="Q81" s="55">
        <f t="shared" ref="Q81:Q89" si="22">$B81*P81/$U81</f>
        <v>6.9437392969749379</v>
      </c>
      <c r="R81" s="54">
        <f>'Расчет субсидий'!X81-1</f>
        <v>0.20999999999999996</v>
      </c>
      <c r="S81" s="54">
        <f>R81*'Расчет субсидий'!Y81</f>
        <v>7.3499999999999988</v>
      </c>
      <c r="T81" s="55">
        <f t="shared" ref="T81:T89" si="23">$B81*S81/$U81</f>
        <v>16.135245747815986</v>
      </c>
      <c r="U81" s="54">
        <f t="shared" si="11"/>
        <v>0.63773432154839416</v>
      </c>
    </row>
    <row r="82" spans="1:21" ht="15" customHeight="1">
      <c r="A82" s="33" t="s">
        <v>81</v>
      </c>
      <c r="B82" s="52">
        <f>'Расчет субсидий'!AD82</f>
        <v>14.336363636363615</v>
      </c>
      <c r="C82" s="54">
        <f>'Расчет субсидий'!D82-1</f>
        <v>2.656434474616276E-3</v>
      </c>
      <c r="D82" s="54">
        <f>C82*'Расчет субсидий'!E82</f>
        <v>2.656434474616276E-2</v>
      </c>
      <c r="E82" s="55">
        <f t="shared" si="20"/>
        <v>6.0479448506771824E-2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4">
        <f>'Расчет субсидий'!P82-1</f>
        <v>-0.19452599677999816</v>
      </c>
      <c r="M82" s="54">
        <f>L82*'Расчет субсидий'!Q82</f>
        <v>-3.8905199355999631</v>
      </c>
      <c r="N82" s="55">
        <f t="shared" si="21"/>
        <v>-8.8576060263513927</v>
      </c>
      <c r="O82" s="54">
        <f>'Расчет субсидий'!T82-1</f>
        <v>0.2021505376344086</v>
      </c>
      <c r="P82" s="54">
        <f>O82*'Расчет субсидий'!U82</f>
        <v>5.053763440860215</v>
      </c>
      <c r="Q82" s="55">
        <f t="shared" si="22"/>
        <v>11.505980241845135</v>
      </c>
      <c r="R82" s="54">
        <f>'Расчет субсидий'!X82-1</f>
        <v>0.20428571428571418</v>
      </c>
      <c r="S82" s="54">
        <f>R82*'Расчет субсидий'!Y82</f>
        <v>5.1071428571428541</v>
      </c>
      <c r="T82" s="55">
        <f t="shared" si="23"/>
        <v>11.627509972363098</v>
      </c>
      <c r="U82" s="54">
        <f t="shared" si="11"/>
        <v>6.2969507071492687</v>
      </c>
    </row>
    <row r="83" spans="1:21" ht="15" customHeight="1">
      <c r="A83" s="33" t="s">
        <v>82</v>
      </c>
      <c r="B83" s="52">
        <f>'Расчет субсидий'!AD83</f>
        <v>-2.5909090909090935</v>
      </c>
      <c r="C83" s="54">
        <f>'Расчет субсидий'!D83-1</f>
        <v>2.3255813953488413E-2</v>
      </c>
      <c r="D83" s="54">
        <f>C83*'Расчет субсидий'!E83</f>
        <v>0.23255813953488413</v>
      </c>
      <c r="E83" s="55">
        <f t="shared" si="20"/>
        <v>0.72918619070820601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4">
        <f>'Расчет субсидий'!P83-1</f>
        <v>-0.56513409961685834</v>
      </c>
      <c r="M83" s="54">
        <f>L83*'Расчет субсидий'!Q83</f>
        <v>-11.302681992337167</v>
      </c>
      <c r="N83" s="55">
        <f t="shared" si="21"/>
        <v>-35.439566395147807</v>
      </c>
      <c r="O83" s="54">
        <f>'Расчет субсидий'!T83-1</f>
        <v>0.20619047619047626</v>
      </c>
      <c r="P83" s="54">
        <f>O83*'Расчет субсидий'!U83</f>
        <v>4.1238095238095251</v>
      </c>
      <c r="Q83" s="55">
        <f t="shared" si="22"/>
        <v>12.930207318853398</v>
      </c>
      <c r="R83" s="54">
        <f>'Расчет субсидий'!X83-1</f>
        <v>0.20399999999999996</v>
      </c>
      <c r="S83" s="54">
        <f>R83*'Расчет субсидий'!Y83</f>
        <v>6.1199999999999992</v>
      </c>
      <c r="T83" s="55">
        <f t="shared" si="23"/>
        <v>19.18926379467711</v>
      </c>
      <c r="U83" s="54">
        <f t="shared" si="11"/>
        <v>-0.82631432899275836</v>
      </c>
    </row>
    <row r="84" spans="1:21" ht="15" customHeight="1">
      <c r="A84" s="33" t="s">
        <v>83</v>
      </c>
      <c r="B84" s="52">
        <f>'Расчет субсидий'!AD84</f>
        <v>-10.509090909090901</v>
      </c>
      <c r="C84" s="54">
        <f>'Расчет субсидий'!D84-1</f>
        <v>1.5220700152207556E-3</v>
      </c>
      <c r="D84" s="54">
        <f>C84*'Расчет субсидий'!E84</f>
        <v>1.5220700152207556E-2</v>
      </c>
      <c r="E84" s="55">
        <f t="shared" si="20"/>
        <v>4.7773272000659929E-2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4">
        <f>'Расчет субсидий'!P84-1</f>
        <v>-0.67808764940239041</v>
      </c>
      <c r="M84" s="54">
        <f>L84*'Расчет субсидий'!Q84</f>
        <v>-13.561752988047807</v>
      </c>
      <c r="N84" s="55">
        <f t="shared" si="21"/>
        <v>-42.566327949756172</v>
      </c>
      <c r="O84" s="54">
        <f>'Расчет субсидий'!T84-1</f>
        <v>0.20168224299065418</v>
      </c>
      <c r="P84" s="54">
        <f>O84*'Расчет субсидий'!U84</f>
        <v>5.0420560747663545</v>
      </c>
      <c r="Q84" s="55">
        <f t="shared" si="22"/>
        <v>15.825521421066629</v>
      </c>
      <c r="R84" s="54">
        <f>'Расчет субсидий'!X84-1</f>
        <v>0.20625000000000004</v>
      </c>
      <c r="S84" s="54">
        <f>R84*'Расчет субсидий'!Y84</f>
        <v>5.1562500000000009</v>
      </c>
      <c r="T84" s="55">
        <f t="shared" si="23"/>
        <v>16.183942347597974</v>
      </c>
      <c r="U84" s="54">
        <f t="shared" si="11"/>
        <v>-3.3482262131292435</v>
      </c>
    </row>
    <row r="85" spans="1:21">
      <c r="A85" s="33" t="s">
        <v>84</v>
      </c>
      <c r="B85" s="52">
        <f>'Расчет субсидий'!AD85</f>
        <v>2.3727272727272748</v>
      </c>
      <c r="C85" s="54">
        <f>'Расчет субсидий'!D85-1</f>
        <v>2.1276595744680771E-2</v>
      </c>
      <c r="D85" s="54">
        <f>C85*'Расчет субсидий'!E85</f>
        <v>0.21276595744680771</v>
      </c>
      <c r="E85" s="55">
        <f t="shared" si="20"/>
        <v>0.47639671546608231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4">
        <f>'Расчет субсидий'!P85-1</f>
        <v>-0.46666666666666667</v>
      </c>
      <c r="M85" s="54">
        <f>L85*'Расчет субсидий'!Q85</f>
        <v>-9.3333333333333339</v>
      </c>
      <c r="N85" s="55">
        <f t="shared" si="21"/>
        <v>-20.897935918445558</v>
      </c>
      <c r="O85" s="54">
        <f>'Расчет субсидий'!T85-1</f>
        <v>0.20526315789473681</v>
      </c>
      <c r="P85" s="54">
        <f>O85*'Расчет субсидий'!U85</f>
        <v>4.1052631578947363</v>
      </c>
      <c r="Q85" s="55">
        <f t="shared" si="22"/>
        <v>9.1919492573613901</v>
      </c>
      <c r="R85" s="54">
        <f>'Расчет субсидий'!X85-1</f>
        <v>0.2024999999999999</v>
      </c>
      <c r="S85" s="54">
        <f>R85*'Расчет субсидий'!Y85</f>
        <v>6.0749999999999975</v>
      </c>
      <c r="T85" s="55">
        <f t="shared" si="23"/>
        <v>13.602317218345362</v>
      </c>
      <c r="U85" s="54">
        <f t="shared" si="11"/>
        <v>1.0596957820082071</v>
      </c>
    </row>
    <row r="86" spans="1:21" ht="15" customHeight="1">
      <c r="A86" s="33" t="s">
        <v>85</v>
      </c>
      <c r="B86" s="52">
        <f>'Расчет субсидий'!AD86</f>
        <v>27.418181818181807</v>
      </c>
      <c r="C86" s="54">
        <f>'Расчет субсидий'!D86-1</f>
        <v>2.3255813953488413E-2</v>
      </c>
      <c r="D86" s="54">
        <f>C86*'Расчет субсидий'!E86</f>
        <v>0.23255813953488413</v>
      </c>
      <c r="E86" s="55">
        <f t="shared" si="20"/>
        <v>0.38697715795472704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4">
        <f>'Расчет субсидий'!P86-1</f>
        <v>0.30000000000000004</v>
      </c>
      <c r="M86" s="54">
        <f>L86*'Расчет субсидий'!Q86</f>
        <v>6.0000000000000009</v>
      </c>
      <c r="N86" s="55">
        <f t="shared" si="21"/>
        <v>9.9840106752319411</v>
      </c>
      <c r="O86" s="54">
        <f>'Расчет субсидий'!T86-1</f>
        <v>0.20565656565656565</v>
      </c>
      <c r="P86" s="54">
        <f>O86*'Расчет субсидий'!U86</f>
        <v>6.1696969696969699</v>
      </c>
      <c r="Q86" s="55">
        <f t="shared" si="22"/>
        <v>10.266386734733448</v>
      </c>
      <c r="R86" s="54">
        <f>'Расчет субсидий'!X86-1</f>
        <v>0.20374999999999988</v>
      </c>
      <c r="S86" s="54">
        <f>R86*'Расчет субсидий'!Y86</f>
        <v>4.0749999999999975</v>
      </c>
      <c r="T86" s="55">
        <f t="shared" si="23"/>
        <v>6.7808072502616881</v>
      </c>
      <c r="U86" s="54">
        <f t="shared" si="11"/>
        <v>16.477255109231855</v>
      </c>
    </row>
    <row r="87" spans="1:21" ht="15" customHeight="1">
      <c r="A87" s="33" t="s">
        <v>86</v>
      </c>
      <c r="B87" s="52">
        <f>'Расчет субсидий'!AD87</f>
        <v>32.254545454545479</v>
      </c>
      <c r="C87" s="54">
        <f>'Расчет субсидий'!D87-1</f>
        <v>4.7619047619047672E-2</v>
      </c>
      <c r="D87" s="54">
        <f>C87*'Расчет субсидий'!E87</f>
        <v>0.47619047619047672</v>
      </c>
      <c r="E87" s="55">
        <f t="shared" si="20"/>
        <v>0.90327781903044624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4">
        <f>'Расчет субсидий'!P87-1</f>
        <v>0.30000000000000004</v>
      </c>
      <c r="M87" s="54">
        <f>L87*'Расчет субсидий'!Q87</f>
        <v>6.0000000000000009</v>
      </c>
      <c r="N87" s="55">
        <f t="shared" si="21"/>
        <v>11.381300519783611</v>
      </c>
      <c r="O87" s="54">
        <f>'Расчет субсидий'!T87-1</f>
        <v>0.21111111111111103</v>
      </c>
      <c r="P87" s="54">
        <f>O87*'Расчет субсидий'!U87</f>
        <v>5.2777777777777759</v>
      </c>
      <c r="Q87" s="55">
        <f t="shared" si="22"/>
        <v>10.011329160920765</v>
      </c>
      <c r="R87" s="54">
        <f>'Расчет субсидий'!X87-1</f>
        <v>0.20999999999999996</v>
      </c>
      <c r="S87" s="54">
        <f>R87*'Расчет субсидий'!Y87</f>
        <v>5.2499999999999991</v>
      </c>
      <c r="T87" s="55">
        <f t="shared" si="23"/>
        <v>9.9586379548106567</v>
      </c>
      <c r="U87" s="54">
        <f t="shared" si="11"/>
        <v>17.003968253968253</v>
      </c>
    </row>
    <row r="88" spans="1:21" ht="15" customHeight="1">
      <c r="A88" s="33" t="s">
        <v>87</v>
      </c>
      <c r="B88" s="52">
        <f>'Расчет субсидий'!AD88</f>
        <v>-6.363636363636374</v>
      </c>
      <c r="C88" s="54">
        <f>'Расчет субсидий'!D88-1</f>
        <v>2.564102564102555E-2</v>
      </c>
      <c r="D88" s="54">
        <f>C88*'Расчет субсидий'!E88</f>
        <v>0.2564102564102555</v>
      </c>
      <c r="E88" s="55">
        <f t="shared" si="20"/>
        <v>0.42561422317160436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4">
        <f>'Расчет субсидий'!P88-1</f>
        <v>-0.71075837742504411</v>
      </c>
      <c r="M88" s="54">
        <f>L88*'Расчет субсидий'!Q88</f>
        <v>-14.215167548500883</v>
      </c>
      <c r="N88" s="55">
        <f t="shared" si="21"/>
        <v>-23.595692224296755</v>
      </c>
      <c r="O88" s="54">
        <f>'Расчет субсидий'!T88-1</f>
        <v>0.2024999999999999</v>
      </c>
      <c r="P88" s="54">
        <f>O88*'Расчет субсидий'!U88</f>
        <v>5.0624999999999973</v>
      </c>
      <c r="Q88" s="55">
        <f t="shared" si="22"/>
        <v>8.4032208187443889</v>
      </c>
      <c r="R88" s="54">
        <f>'Расчет субсидий'!X88-1</f>
        <v>0.2024999999999999</v>
      </c>
      <c r="S88" s="54">
        <f>R88*'Расчет субсидий'!Y88</f>
        <v>5.0624999999999973</v>
      </c>
      <c r="T88" s="55">
        <f t="shared" si="23"/>
        <v>8.4032208187443889</v>
      </c>
      <c r="U88" s="54">
        <f t="shared" si="11"/>
        <v>-3.8337572920906338</v>
      </c>
    </row>
    <row r="89" spans="1:21" ht="15" customHeight="1">
      <c r="A89" s="33" t="s">
        <v>88</v>
      </c>
      <c r="B89" s="52">
        <f>'Расчет субсидий'!AD89</f>
        <v>35.181818181818187</v>
      </c>
      <c r="C89" s="54">
        <f>'Расчет субсидий'!D89-1</f>
        <v>1.8083182640145079E-3</v>
      </c>
      <c r="D89" s="54">
        <f>C89*'Расчет субсидий'!E89</f>
        <v>1.8083182640145079E-2</v>
      </c>
      <c r="E89" s="55">
        <f t="shared" si="20"/>
        <v>3.9047197922124938E-2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4">
        <f>'Расчет субсидий'!P89-1</f>
        <v>0.30000000000000004</v>
      </c>
      <c r="M89" s="54">
        <f>L89*'Расчет субсидий'!Q89</f>
        <v>6.0000000000000009</v>
      </c>
      <c r="N89" s="55">
        <f t="shared" si="21"/>
        <v>12.955860270560761</v>
      </c>
      <c r="O89" s="54">
        <f>'Расчет субсидий'!T89-1</f>
        <v>0.20583333333333331</v>
      </c>
      <c r="P89" s="54">
        <f>O89*'Расчет субсидий'!U89</f>
        <v>6.1749999999999989</v>
      </c>
      <c r="Q89" s="55">
        <f t="shared" si="22"/>
        <v>13.333739528452114</v>
      </c>
      <c r="R89" s="54">
        <f>'Расчет субсидий'!X89-1</f>
        <v>0.20500000000000007</v>
      </c>
      <c r="S89" s="54">
        <f>R89*'Расчет субсидий'!Y89</f>
        <v>4.1000000000000014</v>
      </c>
      <c r="T89" s="55">
        <f t="shared" si="23"/>
        <v>8.8531711848831875</v>
      </c>
      <c r="U89" s="54">
        <f t="shared" si="11"/>
        <v>16.293083182640146</v>
      </c>
    </row>
    <row r="90" spans="1:21" ht="15" customHeight="1">
      <c r="A90" s="32" t="s">
        <v>89</v>
      </c>
      <c r="B90" s="56"/>
      <c r="C90" s="57"/>
      <c r="D90" s="57"/>
      <c r="E90" s="58"/>
      <c r="F90" s="57"/>
      <c r="G90" s="57"/>
      <c r="H90" s="58"/>
      <c r="I90" s="58"/>
      <c r="J90" s="58"/>
      <c r="K90" s="58"/>
      <c r="L90" s="57"/>
      <c r="M90" s="57"/>
      <c r="N90" s="58"/>
      <c r="O90" s="57"/>
      <c r="P90" s="57"/>
      <c r="Q90" s="58"/>
      <c r="R90" s="57"/>
      <c r="S90" s="57"/>
      <c r="T90" s="58"/>
      <c r="U90" s="58"/>
    </row>
    <row r="91" spans="1:21" ht="15" customHeight="1">
      <c r="A91" s="33" t="s">
        <v>90</v>
      </c>
      <c r="B91" s="52">
        <f>'Расчет субсидий'!AD91</f>
        <v>-2.663636363636364</v>
      </c>
      <c r="C91" s="54">
        <f>'Расчет субсидий'!D91-1</f>
        <v>-1</v>
      </c>
      <c r="D91" s="54">
        <f>C91*'Расчет субсидий'!E91</f>
        <v>0</v>
      </c>
      <c r="E91" s="55">
        <f t="shared" ref="E91:E103" si="24">$B91*D91/$U91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4">
        <f>'Расчет субсидий'!P91-1</f>
        <v>-0.6348314606741573</v>
      </c>
      <c r="M91" s="54">
        <f>L91*'Расчет субсидий'!Q91</f>
        <v>-12.696629213483146</v>
      </c>
      <c r="N91" s="55">
        <f t="shared" ref="N91:N103" si="25">$B91*M91/$U91</f>
        <v>-9.0265679739364089</v>
      </c>
      <c r="O91" s="54">
        <f>'Расчет субсидий'!T91-1</f>
        <v>0.14000000000000012</v>
      </c>
      <c r="P91" s="54">
        <f>O91*'Расчет субсидий'!U91</f>
        <v>2.8000000000000025</v>
      </c>
      <c r="Q91" s="55">
        <f t="shared" ref="Q91:Q103" si="26">$B91*P91/$U91</f>
        <v>1.9906378222167744</v>
      </c>
      <c r="R91" s="54">
        <f>'Расчет субсидий'!X91-1</f>
        <v>0.20500000000000007</v>
      </c>
      <c r="S91" s="54">
        <f>R91*'Расчет субсидий'!Y91</f>
        <v>6.1500000000000021</v>
      </c>
      <c r="T91" s="55">
        <f t="shared" ref="T91:T103" si="27">$B91*S91/$U91</f>
        <v>4.3722937880832697</v>
      </c>
      <c r="U91" s="54">
        <f t="shared" si="11"/>
        <v>-3.7466292134831409</v>
      </c>
    </row>
    <row r="92" spans="1:21" ht="15" customHeight="1">
      <c r="A92" s="33" t="s">
        <v>91</v>
      </c>
      <c r="B92" s="52">
        <f>'Расчет субсидий'!AD92</f>
        <v>13.481818181818198</v>
      </c>
      <c r="C92" s="54">
        <f>'Расчет субсидий'!D92-1</f>
        <v>0.10202942862602704</v>
      </c>
      <c r="D92" s="54">
        <f>C92*'Расчет субсидий'!E92</f>
        <v>1.0202942862602704</v>
      </c>
      <c r="E92" s="55">
        <f t="shared" si="24"/>
        <v>1.8319990330333003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4">
        <f>'Расчет субсидий'!P92-1</f>
        <v>-4.7527080359392126E-2</v>
      </c>
      <c r="M92" s="54">
        <f>L92*'Расчет субсидий'!Q92</f>
        <v>-0.95054160718784253</v>
      </c>
      <c r="N92" s="55">
        <f t="shared" si="25"/>
        <v>-1.7067539519493391</v>
      </c>
      <c r="O92" s="54">
        <f>'Расчет субсидий'!T92-1</f>
        <v>0.16923076923076907</v>
      </c>
      <c r="P92" s="54">
        <f>O92*'Расчет субсидий'!U92</f>
        <v>3.3846153846153815</v>
      </c>
      <c r="Q92" s="55">
        <f t="shared" si="26"/>
        <v>6.0772780905520776</v>
      </c>
      <c r="R92" s="54">
        <f>'Расчет субсидий'!X92-1</f>
        <v>0.13513513513513509</v>
      </c>
      <c r="S92" s="54">
        <f>R92*'Расчет субсидий'!Y92</f>
        <v>4.0540540540540526</v>
      </c>
      <c r="T92" s="55">
        <f t="shared" si="27"/>
        <v>7.2792950101821603</v>
      </c>
      <c r="U92" s="54">
        <f t="shared" si="11"/>
        <v>7.508422117741862</v>
      </c>
    </row>
    <row r="93" spans="1:21" ht="15" customHeight="1">
      <c r="A93" s="33" t="s">
        <v>92</v>
      </c>
      <c r="B93" s="52">
        <f>'Расчет субсидий'!AD93</f>
        <v>-5.1545454545454561</v>
      </c>
      <c r="C93" s="54">
        <f>'Расчет субсидий'!D93-1</f>
        <v>-1</v>
      </c>
      <c r="D93" s="54">
        <f>C93*'Расчет субсидий'!E93</f>
        <v>0</v>
      </c>
      <c r="E93" s="55">
        <f t="shared" si="24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4">
        <f>'Расчет субсидий'!P93-1</f>
        <v>-0.39011651265568503</v>
      </c>
      <c r="M93" s="54">
        <f>L93*'Расчет субсидий'!Q93</f>
        <v>-7.8023302531137002</v>
      </c>
      <c r="N93" s="55">
        <f t="shared" si="25"/>
        <v>-12.949945307612998</v>
      </c>
      <c r="O93" s="54">
        <f>'Расчет субсидий'!T93-1</f>
        <v>0.1598360655737705</v>
      </c>
      <c r="P93" s="54">
        <f>O93*'Расчет субсидий'!U93</f>
        <v>3.1967213114754101</v>
      </c>
      <c r="Q93" s="55">
        <f t="shared" si="26"/>
        <v>5.305769533501465</v>
      </c>
      <c r="R93" s="54">
        <f>'Расчет субсидий'!X93-1</f>
        <v>5.0000000000000044E-2</v>
      </c>
      <c r="S93" s="54">
        <f>R93*'Расчет субсидий'!Y93</f>
        <v>1.5000000000000013</v>
      </c>
      <c r="T93" s="55">
        <f t="shared" si="27"/>
        <v>2.4896303195660745</v>
      </c>
      <c r="U93" s="54">
        <f t="shared" si="11"/>
        <v>-3.1056089416382888</v>
      </c>
    </row>
    <row r="94" spans="1:21" ht="15" customHeight="1">
      <c r="A94" s="33" t="s">
        <v>93</v>
      </c>
      <c r="B94" s="52">
        <f>'Расчет субсидий'!AD94</f>
        <v>-0.57272727272727053</v>
      </c>
      <c r="C94" s="54">
        <f>'Расчет субсидий'!D94-1</f>
        <v>-1</v>
      </c>
      <c r="D94" s="54">
        <f>C94*'Расчет субсидий'!E94</f>
        <v>0</v>
      </c>
      <c r="E94" s="55">
        <f t="shared" si="24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4">
        <f>'Расчет субсидий'!P94-1</f>
        <v>-0.42028985507246375</v>
      </c>
      <c r="M94" s="54">
        <f>L94*'Расчет субсидий'!Q94</f>
        <v>-8.4057971014492754</v>
      </c>
      <c r="N94" s="55">
        <f t="shared" si="25"/>
        <v>-5.7490723893689886</v>
      </c>
      <c r="O94" s="54">
        <f>'Расчет субсидий'!T94-1</f>
        <v>0.1476510067114094</v>
      </c>
      <c r="P94" s="54">
        <f>O94*'Расчет субсидий'!U94</f>
        <v>2.9530201342281881</v>
      </c>
      <c r="Q94" s="55">
        <f t="shared" si="26"/>
        <v>2.0196926375982698</v>
      </c>
      <c r="R94" s="54">
        <f>'Расчет субсидий'!X94-1</f>
        <v>0.15384615384615374</v>
      </c>
      <c r="S94" s="54">
        <f>R94*'Расчет субсидий'!Y94</f>
        <v>4.6153846153846123</v>
      </c>
      <c r="T94" s="55">
        <f t="shared" si="27"/>
        <v>3.1566524790434474</v>
      </c>
      <c r="U94" s="54">
        <f t="shared" si="11"/>
        <v>-0.83739235183647498</v>
      </c>
    </row>
    <row r="95" spans="1:21" ht="15" customHeight="1">
      <c r="A95" s="33" t="s">
        <v>94</v>
      </c>
      <c r="B95" s="52">
        <f>'Расчет субсидий'!AD95</f>
        <v>-12.036363636363646</v>
      </c>
      <c r="C95" s="54">
        <f>'Расчет субсидий'!D95-1</f>
        <v>0.2653503184713375</v>
      </c>
      <c r="D95" s="54">
        <f>C95*'Расчет субсидий'!E95</f>
        <v>2.653503184713375</v>
      </c>
      <c r="E95" s="55">
        <f t="shared" si="24"/>
        <v>3.8077229450484178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4">
        <f>'Расчет субсидий'!P95-1</f>
        <v>-1</v>
      </c>
      <c r="M95" s="54">
        <f>L95*'Расчет субсидий'!Q95</f>
        <v>-20</v>
      </c>
      <c r="N95" s="55">
        <f t="shared" si="25"/>
        <v>-28.699592048612661</v>
      </c>
      <c r="O95" s="54">
        <f>'Расчет субсидий'!T95-1</f>
        <v>0.1797752808988764</v>
      </c>
      <c r="P95" s="54">
        <f>O95*'Расчет субсидий'!U95</f>
        <v>4.4943820224719104</v>
      </c>
      <c r="Q95" s="55">
        <f t="shared" si="26"/>
        <v>6.4493465277781272</v>
      </c>
      <c r="R95" s="54">
        <f>'Расчет субсидий'!X95-1</f>
        <v>0.1785714285714286</v>
      </c>
      <c r="S95" s="54">
        <f>R95*'Расчет субсидий'!Y95</f>
        <v>4.4642857142857153</v>
      </c>
      <c r="T95" s="55">
        <f t="shared" si="27"/>
        <v>6.4061589394224709</v>
      </c>
      <c r="U95" s="54">
        <f t="shared" si="11"/>
        <v>-8.3878290785289984</v>
      </c>
    </row>
    <row r="96" spans="1:21" ht="15" customHeight="1">
      <c r="A96" s="33" t="s">
        <v>95</v>
      </c>
      <c r="B96" s="52">
        <f>'Расчет субсидий'!AD96</f>
        <v>7.336363636363636</v>
      </c>
      <c r="C96" s="54">
        <f>'Расчет субсидий'!D96-1</f>
        <v>-1</v>
      </c>
      <c r="D96" s="54">
        <f>C96*'Расчет субсидий'!E96</f>
        <v>0</v>
      </c>
      <c r="E96" s="55">
        <f t="shared" si="24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4">
        <f>'Расчет субсидий'!P96-1</f>
        <v>5.3571428571428603E-2</v>
      </c>
      <c r="M96" s="54">
        <f>L96*'Расчет субсидий'!Q96</f>
        <v>1.0714285714285721</v>
      </c>
      <c r="N96" s="55">
        <f t="shared" si="25"/>
        <v>0.95393408770563715</v>
      </c>
      <c r="O96" s="54">
        <f>'Расчет субсидий'!T96-1</f>
        <v>0.15853658536585358</v>
      </c>
      <c r="P96" s="54">
        <f>O96*'Расчет субсидий'!U96</f>
        <v>3.9634146341463392</v>
      </c>
      <c r="Q96" s="55">
        <f t="shared" si="26"/>
        <v>3.5287805683419871</v>
      </c>
      <c r="R96" s="54">
        <f>'Расчет субсидий'!X96-1</f>
        <v>0.12820512820512842</v>
      </c>
      <c r="S96" s="54">
        <f>R96*'Расчет субсидий'!Y96</f>
        <v>3.2051282051282106</v>
      </c>
      <c r="T96" s="55">
        <f t="shared" si="27"/>
        <v>2.8536489803160117</v>
      </c>
      <c r="U96" s="54">
        <f t="shared" si="11"/>
        <v>8.2399714107031219</v>
      </c>
    </row>
    <row r="97" spans="1:21" ht="15" customHeight="1">
      <c r="A97" s="33" t="s">
        <v>96</v>
      </c>
      <c r="B97" s="52">
        <f>'Расчет субсидий'!AD97</f>
        <v>-5.4090909090909065</v>
      </c>
      <c r="C97" s="54">
        <f>'Расчет субсидий'!D97-1</f>
        <v>-0.11653447223917024</v>
      </c>
      <c r="D97" s="54">
        <f>C97*'Расчет субсидий'!E97</f>
        <v>-1.1653447223917024</v>
      </c>
      <c r="E97" s="55">
        <f t="shared" si="24"/>
        <v>-1.3130048019940568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4">
        <f>'Расчет субсидий'!P97-1</f>
        <v>-0.61359026369168346</v>
      </c>
      <c r="M97" s="54">
        <f>L97*'Расчет субсидий'!Q97</f>
        <v>-12.271805273833669</v>
      </c>
      <c r="N97" s="55">
        <f t="shared" si="25"/>
        <v>-13.826757820304113</v>
      </c>
      <c r="O97" s="54">
        <f>'Расчет субсидий'!T97-1</f>
        <v>0.18181818181818188</v>
      </c>
      <c r="P97" s="54">
        <f>O97*'Расчет субсидий'!U97</f>
        <v>3.6363636363636376</v>
      </c>
      <c r="Q97" s="55">
        <f t="shared" si="26"/>
        <v>4.0971249318767429</v>
      </c>
      <c r="R97" s="54">
        <f>'Расчет субсидий'!X97-1</f>
        <v>0.16666666666666674</v>
      </c>
      <c r="S97" s="54">
        <f>R97*'Расчет субсидий'!Y97</f>
        <v>5.0000000000000018</v>
      </c>
      <c r="T97" s="55">
        <f t="shared" si="27"/>
        <v>5.633546781330522</v>
      </c>
      <c r="U97" s="54">
        <f t="shared" si="11"/>
        <v>-4.8007863598617337</v>
      </c>
    </row>
    <row r="98" spans="1:21" ht="15" customHeight="1">
      <c r="A98" s="33" t="s">
        <v>97</v>
      </c>
      <c r="B98" s="52">
        <f>'Расчет субсидий'!AD98</f>
        <v>-0.7181818181818187</v>
      </c>
      <c r="C98" s="54">
        <f>'Расчет субсидий'!D98-1</f>
        <v>0</v>
      </c>
      <c r="D98" s="54">
        <f>C98*'Расчет субсидий'!E98</f>
        <v>0</v>
      </c>
      <c r="E98" s="55">
        <f t="shared" si="24"/>
        <v>0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4">
        <f>'Расчет субсидий'!P98-1</f>
        <v>-0.46401718582169715</v>
      </c>
      <c r="M98" s="54">
        <f>L98*'Расчет субсидий'!Q98</f>
        <v>-9.2803437164339435</v>
      </c>
      <c r="N98" s="55">
        <f t="shared" si="25"/>
        <v>-9.70730428212714</v>
      </c>
      <c r="O98" s="54">
        <f>'Расчет субсидий'!T98-1</f>
        <v>0.17708333333333348</v>
      </c>
      <c r="P98" s="54">
        <f>O98*'Расчет субсидий'!U98</f>
        <v>4.4270833333333375</v>
      </c>
      <c r="Q98" s="55">
        <f t="shared" si="26"/>
        <v>4.630760057183954</v>
      </c>
      <c r="R98" s="54">
        <f>'Расчет субсидий'!X98-1</f>
        <v>0.16666666666666674</v>
      </c>
      <c r="S98" s="54">
        <f>R98*'Расчет субсидий'!Y98</f>
        <v>4.1666666666666687</v>
      </c>
      <c r="T98" s="55">
        <f t="shared" si="27"/>
        <v>4.3583624067613664</v>
      </c>
      <c r="U98" s="54">
        <f t="shared" si="11"/>
        <v>-0.6865937164339373</v>
      </c>
    </row>
    <row r="99" spans="1:21" ht="15" customHeight="1">
      <c r="A99" s="33" t="s">
        <v>98</v>
      </c>
      <c r="B99" s="52">
        <f>'Расчет субсидий'!AD99</f>
        <v>8.3545454545454589</v>
      </c>
      <c r="C99" s="54">
        <f>'Расчет субсидий'!D99-1</f>
        <v>-0.17624521072796939</v>
      </c>
      <c r="D99" s="54">
        <f>C99*'Расчет субсидий'!E99</f>
        <v>-1.7624521072796939</v>
      </c>
      <c r="E99" s="55">
        <f t="shared" si="24"/>
        <v>-1.2686056810095256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4">
        <f>'Расчет субсидий'!P99-1</f>
        <v>0.26308823529411773</v>
      </c>
      <c r="M99" s="54">
        <f>L99*'Расчет субсидий'!Q99</f>
        <v>5.2617647058823547</v>
      </c>
      <c r="N99" s="55">
        <f t="shared" si="25"/>
        <v>3.7873963045274732</v>
      </c>
      <c r="O99" s="54">
        <f>'Расчет субсидий'!T99-1</f>
        <v>0.15959468017732736</v>
      </c>
      <c r="P99" s="54">
        <f>O99*'Расчет субсидий'!U99</f>
        <v>3.9898670044331839</v>
      </c>
      <c r="Q99" s="55">
        <f t="shared" si="26"/>
        <v>2.8718896402290408</v>
      </c>
      <c r="R99" s="54">
        <f>'Расчет субсидий'!X99-1</f>
        <v>0.16470588235294126</v>
      </c>
      <c r="S99" s="54">
        <f>R99*'Расчет субсидий'!Y99</f>
        <v>4.1176470588235317</v>
      </c>
      <c r="T99" s="55">
        <f t="shared" si="27"/>
        <v>2.963865190798471</v>
      </c>
      <c r="U99" s="54">
        <f t="shared" si="11"/>
        <v>11.606826661859376</v>
      </c>
    </row>
    <row r="100" spans="1:21" ht="15" customHeight="1">
      <c r="A100" s="33" t="s">
        <v>99</v>
      </c>
      <c r="B100" s="52">
        <f>'Расчет субсидий'!AD100</f>
        <v>-1.0909090909090935</v>
      </c>
      <c r="C100" s="54">
        <f>'Расчет субсидий'!D100-1</f>
        <v>-1</v>
      </c>
      <c r="D100" s="54">
        <f>C100*'Расчет субсидий'!E100</f>
        <v>0</v>
      </c>
      <c r="E100" s="55">
        <f t="shared" si="24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4">
        <f>'Расчет субсидий'!P100-1</f>
        <v>-0.41021416803953881</v>
      </c>
      <c r="M100" s="54">
        <f>L100*'Расчет субсидий'!Q100</f>
        <v>-8.2042833607907752</v>
      </c>
      <c r="N100" s="55">
        <f t="shared" si="25"/>
        <v>-14.098265043660748</v>
      </c>
      <c r="O100" s="54">
        <f>'Расчет субсидий'!T100-1</f>
        <v>0.17129629629629628</v>
      </c>
      <c r="P100" s="54">
        <f>O100*'Расчет субсидий'!U100</f>
        <v>2.5694444444444442</v>
      </c>
      <c r="Q100" s="55">
        <f t="shared" si="26"/>
        <v>4.4153410114845029</v>
      </c>
      <c r="R100" s="54">
        <f>'Расчет субсидий'!X100-1</f>
        <v>0.14285714285714302</v>
      </c>
      <c r="S100" s="54">
        <f>R100*'Расчет субсидий'!Y100</f>
        <v>5.0000000000000053</v>
      </c>
      <c r="T100" s="55">
        <f t="shared" si="27"/>
        <v>8.5920149412671503</v>
      </c>
      <c r="U100" s="54">
        <f t="shared" si="11"/>
        <v>-0.63483891634632528</v>
      </c>
    </row>
    <row r="101" spans="1:21" ht="15" customHeight="1">
      <c r="A101" s="33" t="s">
        <v>100</v>
      </c>
      <c r="B101" s="52">
        <f>'Расчет субсидий'!AD101</f>
        <v>0.73636363636363633</v>
      </c>
      <c r="C101" s="54">
        <f>'Расчет субсидий'!D101-1</f>
        <v>-1</v>
      </c>
      <c r="D101" s="54">
        <f>C101*'Расчет субсидий'!E101</f>
        <v>0</v>
      </c>
      <c r="E101" s="55">
        <f t="shared" si="24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4">
        <f>'Расчет субсидий'!P101-1</f>
        <v>0.23586061246040124</v>
      </c>
      <c r="M101" s="54">
        <f>L101*'Расчет субсидий'!Q101</f>
        <v>4.7172122492080248</v>
      </c>
      <c r="N101" s="55">
        <f t="shared" si="25"/>
        <v>0.51048998734825124</v>
      </c>
      <c r="O101" s="54">
        <f>'Расчет субсидий'!T101-1</f>
        <v>6.9573283858998192E-2</v>
      </c>
      <c r="P101" s="54">
        <f>O101*'Расчет субсидий'!U101</f>
        <v>2.0871985157699458</v>
      </c>
      <c r="Q101" s="55">
        <f t="shared" si="26"/>
        <v>0.22587364901538506</v>
      </c>
      <c r="R101" s="54">
        <f>'Расчет субсидий'!X101-1</f>
        <v>0</v>
      </c>
      <c r="S101" s="54">
        <f>R101*'Расчет субсидий'!Y101</f>
        <v>0</v>
      </c>
      <c r="T101" s="55">
        <f t="shared" si="27"/>
        <v>0</v>
      </c>
      <c r="U101" s="54">
        <f t="shared" si="11"/>
        <v>6.8044107649779706</v>
      </c>
    </row>
    <row r="102" spans="1:21" ht="15" customHeight="1">
      <c r="A102" s="33" t="s">
        <v>101</v>
      </c>
      <c r="B102" s="52">
        <f>'Расчет субсидий'!AD102</f>
        <v>15.154545454545456</v>
      </c>
      <c r="C102" s="54">
        <f>'Расчет субсидий'!D102-1</f>
        <v>-1</v>
      </c>
      <c r="D102" s="54">
        <f>C102*'Расчет субсидий'!E102</f>
        <v>0</v>
      </c>
      <c r="E102" s="55">
        <f t="shared" si="24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4">
        <f>'Расчет субсидий'!P102-1</f>
        <v>0.30000000000000004</v>
      </c>
      <c r="M102" s="54">
        <f>L102*'Расчет субсидий'!Q102</f>
        <v>6.0000000000000009</v>
      </c>
      <c r="N102" s="55">
        <f t="shared" si="25"/>
        <v>6.5578615559198115</v>
      </c>
      <c r="O102" s="54">
        <f>'Расчет субсидий'!T102-1</f>
        <v>0.16826923076923084</v>
      </c>
      <c r="P102" s="54">
        <f>O102*'Расчет субсидий'!U102</f>
        <v>3.3653846153846168</v>
      </c>
      <c r="Q102" s="55">
        <f t="shared" si="26"/>
        <v>3.6782877316857925</v>
      </c>
      <c r="R102" s="54">
        <f>'Расчет субсидий'!X102-1</f>
        <v>0.14999999999999991</v>
      </c>
      <c r="S102" s="54">
        <f>R102*'Расчет субсидий'!Y102</f>
        <v>4.4999999999999973</v>
      </c>
      <c r="T102" s="55">
        <f t="shared" si="27"/>
        <v>4.9183961669398544</v>
      </c>
      <c r="U102" s="54">
        <f t="shared" si="11"/>
        <v>13.865384615384613</v>
      </c>
    </row>
    <row r="103" spans="1:21" ht="15" customHeight="1">
      <c r="A103" s="33" t="s">
        <v>102</v>
      </c>
      <c r="B103" s="52">
        <f>'Расчет субсидий'!AD103</f>
        <v>10.427272727272729</v>
      </c>
      <c r="C103" s="54">
        <f>'Расчет субсидий'!D103-1</f>
        <v>-1</v>
      </c>
      <c r="D103" s="54">
        <f>C103*'Расчет субсидий'!E103</f>
        <v>0</v>
      </c>
      <c r="E103" s="55">
        <f t="shared" si="24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4">
        <f>'Расчет субсидий'!P103-1</f>
        <v>0.30000000000000004</v>
      </c>
      <c r="M103" s="54">
        <f>L103*'Расчет субсидий'!Q103</f>
        <v>6.0000000000000009</v>
      </c>
      <c r="N103" s="55">
        <f t="shared" si="25"/>
        <v>4.2422517962116295</v>
      </c>
      <c r="O103" s="54">
        <f>'Расчет субсидий'!T103-1</f>
        <v>0.1589403973509933</v>
      </c>
      <c r="P103" s="54">
        <f>O103*'Расчет субсидий'!U103</f>
        <v>2.3841059602648995</v>
      </c>
      <c r="Q103" s="55">
        <f t="shared" si="26"/>
        <v>1.6856629653821034</v>
      </c>
      <c r="R103" s="54">
        <f>'Расчет субсидий'!X103-1</f>
        <v>0.18181818181818166</v>
      </c>
      <c r="S103" s="54">
        <f>R103*'Расчет субсидий'!Y103</f>
        <v>6.363636363636358</v>
      </c>
      <c r="T103" s="55">
        <f t="shared" si="27"/>
        <v>4.4993579656789962</v>
      </c>
      <c r="U103" s="54">
        <f t="shared" si="11"/>
        <v>14.747742323901258</v>
      </c>
    </row>
    <row r="104" spans="1:21" ht="15" customHeight="1">
      <c r="A104" s="32" t="s">
        <v>103</v>
      </c>
      <c r="B104" s="56"/>
      <c r="C104" s="57"/>
      <c r="D104" s="57"/>
      <c r="E104" s="58"/>
      <c r="F104" s="57"/>
      <c r="G104" s="57"/>
      <c r="H104" s="58"/>
      <c r="I104" s="58"/>
      <c r="J104" s="58"/>
      <c r="K104" s="58"/>
      <c r="L104" s="57"/>
      <c r="M104" s="57"/>
      <c r="N104" s="58"/>
      <c r="O104" s="57"/>
      <c r="P104" s="57"/>
      <c r="Q104" s="58"/>
      <c r="R104" s="57"/>
      <c r="S104" s="57"/>
      <c r="T104" s="58"/>
      <c r="U104" s="58"/>
    </row>
    <row r="105" spans="1:21" ht="15" customHeight="1">
      <c r="A105" s="33" t="s">
        <v>104</v>
      </c>
      <c r="B105" s="52">
        <f>'Расчет субсидий'!AD105</f>
        <v>27.563636363636363</v>
      </c>
      <c r="C105" s="54">
        <f>'Расчет субсидий'!D105-1</f>
        <v>0.26767282779630897</v>
      </c>
      <c r="D105" s="54">
        <f>C105*'Расчет субсидий'!E105</f>
        <v>2.6767282779630897</v>
      </c>
      <c r="E105" s="55">
        <f t="shared" ref="E105:E119" si="28">$B105*D105/$U105</f>
        <v>4.6076491016605097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4">
        <f>'Расчет субсидий'!P105-1</f>
        <v>9.3042749371332834E-2</v>
      </c>
      <c r="M105" s="54">
        <f>L105*'Расчет субсидий'!Q105</f>
        <v>1.8608549874266567</v>
      </c>
      <c r="N105" s="55">
        <f t="shared" ref="N105:N119" si="29">$B105*M105/$U105</f>
        <v>3.2032264469001679</v>
      </c>
      <c r="O105" s="54">
        <f>'Расчет субсидий'!T105-1</f>
        <v>0.26249999999999996</v>
      </c>
      <c r="P105" s="54">
        <f>O105*'Расчет субсидий'!U105</f>
        <v>7.8749999999999982</v>
      </c>
      <c r="Q105" s="55">
        <f t="shared" ref="Q105:Q119" si="30">$B105*P105/$U105</f>
        <v>13.555816245640177</v>
      </c>
      <c r="R105" s="54">
        <f>'Расчет субсидий'!X105-1</f>
        <v>0.17999999999999994</v>
      </c>
      <c r="S105" s="54">
        <f>R105*'Расчет субсидий'!Y105</f>
        <v>3.5999999999999988</v>
      </c>
      <c r="T105" s="55">
        <f t="shared" ref="T105:T119" si="31">$B105*S105/$U105</f>
        <v>6.1969445694355088</v>
      </c>
      <c r="U105" s="54">
        <f t="shared" si="11"/>
        <v>16.012583265389743</v>
      </c>
    </row>
    <row r="106" spans="1:21" ht="15" customHeight="1">
      <c r="A106" s="33" t="s">
        <v>105</v>
      </c>
      <c r="B106" s="52">
        <f>'Расчет субсидий'!AD106</f>
        <v>-10.109090909090909</v>
      </c>
      <c r="C106" s="54">
        <f>'Расчет субсидий'!D106-1</f>
        <v>-1</v>
      </c>
      <c r="D106" s="54">
        <f>C106*'Расчет субсидий'!E106</f>
        <v>0</v>
      </c>
      <c r="E106" s="55">
        <f t="shared" si="28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4">
        <f>'Расчет субсидий'!P106-1</f>
        <v>-0.41868203696000961</v>
      </c>
      <c r="M106" s="54">
        <f>L106*'Расчет субсидий'!Q106</f>
        <v>-8.3736407392001926</v>
      </c>
      <c r="N106" s="55">
        <f t="shared" si="29"/>
        <v>-14.090907373337487</v>
      </c>
      <c r="O106" s="54">
        <f>'Расчет субсидий'!T106-1</f>
        <v>-3.1666666666666621E-2</v>
      </c>
      <c r="P106" s="54">
        <f>O106*'Расчет субсидий'!U106</f>
        <v>-0.79166666666666552</v>
      </c>
      <c r="Q106" s="55">
        <f t="shared" si="30"/>
        <v>-1.332192533450429</v>
      </c>
      <c r="R106" s="54">
        <f>'Расчет субсидий'!X106-1</f>
        <v>0.12631578947368416</v>
      </c>
      <c r="S106" s="54">
        <f>R106*'Расчет субсидий'!Y106</f>
        <v>3.157894736842104</v>
      </c>
      <c r="T106" s="55">
        <f t="shared" si="31"/>
        <v>5.314008997697008</v>
      </c>
      <c r="U106" s="54">
        <f t="shared" si="11"/>
        <v>-6.0074126690247542</v>
      </c>
    </row>
    <row r="107" spans="1:21" ht="15" customHeight="1">
      <c r="A107" s="33" t="s">
        <v>106</v>
      </c>
      <c r="B107" s="52">
        <f>'Расчет субсидий'!AD107</f>
        <v>50.645454545454527</v>
      </c>
      <c r="C107" s="54">
        <f>'Расчет субсидий'!D107-1</f>
        <v>0.28506276150627619</v>
      </c>
      <c r="D107" s="54">
        <f>C107*'Расчет субсидий'!E107</f>
        <v>2.8506276150627619</v>
      </c>
      <c r="E107" s="55">
        <f t="shared" si="28"/>
        <v>7.2486778320245717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4">
        <f>'Расчет субсидий'!P107-1</f>
        <v>0.20331458350566622</v>
      </c>
      <c r="M107" s="54">
        <f>L107*'Расчет субсидий'!Q107</f>
        <v>4.0662916701133245</v>
      </c>
      <c r="N107" s="55">
        <f t="shared" si="29"/>
        <v>10.339911860794793</v>
      </c>
      <c r="O107" s="54">
        <f>'Расчет субсидий'!T107-1</f>
        <v>0.21999999999999997</v>
      </c>
      <c r="P107" s="54">
        <f>O107*'Расчет субсидий'!U107</f>
        <v>5.4999999999999991</v>
      </c>
      <c r="Q107" s="55">
        <f t="shared" si="30"/>
        <v>13.985596668422568</v>
      </c>
      <c r="R107" s="54">
        <f>'Расчет субсидий'!X107-1</f>
        <v>0.30000000000000004</v>
      </c>
      <c r="S107" s="54">
        <f>R107*'Расчет субсидий'!Y107</f>
        <v>7.5000000000000009</v>
      </c>
      <c r="T107" s="55">
        <f t="shared" si="31"/>
        <v>19.071268184212599</v>
      </c>
      <c r="U107" s="54">
        <f t="shared" si="11"/>
        <v>19.916919285176085</v>
      </c>
    </row>
    <row r="108" spans="1:21" ht="15" customHeight="1">
      <c r="A108" s="33" t="s">
        <v>107</v>
      </c>
      <c r="B108" s="52">
        <f>'Расчет субсидий'!AD108</f>
        <v>-1.9727272727272691</v>
      </c>
      <c r="C108" s="54">
        <f>'Расчет субсидий'!D108-1</f>
        <v>-0.59181424635970092</v>
      </c>
      <c r="D108" s="54">
        <f>C108*'Расчет субсидий'!E108</f>
        <v>-5.9181424635970092</v>
      </c>
      <c r="E108" s="55">
        <f t="shared" si="28"/>
        <v>-9.5728680196685048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4">
        <f>'Расчет субсидий'!P108-1</f>
        <v>-0.14007189072609627</v>
      </c>
      <c r="M108" s="54">
        <f>L108*'Расчет субсидий'!Q108</f>
        <v>-2.8014378145219254</v>
      </c>
      <c r="N108" s="55">
        <f t="shared" si="29"/>
        <v>-4.5314546969231424</v>
      </c>
      <c r="O108" s="54">
        <f>'Расчет субсидий'!T108-1</f>
        <v>0</v>
      </c>
      <c r="P108" s="54">
        <f>O108*'Расчет субсидий'!U108</f>
        <v>0</v>
      </c>
      <c r="Q108" s="55">
        <f t="shared" si="30"/>
        <v>0</v>
      </c>
      <c r="R108" s="54">
        <f>'Расчет субсидий'!X108-1</f>
        <v>0.25</v>
      </c>
      <c r="S108" s="54">
        <f>R108*'Расчет субсидий'!Y108</f>
        <v>7.5</v>
      </c>
      <c r="T108" s="55">
        <f t="shared" si="31"/>
        <v>12.131595443864377</v>
      </c>
      <c r="U108" s="54">
        <f t="shared" si="11"/>
        <v>-1.2195802781189347</v>
      </c>
    </row>
    <row r="109" spans="1:21" ht="15" customHeight="1">
      <c r="A109" s="33" t="s">
        <v>108</v>
      </c>
      <c r="B109" s="52">
        <f>'Расчет субсидий'!AD109</f>
        <v>-6.4818181818181984</v>
      </c>
      <c r="C109" s="54">
        <f>'Расчет субсидий'!D109-1</f>
        <v>-0.37848605577689243</v>
      </c>
      <c r="D109" s="54">
        <f>C109*'Расчет субсидий'!E109</f>
        <v>-3.7848605577689245</v>
      </c>
      <c r="E109" s="55">
        <f t="shared" si="28"/>
        <v>-7.0997049834930124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4">
        <f>'Расчет субсидий'!P109-1</f>
        <v>-0.24490116096642622</v>
      </c>
      <c r="M109" s="54">
        <f>L109*'Расчет субсидий'!Q109</f>
        <v>-4.8980232193285245</v>
      </c>
      <c r="N109" s="55">
        <f t="shared" si="29"/>
        <v>-9.1877941944656154</v>
      </c>
      <c r="O109" s="54">
        <f>'Расчет субсидий'!T109-1</f>
        <v>0.20909677419354833</v>
      </c>
      <c r="P109" s="54">
        <f>O109*'Расчет субсидий'!U109</f>
        <v>5.227419354838708</v>
      </c>
      <c r="Q109" s="55">
        <f t="shared" si="30"/>
        <v>9.8056809961404294</v>
      </c>
      <c r="R109" s="54">
        <f>'Расчет субсидий'!X109-1</f>
        <v>0</v>
      </c>
      <c r="S109" s="54">
        <f>R109*'Расчет субсидий'!Y109</f>
        <v>0</v>
      </c>
      <c r="T109" s="55">
        <f t="shared" si="31"/>
        <v>0</v>
      </c>
      <c r="U109" s="54">
        <f t="shared" si="11"/>
        <v>-3.4554644222587401</v>
      </c>
    </row>
    <row r="110" spans="1:21" ht="15" customHeight="1">
      <c r="A110" s="33" t="s">
        <v>109</v>
      </c>
      <c r="B110" s="52">
        <f>'Расчет субсидий'!AD110</f>
        <v>49.127272727272725</v>
      </c>
      <c r="C110" s="54">
        <f>'Расчет субсидий'!D110-1</f>
        <v>0.15508640545900199</v>
      </c>
      <c r="D110" s="54">
        <f>C110*'Расчет субсидий'!E110</f>
        <v>1.5508640545900199</v>
      </c>
      <c r="E110" s="55">
        <f t="shared" si="28"/>
        <v>3.3785721552988632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4">
        <f>'Расчет субсидий'!P110-1</f>
        <v>0.30000000000000004</v>
      </c>
      <c r="M110" s="54">
        <f>L110*'Расчет субсидий'!Q110</f>
        <v>6.0000000000000009</v>
      </c>
      <c r="N110" s="55">
        <f t="shared" si="29"/>
        <v>13.071057306278247</v>
      </c>
      <c r="O110" s="54">
        <f>'Расчет субсидий'!T110-1</f>
        <v>0.30000000000000004</v>
      </c>
      <c r="P110" s="54">
        <f>O110*'Расчет субсидий'!U110</f>
        <v>9.0000000000000018</v>
      </c>
      <c r="Q110" s="55">
        <f t="shared" si="30"/>
        <v>19.606585959417373</v>
      </c>
      <c r="R110" s="54">
        <f>'Расчет субсидий'!X110-1</f>
        <v>0.30000000000000004</v>
      </c>
      <c r="S110" s="54">
        <f>R110*'Расчет субсидий'!Y110</f>
        <v>6.0000000000000009</v>
      </c>
      <c r="T110" s="55">
        <f t="shared" si="31"/>
        <v>13.071057306278247</v>
      </c>
      <c r="U110" s="54">
        <f t="shared" si="11"/>
        <v>22.550864054590022</v>
      </c>
    </row>
    <row r="111" spans="1:21" ht="15" customHeight="1">
      <c r="A111" s="33" t="s">
        <v>110</v>
      </c>
      <c r="B111" s="52">
        <f>'Расчет субсидий'!AD111</f>
        <v>-32.663636363636385</v>
      </c>
      <c r="C111" s="54">
        <f>'Расчет субсидий'!D111-1</f>
        <v>-1</v>
      </c>
      <c r="D111" s="54">
        <f>C111*'Расчет субсидий'!E111</f>
        <v>0</v>
      </c>
      <c r="E111" s="55">
        <f t="shared" si="28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4">
        <f>'Расчет субсидий'!P111-1</f>
        <v>-0.49549725920125298</v>
      </c>
      <c r="M111" s="54">
        <f>L111*'Расчет субсидий'!Q111</f>
        <v>-9.9099451840250588</v>
      </c>
      <c r="N111" s="55">
        <f t="shared" si="29"/>
        <v>-34.724835861393579</v>
      </c>
      <c r="O111" s="54">
        <f>'Расчет субсидий'!T111-1</f>
        <v>2.9411764705882248E-2</v>
      </c>
      <c r="P111" s="54">
        <f>O111*'Расчет субсидий'!U111</f>
        <v>0.58823529411764497</v>
      </c>
      <c r="Q111" s="55">
        <f t="shared" si="30"/>
        <v>2.0611994977571966</v>
      </c>
      <c r="R111" s="54">
        <f>'Расчет субсидий'!X111-1</f>
        <v>0</v>
      </c>
      <c r="S111" s="54">
        <f>R111*'Расчет субсидий'!Y111</f>
        <v>0</v>
      </c>
      <c r="T111" s="55">
        <f t="shared" si="31"/>
        <v>0</v>
      </c>
      <c r="U111" s="54">
        <f t="shared" ref="U111:U173" si="32">D111+M111+P111+S111</f>
        <v>-9.3217098899074138</v>
      </c>
    </row>
    <row r="112" spans="1:21" ht="15" customHeight="1">
      <c r="A112" s="33" t="s">
        <v>111</v>
      </c>
      <c r="B112" s="52">
        <f>'Расчет субсидий'!AD112</f>
        <v>21.818181818181813</v>
      </c>
      <c r="C112" s="54">
        <f>'Расчет субсидий'!D112-1</f>
        <v>-0.15155844155844156</v>
      </c>
      <c r="D112" s="54">
        <f>C112*'Расчет субсидий'!E112</f>
        <v>-1.5155844155844156</v>
      </c>
      <c r="E112" s="55">
        <f t="shared" si="28"/>
        <v>-3.1684767439103094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4">
        <f>'Расчет субсидий'!P112-1</f>
        <v>0.30000000000000004</v>
      </c>
      <c r="M112" s="54">
        <f>L112*'Расчет субсидий'!Q112</f>
        <v>6.0000000000000009</v>
      </c>
      <c r="N112" s="55">
        <f t="shared" si="29"/>
        <v>12.543584024734903</v>
      </c>
      <c r="O112" s="54">
        <f>'Расчет субсидий'!T112-1</f>
        <v>0.19807692307692304</v>
      </c>
      <c r="P112" s="54">
        <f>O112*'Расчет субсидий'!U112</f>
        <v>4.9519230769230758</v>
      </c>
      <c r="Q112" s="55">
        <f t="shared" si="30"/>
        <v>10.352477199901399</v>
      </c>
      <c r="R112" s="54">
        <f>'Расчет субсидий'!X112-1</f>
        <v>4.0000000000000036E-2</v>
      </c>
      <c r="S112" s="54">
        <f>R112*'Расчет субсидий'!Y112</f>
        <v>1.0000000000000009</v>
      </c>
      <c r="T112" s="55">
        <f t="shared" si="31"/>
        <v>2.0905973374558187</v>
      </c>
      <c r="U112" s="54">
        <f t="shared" si="32"/>
        <v>10.436338661338663</v>
      </c>
    </row>
    <row r="113" spans="1:21" ht="15" customHeight="1">
      <c r="A113" s="33" t="s">
        <v>112</v>
      </c>
      <c r="B113" s="52">
        <f>'Расчет субсидий'!AD113</f>
        <v>-39.272727272727252</v>
      </c>
      <c r="C113" s="54">
        <f>'Расчет субсидий'!D113-1</f>
        <v>-0.58171346292296611</v>
      </c>
      <c r="D113" s="54">
        <f>C113*'Расчет субсидий'!E113</f>
        <v>-5.8171346292296615</v>
      </c>
      <c r="E113" s="55">
        <f t="shared" si="28"/>
        <v>-25.707641809861368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4">
        <f>'Расчет субсидий'!P113-1</f>
        <v>-0.1947256259989345</v>
      </c>
      <c r="M113" s="54">
        <f>L113*'Расчет субсидий'!Q113</f>
        <v>-3.8945125199786901</v>
      </c>
      <c r="N113" s="55">
        <f t="shared" si="29"/>
        <v>-17.211004948133894</v>
      </c>
      <c r="O113" s="54">
        <f>'Расчет субсидий'!T113-1</f>
        <v>-0.36</v>
      </c>
      <c r="P113" s="54">
        <f>O113*'Расчет субсидий'!U113</f>
        <v>-7.1999999999999993</v>
      </c>
      <c r="Q113" s="55">
        <f t="shared" si="30"/>
        <v>-31.81893368961158</v>
      </c>
      <c r="R113" s="54">
        <f>'Расчет субсидий'!X113-1</f>
        <v>0.26750000000000007</v>
      </c>
      <c r="S113" s="54">
        <f>R113*'Расчет субсидий'!Y113</f>
        <v>8.0250000000000021</v>
      </c>
      <c r="T113" s="55">
        <f t="shared" si="31"/>
        <v>35.464853174879586</v>
      </c>
      <c r="U113" s="54">
        <f t="shared" si="32"/>
        <v>-8.886647149208347</v>
      </c>
    </row>
    <row r="114" spans="1:21" ht="15" customHeight="1">
      <c r="A114" s="33" t="s">
        <v>113</v>
      </c>
      <c r="B114" s="52">
        <f>'Расчет субсидий'!AD114</f>
        <v>0</v>
      </c>
      <c r="C114" s="54">
        <f>'Расчет субсидий'!D114-1</f>
        <v>0.21585416666666668</v>
      </c>
      <c r="D114" s="54">
        <f>C114*'Расчет субсидий'!E114</f>
        <v>2.1585416666666668</v>
      </c>
      <c r="E114" s="55">
        <f t="shared" si="28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4">
        <f>'Расчет субсидий'!P114-1</f>
        <v>-0.15445923328285638</v>
      </c>
      <c r="M114" s="54">
        <f>L114*'Расчет субсидий'!Q114</f>
        <v>-3.0891846656571276</v>
      </c>
      <c r="N114" s="55">
        <f t="shared" si="29"/>
        <v>0</v>
      </c>
      <c r="O114" s="54">
        <f>'Расчет субсидий'!T114-1</f>
        <v>-1</v>
      </c>
      <c r="P114" s="54">
        <f>O114*'Расчет субсидий'!U114</f>
        <v>0</v>
      </c>
      <c r="Q114" s="55">
        <f t="shared" si="30"/>
        <v>0</v>
      </c>
      <c r="R114" s="54">
        <f>'Расчет субсидий'!X114-1</f>
        <v>-1</v>
      </c>
      <c r="S114" s="54">
        <f>R114*'Расчет субсидий'!Y114</f>
        <v>0</v>
      </c>
      <c r="T114" s="55">
        <f t="shared" si="31"/>
        <v>0</v>
      </c>
      <c r="U114" s="54">
        <f t="shared" si="32"/>
        <v>-0.93064299899046077</v>
      </c>
    </row>
    <row r="115" spans="1:21" ht="15" customHeight="1">
      <c r="A115" s="33" t="s">
        <v>114</v>
      </c>
      <c r="B115" s="52">
        <f>'Расчет субсидий'!AD115</f>
        <v>8.6909090909090878</v>
      </c>
      <c r="C115" s="54">
        <f>'Расчет субсидий'!D115-1</f>
        <v>-0.18276137968838946</v>
      </c>
      <c r="D115" s="54">
        <f>C115*'Расчет субсидий'!E115</f>
        <v>-1.8276137968838946</v>
      </c>
      <c r="E115" s="55">
        <f t="shared" si="28"/>
        <v>-5.564696301419068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4">
        <f>'Расчет субсидий'!P115-1</f>
        <v>0.20076516626769036</v>
      </c>
      <c r="M115" s="54">
        <f>L115*'Расчет субсидий'!Q115</f>
        <v>4.0153033253538073</v>
      </c>
      <c r="N115" s="55">
        <f t="shared" si="29"/>
        <v>12.225746819031862</v>
      </c>
      <c r="O115" s="54">
        <f>'Расчет субсидий'!T115-1</f>
        <v>2.2222222222222143E-2</v>
      </c>
      <c r="P115" s="54">
        <f>O115*'Расчет субсидий'!U115</f>
        <v>0.6666666666666643</v>
      </c>
      <c r="Q115" s="55">
        <f t="shared" si="30"/>
        <v>2.0298585732962939</v>
      </c>
      <c r="R115" s="54">
        <f>'Расчет субсидий'!X115-1</f>
        <v>0</v>
      </c>
      <c r="S115" s="54">
        <f>R115*'Расчет субсидий'!Y115</f>
        <v>0</v>
      </c>
      <c r="T115" s="55">
        <f t="shared" si="31"/>
        <v>0</v>
      </c>
      <c r="U115" s="54">
        <f t="shared" si="32"/>
        <v>2.8543561951365772</v>
      </c>
    </row>
    <row r="116" spans="1:21" ht="15" customHeight="1">
      <c r="A116" s="33" t="s">
        <v>115</v>
      </c>
      <c r="B116" s="52">
        <f>'Расчет субсидий'!AD116</f>
        <v>-10.518181818181802</v>
      </c>
      <c r="C116" s="54">
        <f>'Расчет субсидий'!D116-1</f>
        <v>-0.56676875957120987</v>
      </c>
      <c r="D116" s="54">
        <f>C116*'Расчет субсидий'!E116</f>
        <v>-5.6676875957120991</v>
      </c>
      <c r="E116" s="55">
        <f t="shared" si="28"/>
        <v>-13.790026824720254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4">
        <f>'Расчет субсидий'!P116-1</f>
        <v>6.7236255572065362E-2</v>
      </c>
      <c r="M116" s="54">
        <f>L116*'Расчет субсидий'!Q116</f>
        <v>1.3447251114413072</v>
      </c>
      <c r="N116" s="55">
        <f t="shared" si="29"/>
        <v>3.2718450065384528</v>
      </c>
      <c r="O116" s="54">
        <f>'Расчет субсидий'!T116-1</f>
        <v>-0.30000000000000004</v>
      </c>
      <c r="P116" s="54">
        <f>O116*'Расчет субсидий'!U116</f>
        <v>-7.5000000000000009</v>
      </c>
      <c r="Q116" s="55">
        <f t="shared" si="30"/>
        <v>-18.248218420445134</v>
      </c>
      <c r="R116" s="54">
        <f>'Расчет субсидий'!X116-1</f>
        <v>0.30000000000000004</v>
      </c>
      <c r="S116" s="54">
        <f>R116*'Расчет субсидий'!Y116</f>
        <v>7.5000000000000009</v>
      </c>
      <c r="T116" s="55">
        <f t="shared" si="31"/>
        <v>18.248218420445134</v>
      </c>
      <c r="U116" s="54">
        <f t="shared" si="32"/>
        <v>-4.3229624842707919</v>
      </c>
    </row>
    <row r="117" spans="1:21" ht="15" customHeight="1">
      <c r="A117" s="33" t="s">
        <v>116</v>
      </c>
      <c r="B117" s="52">
        <f>'Расчет субсидий'!AD117</f>
        <v>-38.072727272727292</v>
      </c>
      <c r="C117" s="54">
        <f>'Расчет субсидий'!D117-1</f>
        <v>-0.30173913043478262</v>
      </c>
      <c r="D117" s="54">
        <f>C117*'Расчет субсидий'!E117</f>
        <v>-3.017391304347826</v>
      </c>
      <c r="E117" s="55">
        <f t="shared" si="28"/>
        <v>-7.7487874840166109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4">
        <f>'Расчет субсидий'!P117-1</f>
        <v>-0.62040974101275603</v>
      </c>
      <c r="M117" s="54">
        <f>L117*'Расчет субсидий'!Q117</f>
        <v>-12.408194820255121</v>
      </c>
      <c r="N117" s="55">
        <f t="shared" si="29"/>
        <v>-31.864764965647701</v>
      </c>
      <c r="O117" s="54">
        <f>'Расчет субсидий'!T117-1</f>
        <v>2.0000000000000018E-2</v>
      </c>
      <c r="P117" s="54">
        <f>O117*'Расчет субсидий'!U117</f>
        <v>0.60000000000000053</v>
      </c>
      <c r="Q117" s="55">
        <f t="shared" si="30"/>
        <v>1.5408251769370223</v>
      </c>
      <c r="R117" s="54">
        <f>'Расчет субсидий'!X117-1</f>
        <v>0</v>
      </c>
      <c r="S117" s="54">
        <f>R117*'Расчет субсидий'!Y117</f>
        <v>0</v>
      </c>
      <c r="T117" s="55">
        <f t="shared" si="31"/>
        <v>0</v>
      </c>
      <c r="U117" s="54">
        <f t="shared" si="32"/>
        <v>-14.825586124602946</v>
      </c>
    </row>
    <row r="118" spans="1:21" ht="15" customHeight="1">
      <c r="A118" s="33" t="s">
        <v>117</v>
      </c>
      <c r="B118" s="52">
        <f>'Расчет субсидий'!AD118</f>
        <v>-18.990909090909099</v>
      </c>
      <c r="C118" s="54">
        <f>'Расчет субсидий'!D118-1</f>
        <v>-1</v>
      </c>
      <c r="D118" s="54">
        <f>C118*'Расчет субсидий'!E118</f>
        <v>0</v>
      </c>
      <c r="E118" s="55">
        <f t="shared" si="28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4">
        <f>'Расчет субсидий'!P118-1</f>
        <v>-0.59642461635817123</v>
      </c>
      <c r="M118" s="54">
        <f>L118*'Расчет субсидий'!Q118</f>
        <v>-11.928492327163426</v>
      </c>
      <c r="N118" s="55">
        <f t="shared" si="29"/>
        <v>-22.816446436383348</v>
      </c>
      <c r="O118" s="54">
        <f>'Расчет субсидий'!T118-1</f>
        <v>5.7142857142857162E-2</v>
      </c>
      <c r="P118" s="54">
        <f>O118*'Расчет субсидий'!U118</f>
        <v>1.7142857142857149</v>
      </c>
      <c r="Q118" s="55">
        <f t="shared" si="30"/>
        <v>3.2790320104064987</v>
      </c>
      <c r="R118" s="54">
        <f>'Расчет субсидий'!X118-1</f>
        <v>1.4285714285714235E-2</v>
      </c>
      <c r="S118" s="54">
        <f>R118*'Расчет субсидий'!Y118</f>
        <v>0.2857142857142847</v>
      </c>
      <c r="T118" s="55">
        <f t="shared" si="31"/>
        <v>0.54650533506774757</v>
      </c>
      <c r="U118" s="54">
        <f t="shared" si="32"/>
        <v>-9.9284923271634256</v>
      </c>
    </row>
    <row r="119" spans="1:21" ht="15" customHeight="1">
      <c r="A119" s="33" t="s">
        <v>118</v>
      </c>
      <c r="B119" s="52">
        <f>'Расчет субсидий'!AD119</f>
        <v>-81.281818181818181</v>
      </c>
      <c r="C119" s="54">
        <f>'Расчет субсидий'!D119-1</f>
        <v>0.30000000000000004</v>
      </c>
      <c r="D119" s="54">
        <f>C119*'Расчет субсидий'!E119</f>
        <v>3.0000000000000004</v>
      </c>
      <c r="E119" s="55">
        <f t="shared" si="28"/>
        <v>8.2590081110004654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4">
        <f>'Расчет субсидий'!P119-1</f>
        <v>-0.79240005966587113</v>
      </c>
      <c r="M119" s="54">
        <f>L119*'Расчет субсидий'!Q119</f>
        <v>-15.848001193317423</v>
      </c>
      <c r="N119" s="55">
        <f t="shared" si="29"/>
        <v>-43.629590132917876</v>
      </c>
      <c r="O119" s="54">
        <f>'Расчет субсидий'!T119-1</f>
        <v>7.4999999999998401E-3</v>
      </c>
      <c r="P119" s="54">
        <f>O119*'Расчет субсидий'!U119</f>
        <v>3.7499999999999201E-2</v>
      </c>
      <c r="Q119" s="55">
        <f t="shared" si="30"/>
        <v>0.1032376013875036</v>
      </c>
      <c r="R119" s="54">
        <f>'Расчет субсидий'!X119-1</f>
        <v>-0.37142857142857133</v>
      </c>
      <c r="S119" s="54">
        <f>R119*'Расчет субсидий'!Y119</f>
        <v>-16.714285714285708</v>
      </c>
      <c r="T119" s="55">
        <f t="shared" si="31"/>
        <v>-46.014473761288279</v>
      </c>
      <c r="U119" s="54">
        <f t="shared" si="32"/>
        <v>-29.524786907603129</v>
      </c>
    </row>
    <row r="120" spans="1:21" ht="15" customHeight="1">
      <c r="A120" s="32" t="s">
        <v>119</v>
      </c>
      <c r="B120" s="56"/>
      <c r="C120" s="57"/>
      <c r="D120" s="57"/>
      <c r="E120" s="58"/>
      <c r="F120" s="57"/>
      <c r="G120" s="57"/>
      <c r="H120" s="58"/>
      <c r="I120" s="58"/>
      <c r="J120" s="58"/>
      <c r="K120" s="58"/>
      <c r="L120" s="57"/>
      <c r="M120" s="57"/>
      <c r="N120" s="58"/>
      <c r="O120" s="57"/>
      <c r="P120" s="57"/>
      <c r="Q120" s="58"/>
      <c r="R120" s="57"/>
      <c r="S120" s="57"/>
      <c r="T120" s="58"/>
      <c r="U120" s="58"/>
    </row>
    <row r="121" spans="1:21" ht="15" customHeight="1">
      <c r="A121" s="33" t="s">
        <v>120</v>
      </c>
      <c r="B121" s="52">
        <f>'Расчет субсидий'!AD121</f>
        <v>-9.4454545454545453</v>
      </c>
      <c r="C121" s="54">
        <f>'Расчет субсидий'!D121-1</f>
        <v>-0.40958466453674114</v>
      </c>
      <c r="D121" s="54">
        <f>C121*'Расчет субсидий'!E121</f>
        <v>-4.0958466453674109</v>
      </c>
      <c r="E121" s="55">
        <f t="shared" ref="E121:E127" si="33">$B121*D121/$U121</f>
        <v>-3.2504788517739729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4">
        <f>'Расчет субсидий'!P121-1</f>
        <v>-0.65280665280665284</v>
      </c>
      <c r="M121" s="54">
        <f>L121*'Расчет субсидий'!Q121</f>
        <v>-13.056133056133056</v>
      </c>
      <c r="N121" s="55">
        <f t="shared" ref="N121:N127" si="34">$B121*M121/$U121</f>
        <v>-10.361394861525801</v>
      </c>
      <c r="O121" s="54">
        <f>'Расчет субсидий'!T121-1</f>
        <v>0.20999999999999996</v>
      </c>
      <c r="P121" s="54">
        <f>O121*'Расчет субсидий'!U121</f>
        <v>5.2499999999999991</v>
      </c>
      <c r="Q121" s="55">
        <f t="shared" ref="Q121:Q127" si="35">$B121*P121/$U121</f>
        <v>4.1664191678452269</v>
      </c>
      <c r="R121" s="54">
        <f>'Расчет субсидий'!X121-1</f>
        <v>0</v>
      </c>
      <c r="S121" s="54">
        <f>R121*'Расчет субсидий'!Y121</f>
        <v>0</v>
      </c>
      <c r="T121" s="55">
        <f t="shared" ref="T121:T127" si="36">$B121*S121/$U121</f>
        <v>0</v>
      </c>
      <c r="U121" s="54">
        <f t="shared" si="32"/>
        <v>-11.901979701500466</v>
      </c>
    </row>
    <row r="122" spans="1:21" ht="15" customHeight="1">
      <c r="A122" s="33" t="s">
        <v>121</v>
      </c>
      <c r="B122" s="52">
        <f>'Расчет субсидий'!AD122</f>
        <v>4.1181818181818102</v>
      </c>
      <c r="C122" s="54">
        <f>'Расчет субсидий'!D122-1</f>
        <v>0.21350385480244127</v>
      </c>
      <c r="D122" s="54">
        <f>C122*'Расчет субсидий'!E122</f>
        <v>2.1350385480244127</v>
      </c>
      <c r="E122" s="55">
        <f t="shared" si="33"/>
        <v>1.8309172783214336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4">
        <f>'Расчет субсидий'!P122-1</f>
        <v>-0.29664067186562681</v>
      </c>
      <c r="M122" s="54">
        <f>L122*'Расчет субсидий'!Q122</f>
        <v>-5.9328134373125359</v>
      </c>
      <c r="N122" s="55">
        <f t="shared" si="34"/>
        <v>-5.0877257656468746</v>
      </c>
      <c r="O122" s="54">
        <f>'Расчет субсидий'!T122-1</f>
        <v>0.21999999999999997</v>
      </c>
      <c r="P122" s="54">
        <f>O122*'Расчет субсидий'!U122</f>
        <v>6.6</v>
      </c>
      <c r="Q122" s="55">
        <f t="shared" si="35"/>
        <v>5.6598762809706837</v>
      </c>
      <c r="R122" s="54">
        <f>'Расчет субсидий'!X122-1</f>
        <v>9.9999999999999867E-2</v>
      </c>
      <c r="S122" s="54">
        <f>R122*'Расчет субсидий'!Y122</f>
        <v>1.9999999999999973</v>
      </c>
      <c r="T122" s="55">
        <f t="shared" si="36"/>
        <v>1.7151140245365686</v>
      </c>
      <c r="U122" s="54">
        <f t="shared" si="32"/>
        <v>4.8022251107118734</v>
      </c>
    </row>
    <row r="123" spans="1:21" ht="15" customHeight="1">
      <c r="A123" s="33" t="s">
        <v>122</v>
      </c>
      <c r="B123" s="52">
        <f>'Расчет субсидий'!AD123</f>
        <v>-5.7909090909090963</v>
      </c>
      <c r="C123" s="54">
        <f>'Расчет субсидий'!D123-1</f>
        <v>-0.39591836734693875</v>
      </c>
      <c r="D123" s="54">
        <f>C123*'Расчет субсидий'!E123</f>
        <v>-3.9591836734693873</v>
      </c>
      <c r="E123" s="55">
        <f t="shared" si="33"/>
        <v>-3.8646039267371703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4">
        <f>'Расчет субсидий'!P123-1</f>
        <v>-0.41517241379310343</v>
      </c>
      <c r="M123" s="54">
        <f>L123*'Расчет субсидий'!Q123</f>
        <v>-8.3034482758620687</v>
      </c>
      <c r="N123" s="55">
        <f t="shared" si="34"/>
        <v>-8.1050897000279445</v>
      </c>
      <c r="O123" s="54">
        <f>'Расчет субсидий'!T123-1</f>
        <v>7.2000000000000064E-2</v>
      </c>
      <c r="P123" s="54">
        <f>O123*'Расчет субсидий'!U123</f>
        <v>1.080000000000001</v>
      </c>
      <c r="Q123" s="55">
        <f t="shared" si="35"/>
        <v>1.0542002051697488</v>
      </c>
      <c r="R123" s="54">
        <f>'Расчет субсидий'!X123-1</f>
        <v>0.14999999999999991</v>
      </c>
      <c r="S123" s="54">
        <f>R123*'Расчет субсидий'!Y123</f>
        <v>5.2499999999999964</v>
      </c>
      <c r="T123" s="55">
        <f t="shared" si="36"/>
        <v>5.12458433068627</v>
      </c>
      <c r="U123" s="54">
        <f t="shared" si="32"/>
        <v>-5.9326319493314585</v>
      </c>
    </row>
    <row r="124" spans="1:21" ht="15" customHeight="1">
      <c r="A124" s="33" t="s">
        <v>123</v>
      </c>
      <c r="B124" s="52">
        <f>'Расчет субсидий'!AD124</f>
        <v>1.172727272727272</v>
      </c>
      <c r="C124" s="54">
        <f>'Расчет субсидий'!D124-1</f>
        <v>-0.43841059602649013</v>
      </c>
      <c r="D124" s="54">
        <f>C124*'Расчет субсидий'!E124</f>
        <v>-4.3841059602649013</v>
      </c>
      <c r="E124" s="55">
        <f t="shared" si="33"/>
        <v>-4.4488376755883658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4">
        <f>'Расчет субсидий'!P124-1</f>
        <v>-9.6088435374149683E-2</v>
      </c>
      <c r="M124" s="54">
        <f>L124*'Расчет субсидий'!Q124</f>
        <v>-1.9217687074829937</v>
      </c>
      <c r="N124" s="55">
        <f t="shared" si="34"/>
        <v>-1.9501437937646251</v>
      </c>
      <c r="O124" s="54">
        <f>'Расчет субсидий'!T124-1</f>
        <v>0.14871794871794863</v>
      </c>
      <c r="P124" s="54">
        <f>O124*'Расчет субсидий'!U124</f>
        <v>4.461538461538459</v>
      </c>
      <c r="Q124" s="55">
        <f t="shared" si="35"/>
        <v>4.5274134746459307</v>
      </c>
      <c r="R124" s="54">
        <f>'Расчет субсидий'!X124-1</f>
        <v>0.14999999999999991</v>
      </c>
      <c r="S124" s="54">
        <f>R124*'Расчет субсидий'!Y124</f>
        <v>2.9999999999999982</v>
      </c>
      <c r="T124" s="55">
        <f t="shared" si="36"/>
        <v>3.0442952674343324</v>
      </c>
      <c r="U124" s="54">
        <f t="shared" si="32"/>
        <v>1.1556637937905618</v>
      </c>
    </row>
    <row r="125" spans="1:21" ht="15" customHeight="1">
      <c r="A125" s="33" t="s">
        <v>124</v>
      </c>
      <c r="B125" s="52">
        <f>'Расчет субсидий'!AD125</f>
        <v>7.8818181818181827</v>
      </c>
      <c r="C125" s="54">
        <f>'Расчет субсидий'!D125-1</f>
        <v>0.30000000000000004</v>
      </c>
      <c r="D125" s="54">
        <f>C125*'Расчет субсидий'!E125</f>
        <v>3.0000000000000004</v>
      </c>
      <c r="E125" s="55">
        <f t="shared" si="33"/>
        <v>2.1704812472625843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4">
        <f>'Расчет субсидий'!P125-1</f>
        <v>0.11970534069981587</v>
      </c>
      <c r="M125" s="54">
        <f>L125*'Расчет субсидий'!Q125</f>
        <v>2.3941068139963173</v>
      </c>
      <c r="N125" s="55">
        <f t="shared" si="34"/>
        <v>1.7321213145741927</v>
      </c>
      <c r="O125" s="54">
        <f>'Расчет субсидий'!T125-1</f>
        <v>5.0000000000000044E-2</v>
      </c>
      <c r="P125" s="54">
        <f>O125*'Расчет субсидий'!U125</f>
        <v>1.5000000000000013</v>
      </c>
      <c r="Q125" s="55">
        <f t="shared" si="35"/>
        <v>1.085240623631293</v>
      </c>
      <c r="R125" s="54">
        <f>'Расчет субсидий'!X125-1</f>
        <v>0.19999999999999996</v>
      </c>
      <c r="S125" s="54">
        <f>R125*'Расчет субсидий'!Y125</f>
        <v>3.9999999999999991</v>
      </c>
      <c r="T125" s="55">
        <f t="shared" si="36"/>
        <v>2.8939749963501114</v>
      </c>
      <c r="U125" s="54">
        <f t="shared" si="32"/>
        <v>10.89410681399632</v>
      </c>
    </row>
    <row r="126" spans="1:21" ht="15" customHeight="1">
      <c r="A126" s="33" t="s">
        <v>125</v>
      </c>
      <c r="B126" s="52">
        <f>'Расчет субсидий'!AD126</f>
        <v>6.5727272727272634</v>
      </c>
      <c r="C126" s="54">
        <f>'Расчет субсидий'!D126-1</f>
        <v>-0.26666666666666661</v>
      </c>
      <c r="D126" s="54">
        <f>C126*'Расчет субсидий'!E126</f>
        <v>-2.6666666666666661</v>
      </c>
      <c r="E126" s="55">
        <f t="shared" si="33"/>
        <v>-2.943982316328309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4">
        <f>'Расчет субсидий'!P126-1</f>
        <v>0.21701298701298688</v>
      </c>
      <c r="M126" s="54">
        <f>L126*'Расчет субсидий'!Q126</f>
        <v>4.3402597402597376</v>
      </c>
      <c r="N126" s="55">
        <f t="shared" si="34"/>
        <v>4.7916179713486384</v>
      </c>
      <c r="O126" s="54">
        <f>'Расчет субсидий'!T126-1</f>
        <v>7.5999999999999845E-2</v>
      </c>
      <c r="P126" s="54">
        <f>O126*'Расчет субсидий'!U126</f>
        <v>2.2799999999999954</v>
      </c>
      <c r="Q126" s="55">
        <f t="shared" si="35"/>
        <v>2.5171048804606992</v>
      </c>
      <c r="R126" s="54">
        <f>'Расчет субсидий'!X126-1</f>
        <v>0.10000000000000009</v>
      </c>
      <c r="S126" s="54">
        <f>R126*'Расчет субсидий'!Y126</f>
        <v>2.0000000000000018</v>
      </c>
      <c r="T126" s="55">
        <f t="shared" si="36"/>
        <v>2.2079867372462343</v>
      </c>
      <c r="U126" s="54">
        <f t="shared" si="32"/>
        <v>5.9535930735930691</v>
      </c>
    </row>
    <row r="127" spans="1:21" ht="15" customHeight="1">
      <c r="A127" s="33" t="s">
        <v>126</v>
      </c>
      <c r="B127" s="52">
        <f>'Расчет субсидий'!AD127</f>
        <v>5.8727272727272677</v>
      </c>
      <c r="C127" s="54">
        <f>'Расчет субсидий'!D127-1</f>
        <v>-0.17177419354838708</v>
      </c>
      <c r="D127" s="54">
        <f>C127*'Расчет субсидий'!E127</f>
        <v>-1.7177419354838708</v>
      </c>
      <c r="E127" s="55">
        <f t="shared" si="33"/>
        <v>-1.3546054447859528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4">
        <f>'Расчет субсидий'!P127-1</f>
        <v>-2.2441651705565557E-2</v>
      </c>
      <c r="M127" s="54">
        <f>L127*'Расчет субсидий'!Q127</f>
        <v>-0.44883303411131115</v>
      </c>
      <c r="N127" s="55">
        <f t="shared" si="34"/>
        <v>-0.35394820330547277</v>
      </c>
      <c r="O127" s="54">
        <f>'Расчет субсидий'!T127-1</f>
        <v>0.2318181818181817</v>
      </c>
      <c r="P127" s="54">
        <f>O127*'Расчет субсидий'!U127</f>
        <v>8.1136363636363598</v>
      </c>
      <c r="Q127" s="55">
        <f t="shared" si="35"/>
        <v>6.3983860253718037</v>
      </c>
      <c r="R127" s="54">
        <f>'Расчет субсидий'!X127-1</f>
        <v>0.10000000000000009</v>
      </c>
      <c r="S127" s="54">
        <f>R127*'Расчет субсидий'!Y127</f>
        <v>1.5000000000000013</v>
      </c>
      <c r="T127" s="55">
        <f t="shared" si="36"/>
        <v>1.1828948954468894</v>
      </c>
      <c r="U127" s="54">
        <f t="shared" si="32"/>
        <v>7.4470613940411798</v>
      </c>
    </row>
    <row r="128" spans="1:21" ht="15" customHeight="1">
      <c r="A128" s="32" t="s">
        <v>127</v>
      </c>
      <c r="B128" s="56"/>
      <c r="C128" s="57"/>
      <c r="D128" s="57"/>
      <c r="E128" s="58"/>
      <c r="F128" s="57"/>
      <c r="G128" s="57"/>
      <c r="H128" s="58"/>
      <c r="I128" s="58"/>
      <c r="J128" s="58"/>
      <c r="K128" s="58"/>
      <c r="L128" s="57"/>
      <c r="M128" s="57"/>
      <c r="N128" s="58"/>
      <c r="O128" s="57"/>
      <c r="P128" s="57"/>
      <c r="Q128" s="58"/>
      <c r="R128" s="57"/>
      <c r="S128" s="57"/>
      <c r="T128" s="58"/>
      <c r="U128" s="58"/>
    </row>
    <row r="129" spans="1:21" ht="15" customHeight="1">
      <c r="A129" s="33" t="s">
        <v>128</v>
      </c>
      <c r="B129" s="52">
        <f>'Расчет субсидий'!AD129</f>
        <v>-2.3090909090909122</v>
      </c>
      <c r="C129" s="54">
        <f>'Расчет субсидий'!D129-1</f>
        <v>-0.12309368191721137</v>
      </c>
      <c r="D129" s="54">
        <f>C129*'Расчет субсидий'!E129</f>
        <v>-1.2309368191721137</v>
      </c>
      <c r="E129" s="55">
        <f t="shared" ref="E129:E136" si="37">$B129*D129/$U129</f>
        <v>-1.0919344235053217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4">
        <f>'Расчет субсидий'!P129-1</f>
        <v>0.26894080996884728</v>
      </c>
      <c r="M129" s="54">
        <f>L129*'Расчет субсидий'!Q129</f>
        <v>5.3788161993769457</v>
      </c>
      <c r="N129" s="55">
        <f t="shared" ref="N129:N136" si="38">$B129*M129/$U129</f>
        <v>4.7714183817800988</v>
      </c>
      <c r="O129" s="54">
        <f>'Расчет субсидий'!T129-1</f>
        <v>0.12735042735042734</v>
      </c>
      <c r="P129" s="54">
        <f>O129*'Расчет субсидий'!U129</f>
        <v>3.8205128205128203</v>
      </c>
      <c r="Q129" s="55">
        <f t="shared" ref="Q129:Q136" si="39">$B129*P129/$U129</f>
        <v>3.3890849629204638</v>
      </c>
      <c r="R129" s="54">
        <f>'Расчет субсидий'!X129-1</f>
        <v>-0.52857142857142858</v>
      </c>
      <c r="S129" s="54">
        <f>R129*'Расчет субсидий'!Y129</f>
        <v>-10.571428571428571</v>
      </c>
      <c r="T129" s="55">
        <f t="shared" ref="T129:T136" si="40">$B129*S129/$U129</f>
        <v>-9.377659830286154</v>
      </c>
      <c r="U129" s="54">
        <f t="shared" si="32"/>
        <v>-2.6030363707109192</v>
      </c>
    </row>
    <row r="130" spans="1:21" ht="15" customHeight="1">
      <c r="A130" s="33" t="s">
        <v>129</v>
      </c>
      <c r="B130" s="52">
        <f>'Расчет субсидий'!AD130</f>
        <v>1.2727272727272663</v>
      </c>
      <c r="C130" s="54">
        <f>'Расчет субсидий'!D130-1</f>
        <v>-1</v>
      </c>
      <c r="D130" s="54">
        <f>C130*'Расчет субсидий'!E130</f>
        <v>0</v>
      </c>
      <c r="E130" s="55">
        <f t="shared" si="37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4">
        <f>'Расчет субсидий'!P130-1</f>
        <v>-7.3059360730593492E-2</v>
      </c>
      <c r="M130" s="54">
        <f>L130*'Расчет субсидий'!Q130</f>
        <v>-1.4611872146118698</v>
      </c>
      <c r="N130" s="55">
        <f t="shared" si="38"/>
        <v>-2.4225508537058169</v>
      </c>
      <c r="O130" s="54">
        <f>'Расчет субсидий'!T130-1</f>
        <v>3.8461538461538325E-3</v>
      </c>
      <c r="P130" s="54">
        <f>O130*'Расчет субсидий'!U130</f>
        <v>0.1538461538461533</v>
      </c>
      <c r="Q130" s="55">
        <f t="shared" si="39"/>
        <v>0.25506665238537157</v>
      </c>
      <c r="R130" s="54">
        <f>'Расчет субсидий'!X130-1</f>
        <v>0.20750000000000002</v>
      </c>
      <c r="S130" s="54">
        <f>R130*'Расчет субсидий'!Y130</f>
        <v>2.0750000000000002</v>
      </c>
      <c r="T130" s="55">
        <f t="shared" si="40"/>
        <v>3.4402114740477119</v>
      </c>
      <c r="U130" s="54">
        <f t="shared" si="32"/>
        <v>0.76765893923428363</v>
      </c>
    </row>
    <row r="131" spans="1:21" ht="15" customHeight="1">
      <c r="A131" s="33" t="s">
        <v>130</v>
      </c>
      <c r="B131" s="52">
        <f>'Расчет субсидий'!AD131</f>
        <v>-3.7090909090909037</v>
      </c>
      <c r="C131" s="54">
        <f>'Расчет субсидий'!D131-1</f>
        <v>0.1676219089438411</v>
      </c>
      <c r="D131" s="54">
        <f>C131*'Расчет субсидий'!E131</f>
        <v>1.676219089438411</v>
      </c>
      <c r="E131" s="55">
        <f t="shared" si="37"/>
        <v>2.7537800751306438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4">
        <f>'Расчет субсидий'!P131-1</f>
        <v>-0.40203000882612527</v>
      </c>
      <c r="M131" s="54">
        <f>L131*'Расчет субсидий'!Q131</f>
        <v>-8.0406001765225064</v>
      </c>
      <c r="N131" s="55">
        <f t="shared" si="38"/>
        <v>-13.209517000321201</v>
      </c>
      <c r="O131" s="54">
        <f>'Расчет субсидий'!T131-1</f>
        <v>5.3333333333334121E-3</v>
      </c>
      <c r="P131" s="54">
        <f>O131*'Расчет субсидий'!U131</f>
        <v>0.10666666666666824</v>
      </c>
      <c r="Q131" s="55">
        <f t="shared" si="39"/>
        <v>0.17523755885973383</v>
      </c>
      <c r="R131" s="54">
        <f>'Расчет субсидий'!X131-1</f>
        <v>0.1333333333333333</v>
      </c>
      <c r="S131" s="54">
        <f>R131*'Расчет субсидий'!Y131</f>
        <v>3.9999999999999991</v>
      </c>
      <c r="T131" s="55">
        <f t="shared" si="40"/>
        <v>6.5714084572399205</v>
      </c>
      <c r="U131" s="54">
        <f t="shared" si="32"/>
        <v>-2.257714420417428</v>
      </c>
    </row>
    <row r="132" spans="1:21" ht="15" customHeight="1">
      <c r="A132" s="33" t="s">
        <v>131</v>
      </c>
      <c r="B132" s="52">
        <f>'Расчет субсидий'!AD132</f>
        <v>-15.900000000000006</v>
      </c>
      <c r="C132" s="54">
        <f>'Расчет субсидий'!D132-1</f>
        <v>-1</v>
      </c>
      <c r="D132" s="54">
        <f>C132*'Расчет субсидий'!E132</f>
        <v>0</v>
      </c>
      <c r="E132" s="55">
        <f t="shared" si="37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4">
        <f>'Расчет субсидий'!P132-1</f>
        <v>-0.32093517534537719</v>
      </c>
      <c r="M132" s="54">
        <f>L132*'Расчет субсидий'!Q132</f>
        <v>-6.4187035069075442</v>
      </c>
      <c r="N132" s="55">
        <f t="shared" si="38"/>
        <v>-14.110068272614324</v>
      </c>
      <c r="O132" s="54">
        <f>'Расчет субсидий'!T132-1</f>
        <v>-0.14883720930232558</v>
      </c>
      <c r="P132" s="54">
        <f>O132*'Расчет субсидий'!U132</f>
        <v>-2.9767441860465116</v>
      </c>
      <c r="Q132" s="55">
        <f t="shared" si="39"/>
        <v>-6.5436989962261292</v>
      </c>
      <c r="R132" s="54">
        <f>'Расчет субсидий'!X132-1</f>
        <v>0.21625000000000005</v>
      </c>
      <c r="S132" s="54">
        <f>R132*'Расчет субсидий'!Y132</f>
        <v>2.1625000000000005</v>
      </c>
      <c r="T132" s="55">
        <f t="shared" si="40"/>
        <v>4.7537672688404484</v>
      </c>
      <c r="U132" s="54">
        <f t="shared" si="32"/>
        <v>-7.2329476929540553</v>
      </c>
    </row>
    <row r="133" spans="1:21" ht="15" customHeight="1">
      <c r="A133" s="33" t="s">
        <v>132</v>
      </c>
      <c r="B133" s="52">
        <f>'Расчет субсидий'!AD133</f>
        <v>37.745454545454521</v>
      </c>
      <c r="C133" s="54">
        <f>'Расчет субсидий'!D133-1</f>
        <v>-1</v>
      </c>
      <c r="D133" s="54">
        <f>C133*'Расчет субсидий'!E133</f>
        <v>0</v>
      </c>
      <c r="E133" s="55">
        <f t="shared" si="37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4">
        <f>'Расчет субсидий'!P133-1</f>
        <v>0.30000000000000004</v>
      </c>
      <c r="M133" s="54">
        <f>L133*'Расчет субсидий'!Q133</f>
        <v>6.0000000000000009</v>
      </c>
      <c r="N133" s="55">
        <f t="shared" si="38"/>
        <v>14.882321124395533</v>
      </c>
      <c r="O133" s="54">
        <f>'Расчет субсидий'!T133-1</f>
        <v>0.16621621621621618</v>
      </c>
      <c r="P133" s="54">
        <f>O133*'Расчет субсидий'!U133</f>
        <v>5.8175675675675667</v>
      </c>
      <c r="Q133" s="55">
        <f t="shared" si="39"/>
        <v>14.429818117234854</v>
      </c>
      <c r="R133" s="54">
        <f>'Расчет субсидий'!X133-1</f>
        <v>0.22666666666666657</v>
      </c>
      <c r="S133" s="54">
        <f>R133*'Расчет субсидий'!Y133</f>
        <v>3.3999999999999986</v>
      </c>
      <c r="T133" s="55">
        <f t="shared" si="40"/>
        <v>8.4333153038241306</v>
      </c>
      <c r="U133" s="54">
        <f t="shared" si="32"/>
        <v>15.217567567567567</v>
      </c>
    </row>
    <row r="134" spans="1:21" ht="15" customHeight="1">
      <c r="A134" s="33" t="s">
        <v>133</v>
      </c>
      <c r="B134" s="52">
        <f>'Расчет субсидий'!AD134</f>
        <v>3.7454545454545496</v>
      </c>
      <c r="C134" s="54">
        <f>'Расчет субсидий'!D134-1</f>
        <v>-0.244140625</v>
      </c>
      <c r="D134" s="54">
        <f>C134*'Расчет субсидий'!E134</f>
        <v>-2.44140625</v>
      </c>
      <c r="E134" s="55">
        <f t="shared" si="37"/>
        <v>-1.7139545424900229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4">
        <f>'Расчет субсидий'!P134-1</f>
        <v>0.20572815533980582</v>
      </c>
      <c r="M134" s="54">
        <f>L134*'Расчет субсидий'!Q134</f>
        <v>4.1145631067961164</v>
      </c>
      <c r="N134" s="55">
        <f t="shared" si="38"/>
        <v>2.8885705225236742</v>
      </c>
      <c r="O134" s="54">
        <f>'Расчет субсидий'!T134-1</f>
        <v>6.5326633165829762E-3</v>
      </c>
      <c r="P134" s="54">
        <f>O134*'Расчет субсидий'!U134</f>
        <v>0.22864321608040417</v>
      </c>
      <c r="Q134" s="55">
        <f t="shared" si="39"/>
        <v>0.16051571868079575</v>
      </c>
      <c r="R134" s="54">
        <f>'Расчет субсидий'!X134-1</f>
        <v>0.22888888888888892</v>
      </c>
      <c r="S134" s="54">
        <f>R134*'Расчет субсидий'!Y134</f>
        <v>3.4333333333333336</v>
      </c>
      <c r="T134" s="55">
        <f t="shared" si="40"/>
        <v>2.4103228467401023</v>
      </c>
      <c r="U134" s="54">
        <f t="shared" si="32"/>
        <v>5.3351334062098541</v>
      </c>
    </row>
    <row r="135" spans="1:21" ht="15" customHeight="1">
      <c r="A135" s="33" t="s">
        <v>134</v>
      </c>
      <c r="B135" s="52">
        <f>'Расчет субсидий'!AD135</f>
        <v>-15.990909090909099</v>
      </c>
      <c r="C135" s="54">
        <f>'Расчет субсидий'!D135-1</f>
        <v>-1</v>
      </c>
      <c r="D135" s="54">
        <f>C135*'Расчет субсидий'!E135</f>
        <v>0</v>
      </c>
      <c r="E135" s="55">
        <f t="shared" si="37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4">
        <f>'Расчет субсидий'!P135-1</f>
        <v>-0.54188409777533653</v>
      </c>
      <c r="M135" s="54">
        <f>L135*'Расчет субсидий'!Q135</f>
        <v>-10.837681955506731</v>
      </c>
      <c r="N135" s="55">
        <f t="shared" si="38"/>
        <v>-17.075320906503087</v>
      </c>
      <c r="O135" s="54">
        <f>'Расчет субсидий'!T135-1</f>
        <v>1.6368286445012759E-2</v>
      </c>
      <c r="P135" s="54">
        <f>O135*'Расчет субсидий'!U135</f>
        <v>0.57289002557544655</v>
      </c>
      <c r="Q135" s="55">
        <f t="shared" si="39"/>
        <v>0.90261746663132503</v>
      </c>
      <c r="R135" s="54">
        <f>'Расчет субсидий'!X135-1</f>
        <v>7.692307692307665E-3</v>
      </c>
      <c r="S135" s="54">
        <f>R135*'Расчет субсидий'!Y135</f>
        <v>0.11538461538461497</v>
      </c>
      <c r="T135" s="55">
        <f t="shared" si="40"/>
        <v>0.18179434896266181</v>
      </c>
      <c r="U135" s="54">
        <f t="shared" si="32"/>
        <v>-10.14940731454667</v>
      </c>
    </row>
    <row r="136" spans="1:21" ht="15" customHeight="1">
      <c r="A136" s="33" t="s">
        <v>135</v>
      </c>
      <c r="B136" s="52">
        <f>'Расчет субсидий'!AD136</f>
        <v>-9.8909090909090907</v>
      </c>
      <c r="C136" s="54">
        <f>'Расчет субсидий'!D136-1</f>
        <v>-1</v>
      </c>
      <c r="D136" s="54">
        <f>C136*'Расчет субсидий'!E136</f>
        <v>0</v>
      </c>
      <c r="E136" s="55">
        <f t="shared" si="37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4">
        <f>'Расчет субсидий'!P136-1</f>
        <v>-0.47479423868312765</v>
      </c>
      <c r="M136" s="54">
        <f>L136*'Расчет субсидий'!Q136</f>
        <v>-9.4958847736625529</v>
      </c>
      <c r="N136" s="55">
        <f t="shared" si="38"/>
        <v>-8.4141097612065341</v>
      </c>
      <c r="O136" s="54">
        <f>'Расчет субсидий'!T136-1</f>
        <v>-6.6666666666666763E-2</v>
      </c>
      <c r="P136" s="54">
        <f>O136*'Расчет субсидий'!U136</f>
        <v>-1.6666666666666692</v>
      </c>
      <c r="Q136" s="55">
        <f t="shared" si="39"/>
        <v>-1.476799329702557</v>
      </c>
      <c r="R136" s="54">
        <f>'Расчет субсидий'!X136-1</f>
        <v>0</v>
      </c>
      <c r="S136" s="54">
        <f>R136*'Расчет субсидий'!Y136</f>
        <v>0</v>
      </c>
      <c r="T136" s="55">
        <f t="shared" si="40"/>
        <v>0</v>
      </c>
      <c r="U136" s="54">
        <f t="shared" si="32"/>
        <v>-11.162551440329223</v>
      </c>
    </row>
    <row r="137" spans="1:21" ht="15" customHeight="1">
      <c r="A137" s="32" t="s">
        <v>136</v>
      </c>
      <c r="B137" s="56"/>
      <c r="C137" s="57"/>
      <c r="D137" s="57"/>
      <c r="E137" s="58"/>
      <c r="F137" s="57"/>
      <c r="G137" s="57"/>
      <c r="H137" s="58"/>
      <c r="I137" s="58"/>
      <c r="J137" s="58"/>
      <c r="K137" s="58"/>
      <c r="L137" s="57"/>
      <c r="M137" s="57"/>
      <c r="N137" s="58"/>
      <c r="O137" s="57"/>
      <c r="P137" s="57"/>
      <c r="Q137" s="58"/>
      <c r="R137" s="57"/>
      <c r="S137" s="57"/>
      <c r="T137" s="58"/>
      <c r="U137" s="58"/>
    </row>
    <row r="138" spans="1:21" ht="15" customHeight="1">
      <c r="A138" s="33" t="s">
        <v>137</v>
      </c>
      <c r="B138" s="52">
        <f>'Расчет субсидий'!AD138</f>
        <v>3.3090909090909122</v>
      </c>
      <c r="C138" s="54">
        <f>'Расчет субсидий'!D138-1</f>
        <v>-1</v>
      </c>
      <c r="D138" s="54">
        <f>C138*'Расчет субсидий'!E138</f>
        <v>0</v>
      </c>
      <c r="E138" s="55">
        <f t="shared" ref="E138:E143" si="41">$B138*D138/$U138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4">
        <f>'Расчет субсидий'!P138-1</f>
        <v>0.30000000000000004</v>
      </c>
      <c r="M138" s="54">
        <f>L138*'Расчет субсидий'!Q138</f>
        <v>6.0000000000000009</v>
      </c>
      <c r="N138" s="55">
        <f t="shared" ref="N138:N143" si="42">$B138*M138/$U138</f>
        <v>7.4454545454545489</v>
      </c>
      <c r="O138" s="54">
        <f>'Расчет субсидий'!T138-1</f>
        <v>0</v>
      </c>
      <c r="P138" s="54">
        <f>O138*'Расчет субсидий'!U138</f>
        <v>0</v>
      </c>
      <c r="Q138" s="55">
        <f t="shared" ref="Q138:Q143" si="43">$B138*P138/$U138</f>
        <v>0</v>
      </c>
      <c r="R138" s="54">
        <f>'Расчет субсидий'!X138-1</f>
        <v>-0.16666666666666663</v>
      </c>
      <c r="S138" s="54">
        <f>R138*'Расчет субсидий'!Y138</f>
        <v>-3.3333333333333326</v>
      </c>
      <c r="T138" s="55">
        <f t="shared" ref="T138:T143" si="44">$B138*S138/$U138</f>
        <v>-4.1363636363636367</v>
      </c>
      <c r="U138" s="54">
        <f t="shared" si="32"/>
        <v>2.6666666666666683</v>
      </c>
    </row>
    <row r="139" spans="1:21" ht="15" customHeight="1">
      <c r="A139" s="33" t="s">
        <v>138</v>
      </c>
      <c r="B139" s="52">
        <f>'Расчет субсидий'!AD139</f>
        <v>-18.527272727272731</v>
      </c>
      <c r="C139" s="54">
        <f>'Расчет субсидий'!D139-1</f>
        <v>-1</v>
      </c>
      <c r="D139" s="54">
        <f>C139*'Расчет субсидий'!E139</f>
        <v>0</v>
      </c>
      <c r="E139" s="55">
        <f t="shared" si="41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4">
        <f>'Расчет субсидий'!P139-1</f>
        <v>-0.80841799709724238</v>
      </c>
      <c r="M139" s="54">
        <f>L139*'Расчет субсидий'!Q139</f>
        <v>-16.168359941944846</v>
      </c>
      <c r="N139" s="55">
        <f t="shared" si="42"/>
        <v>-22.748133823632561</v>
      </c>
      <c r="O139" s="54">
        <f>'Расчет субсидий'!T139-1</f>
        <v>0</v>
      </c>
      <c r="P139" s="54">
        <f>O139*'Расчет субсидий'!U139</f>
        <v>0</v>
      </c>
      <c r="Q139" s="55">
        <f t="shared" si="43"/>
        <v>0</v>
      </c>
      <c r="R139" s="54">
        <f>'Расчет субсидий'!X139-1</f>
        <v>0.19999999999999996</v>
      </c>
      <c r="S139" s="54">
        <f>R139*'Расчет субсидий'!Y139</f>
        <v>2.9999999999999991</v>
      </c>
      <c r="T139" s="55">
        <f t="shared" si="44"/>
        <v>4.2208610963598288</v>
      </c>
      <c r="U139" s="54">
        <f t="shared" si="32"/>
        <v>-13.168359941944846</v>
      </c>
    </row>
    <row r="140" spans="1:21" ht="15" customHeight="1">
      <c r="A140" s="33" t="s">
        <v>139</v>
      </c>
      <c r="B140" s="52">
        <f>'Расчет субсидий'!AD140</f>
        <v>10.26363636363638</v>
      </c>
      <c r="C140" s="54">
        <f>'Расчет субсидий'!D140-1</f>
        <v>-1</v>
      </c>
      <c r="D140" s="54">
        <f>C140*'Расчет субсидий'!E140</f>
        <v>0</v>
      </c>
      <c r="E140" s="55">
        <f t="shared" si="41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4">
        <f>'Расчет субсидий'!P140-1</f>
        <v>0.2259302325581396</v>
      </c>
      <c r="M140" s="54">
        <f>L140*'Расчет субсидий'!Q140</f>
        <v>4.518604651162792</v>
      </c>
      <c r="N140" s="55">
        <f t="shared" si="42"/>
        <v>9.31244624121166</v>
      </c>
      <c r="O140" s="54">
        <f>'Расчет субсидий'!T140-1</f>
        <v>1.538461538461533E-2</v>
      </c>
      <c r="P140" s="54">
        <f>O140*'Расчет субсидий'!U140</f>
        <v>0.4615384615384599</v>
      </c>
      <c r="Q140" s="55">
        <f t="shared" si="43"/>
        <v>0.95119012242471956</v>
      </c>
      <c r="R140" s="54">
        <f>'Расчет субсидий'!X140-1</f>
        <v>0</v>
      </c>
      <c r="S140" s="54">
        <f>R140*'Расчет субсидий'!Y140</f>
        <v>0</v>
      </c>
      <c r="T140" s="55">
        <f t="shared" si="44"/>
        <v>0</v>
      </c>
      <c r="U140" s="54">
        <f t="shared" si="32"/>
        <v>4.9801431127012519</v>
      </c>
    </row>
    <row r="141" spans="1:21" ht="15" customHeight="1">
      <c r="A141" s="33" t="s">
        <v>140</v>
      </c>
      <c r="B141" s="52">
        <f>'Расчет субсидий'!AD141</f>
        <v>-13.281818181818181</v>
      </c>
      <c r="C141" s="54">
        <f>'Расчет субсидий'!D141-1</f>
        <v>-4.9893325205729866E-2</v>
      </c>
      <c r="D141" s="54">
        <f>C141*'Расчет субсидий'!E141</f>
        <v>-0.49893325205729866</v>
      </c>
      <c r="E141" s="55">
        <f t="shared" si="41"/>
        <v>-0.90237857870780669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4">
        <f>'Расчет субсидий'!P141-1</f>
        <v>-0.21723518850987433</v>
      </c>
      <c r="M141" s="54">
        <f>L141*'Расчет субсидий'!Q141</f>
        <v>-4.3447037701974871</v>
      </c>
      <c r="N141" s="55">
        <f t="shared" si="42"/>
        <v>-7.8579000234825207</v>
      </c>
      <c r="O141" s="54">
        <f>'Расчет субсидий'!T141-1</f>
        <v>-0.125</v>
      </c>
      <c r="P141" s="54">
        <f>O141*'Расчет субсидий'!U141</f>
        <v>-2.5</v>
      </c>
      <c r="Q141" s="55">
        <f t="shared" si="43"/>
        <v>-4.5215395796278548</v>
      </c>
      <c r="R141" s="54">
        <f>'Расчет субсидий'!X141-1</f>
        <v>0</v>
      </c>
      <c r="S141" s="54">
        <f>R141*'Расчет субсидий'!Y141</f>
        <v>0</v>
      </c>
      <c r="T141" s="55">
        <f t="shared" si="44"/>
        <v>0</v>
      </c>
      <c r="U141" s="54">
        <f t="shared" si="32"/>
        <v>-7.3436370222547858</v>
      </c>
    </row>
    <row r="142" spans="1:21" ht="15" customHeight="1">
      <c r="A142" s="33" t="s">
        <v>141</v>
      </c>
      <c r="B142" s="52">
        <f>'Расчет субсидий'!AD142</f>
        <v>1.8727272727272748</v>
      </c>
      <c r="C142" s="54">
        <f>'Расчет субсидий'!D142-1</f>
        <v>6.5789473684210176E-3</v>
      </c>
      <c r="D142" s="54">
        <f>C142*'Расчет субсидий'!E142</f>
        <v>6.5789473684210176E-2</v>
      </c>
      <c r="E142" s="55">
        <f t="shared" si="41"/>
        <v>1.184673332652339E-2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4">
        <f>'Расчет субсидий'!P142-1</f>
        <v>0.27670932358318101</v>
      </c>
      <c r="M142" s="54">
        <f>L142*'Расчет субсидий'!Q142</f>
        <v>5.5341864716636202</v>
      </c>
      <c r="N142" s="55">
        <f t="shared" si="42"/>
        <v>0.99654287589760038</v>
      </c>
      <c r="O142" s="54">
        <f>'Расчет субсидий'!T142-1</f>
        <v>0</v>
      </c>
      <c r="P142" s="54">
        <f>O142*'Расчет субсидий'!U142</f>
        <v>0</v>
      </c>
      <c r="Q142" s="55">
        <f t="shared" si="43"/>
        <v>0</v>
      </c>
      <c r="R142" s="54">
        <f>'Расчет субсидий'!X142-1</f>
        <v>0.24</v>
      </c>
      <c r="S142" s="54">
        <f>R142*'Расчет субсидий'!Y142</f>
        <v>4.8</v>
      </c>
      <c r="T142" s="55">
        <f t="shared" si="44"/>
        <v>0.86433766350315122</v>
      </c>
      <c r="U142" s="54">
        <f t="shared" si="32"/>
        <v>10.39997594534783</v>
      </c>
    </row>
    <row r="143" spans="1:21" ht="15" customHeight="1">
      <c r="A143" s="33" t="s">
        <v>142</v>
      </c>
      <c r="B143" s="52">
        <f>'Расчет субсидий'!AD143</f>
        <v>-10.054545454545448</v>
      </c>
      <c r="C143" s="54">
        <f>'Расчет субсидий'!D143-1</f>
        <v>-1</v>
      </c>
      <c r="D143" s="54">
        <f>C143*'Расчет субсидий'!E143</f>
        <v>0</v>
      </c>
      <c r="E143" s="55">
        <f t="shared" si="41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4">
        <f>'Расчет субсидий'!P143-1</f>
        <v>-0.5</v>
      </c>
      <c r="M143" s="54">
        <f>L143*'Расчет субсидий'!Q143</f>
        <v>-10</v>
      </c>
      <c r="N143" s="55">
        <f t="shared" si="42"/>
        <v>-12.796694214876029</v>
      </c>
      <c r="O143" s="54">
        <f>'Расчет субсидий'!T143-1</f>
        <v>0</v>
      </c>
      <c r="P143" s="54">
        <f>O143*'Расчет субсидий'!U143</f>
        <v>0</v>
      </c>
      <c r="Q143" s="55">
        <f t="shared" si="43"/>
        <v>0</v>
      </c>
      <c r="R143" s="54">
        <f>'Расчет субсидий'!X143-1</f>
        <v>0.14285714285714302</v>
      </c>
      <c r="S143" s="54">
        <f>R143*'Расчет субсидий'!Y143</f>
        <v>2.142857142857145</v>
      </c>
      <c r="T143" s="55">
        <f t="shared" si="44"/>
        <v>2.7421487603305805</v>
      </c>
      <c r="U143" s="54">
        <f t="shared" si="32"/>
        <v>-7.857142857142855</v>
      </c>
    </row>
    <row r="144" spans="1:21" ht="15" customHeight="1">
      <c r="A144" s="32" t="s">
        <v>143</v>
      </c>
      <c r="B144" s="56"/>
      <c r="C144" s="57"/>
      <c r="D144" s="57"/>
      <c r="E144" s="58"/>
      <c r="F144" s="57"/>
      <c r="G144" s="57"/>
      <c r="H144" s="58"/>
      <c r="I144" s="58"/>
      <c r="J144" s="58"/>
      <c r="K144" s="58"/>
      <c r="L144" s="57"/>
      <c r="M144" s="57"/>
      <c r="N144" s="58"/>
      <c r="O144" s="57"/>
      <c r="P144" s="57"/>
      <c r="Q144" s="58"/>
      <c r="R144" s="57"/>
      <c r="S144" s="57"/>
      <c r="T144" s="58"/>
      <c r="U144" s="58"/>
    </row>
    <row r="145" spans="1:21" ht="15" customHeight="1">
      <c r="A145" s="33" t="s">
        <v>144</v>
      </c>
      <c r="B145" s="52">
        <f>'Расчет субсидий'!AD145</f>
        <v>-0.57272727272726343</v>
      </c>
      <c r="C145" s="54">
        <f>'Расчет субсидий'!D145-1</f>
        <v>9.9999999999999867E-2</v>
      </c>
      <c r="D145" s="54">
        <f>C145*'Расчет субсидий'!E145</f>
        <v>0.99999999999999867</v>
      </c>
      <c r="E145" s="55">
        <f t="shared" ref="E145:E156" si="45">$B145*D145/$U145</f>
        <v>1.4605915615484615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4">
        <f>'Расчет субсидий'!P145-1</f>
        <v>-0.3696060037523452</v>
      </c>
      <c r="M145" s="54">
        <f>L145*'Расчет субсидий'!Q145</f>
        <v>-7.392120075046904</v>
      </c>
      <c r="N145" s="55">
        <f t="shared" ref="N145:N156" si="46">$B145*M145/$U145</f>
        <v>-10.796868203566502</v>
      </c>
      <c r="O145" s="54">
        <f>'Расчет субсидий'!T145-1</f>
        <v>0</v>
      </c>
      <c r="P145" s="54">
        <f>O145*'Расчет субсидий'!U145</f>
        <v>0</v>
      </c>
      <c r="Q145" s="55">
        <f t="shared" ref="Q145:Q156" si="47">$B145*P145/$U145</f>
        <v>0</v>
      </c>
      <c r="R145" s="54">
        <f>'Расчет субсидий'!X145-1</f>
        <v>0.19999999999999996</v>
      </c>
      <c r="S145" s="54">
        <f>R145*'Расчет субсидий'!Y145</f>
        <v>5.9999999999999982</v>
      </c>
      <c r="T145" s="55">
        <f t="shared" ref="T145:T156" si="48">$B145*S145/$U145</f>
        <v>8.7635493692907787</v>
      </c>
      <c r="U145" s="54">
        <f t="shared" si="32"/>
        <v>-0.3921200750469076</v>
      </c>
    </row>
    <row r="146" spans="1:21" ht="15" customHeight="1">
      <c r="A146" s="33" t="s">
        <v>145</v>
      </c>
      <c r="B146" s="52">
        <f>'Расчет субсидий'!AD146</f>
        <v>-6.2000000000000028</v>
      </c>
      <c r="C146" s="54">
        <f>'Расчет субсидий'!D146-1</f>
        <v>-5.4621848739496714E-3</v>
      </c>
      <c r="D146" s="54">
        <f>C146*'Расчет субсидий'!E146</f>
        <v>-5.4621848739496714E-2</v>
      </c>
      <c r="E146" s="55">
        <f t="shared" si="45"/>
        <v>-3.669743225926389E-2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4">
        <f>'Расчет субсидий'!P146-1</f>
        <v>-0.45868465430016869</v>
      </c>
      <c r="M146" s="54">
        <f>L146*'Расчет субсидий'!Q146</f>
        <v>-9.1736930860033734</v>
      </c>
      <c r="N146" s="55">
        <f t="shared" si="46"/>
        <v>-6.1633025677407387</v>
      </c>
      <c r="O146" s="54">
        <f>'Расчет субсидий'!T146-1</f>
        <v>0</v>
      </c>
      <c r="P146" s="54">
        <f>O146*'Расчет субсидий'!U146</f>
        <v>0</v>
      </c>
      <c r="Q146" s="55">
        <f t="shared" si="47"/>
        <v>0</v>
      </c>
      <c r="R146" s="54">
        <f>'Расчет субсидий'!X146-1</f>
        <v>0</v>
      </c>
      <c r="S146" s="54">
        <f>R146*'Расчет субсидий'!Y146</f>
        <v>0</v>
      </c>
      <c r="T146" s="55">
        <f t="shared" si="48"/>
        <v>0</v>
      </c>
      <c r="U146" s="54">
        <f t="shared" si="32"/>
        <v>-9.2283149347428708</v>
      </c>
    </row>
    <row r="147" spans="1:21" ht="15" customHeight="1">
      <c r="A147" s="33" t="s">
        <v>146</v>
      </c>
      <c r="B147" s="52">
        <f>'Расчет субсидий'!AD147</f>
        <v>29.76363636363638</v>
      </c>
      <c r="C147" s="54">
        <f>'Расчет субсидий'!D147-1</f>
        <v>3.7037037037036979E-2</v>
      </c>
      <c r="D147" s="54">
        <f>C147*'Расчет субсидий'!E147</f>
        <v>0.37037037037036979</v>
      </c>
      <c r="E147" s="55">
        <f t="shared" si="45"/>
        <v>0.80945055518540876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4">
        <f>'Расчет субсидий'!P147-1</f>
        <v>-3.8890477552187441E-2</v>
      </c>
      <c r="M147" s="54">
        <f>L147*'Расчет субсидий'!Q147</f>
        <v>-0.77780955104374883</v>
      </c>
      <c r="N147" s="55">
        <f t="shared" si="46"/>
        <v>-1.6999156068863681</v>
      </c>
      <c r="O147" s="54">
        <f>'Расчет субсидий'!T147-1</f>
        <v>0.20260215053763431</v>
      </c>
      <c r="P147" s="54">
        <f>O147*'Расчет субсидий'!U147</f>
        <v>2.0260215053763431</v>
      </c>
      <c r="Q147" s="55">
        <f t="shared" si="47"/>
        <v>4.4279034273300457</v>
      </c>
      <c r="R147" s="54">
        <f>'Расчет субсидий'!X147-1</f>
        <v>0.30000000000000004</v>
      </c>
      <c r="S147" s="54">
        <f>R147*'Расчет субсидий'!Y147</f>
        <v>12.000000000000002</v>
      </c>
      <c r="T147" s="55">
        <f t="shared" si="48"/>
        <v>26.226197988007293</v>
      </c>
      <c r="U147" s="54">
        <f t="shared" si="32"/>
        <v>13.618582324702967</v>
      </c>
    </row>
    <row r="148" spans="1:21" ht="15" customHeight="1">
      <c r="A148" s="33" t="s">
        <v>147</v>
      </c>
      <c r="B148" s="52">
        <f>'Расчет субсидий'!AD148</f>
        <v>-37.127272727272725</v>
      </c>
      <c r="C148" s="54">
        <f>'Расчет субсидий'!D148-1</f>
        <v>5.2556002297530213E-3</v>
      </c>
      <c r="D148" s="54">
        <f>C148*'Расчет субсидий'!E148</f>
        <v>5.2556002297530213E-2</v>
      </c>
      <c r="E148" s="55">
        <f t="shared" si="45"/>
        <v>0.25357828274432093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4">
        <f>'Расчет субсидий'!P148-1</f>
        <v>-0.38737309644670048</v>
      </c>
      <c r="M148" s="54">
        <f>L148*'Расчет субсидий'!Q148</f>
        <v>-7.7474619289340101</v>
      </c>
      <c r="N148" s="55">
        <f t="shared" si="46"/>
        <v>-37.380851010017047</v>
      </c>
      <c r="O148" s="54">
        <f>'Расчет субсидий'!T148-1</f>
        <v>0</v>
      </c>
      <c r="P148" s="54">
        <f>O148*'Расчет субсидий'!U148</f>
        <v>0</v>
      </c>
      <c r="Q148" s="55">
        <f t="shared" si="47"/>
        <v>0</v>
      </c>
      <c r="R148" s="54">
        <f>'Расчет субсидий'!X148-1</f>
        <v>0</v>
      </c>
      <c r="S148" s="54">
        <f>R148*'Расчет субсидий'!Y148</f>
        <v>0</v>
      </c>
      <c r="T148" s="55">
        <f t="shared" si="48"/>
        <v>0</v>
      </c>
      <c r="U148" s="54">
        <f t="shared" si="32"/>
        <v>-7.6949059266364799</v>
      </c>
    </row>
    <row r="149" spans="1:21" ht="15" customHeight="1">
      <c r="A149" s="33" t="s">
        <v>148</v>
      </c>
      <c r="B149" s="52">
        <f>'Расчет субсидий'!AD149</f>
        <v>22.281818181818181</v>
      </c>
      <c r="C149" s="54">
        <f>'Расчет субсидий'!D149-1</f>
        <v>6.0975609756097615E-3</v>
      </c>
      <c r="D149" s="54">
        <f>C149*'Расчет субсидий'!E149</f>
        <v>6.0975609756097615E-2</v>
      </c>
      <c r="E149" s="55">
        <f t="shared" si="45"/>
        <v>0.10905152939244657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4">
        <f>'Расчет субсидий'!P149-1</f>
        <v>0.30000000000000004</v>
      </c>
      <c r="M149" s="54">
        <f>L149*'Расчет субсидий'!Q149</f>
        <v>6.0000000000000009</v>
      </c>
      <c r="N149" s="55">
        <f t="shared" si="46"/>
        <v>10.730670492216735</v>
      </c>
      <c r="O149" s="54">
        <f>'Расчет субсидий'!T149-1</f>
        <v>9.7079715864246241E-2</v>
      </c>
      <c r="P149" s="54">
        <f>O149*'Расчет субсидий'!U149</f>
        <v>3.3977900552486187</v>
      </c>
      <c r="Q149" s="55">
        <f t="shared" si="47"/>
        <v>6.0767609141006362</v>
      </c>
      <c r="R149" s="54">
        <f>'Расчет субсидий'!X149-1</f>
        <v>0.19999999999999996</v>
      </c>
      <c r="S149" s="54">
        <f>R149*'Расчет субсидий'!Y149</f>
        <v>2.9999999999999991</v>
      </c>
      <c r="T149" s="55">
        <f t="shared" si="48"/>
        <v>5.3653352461083657</v>
      </c>
      <c r="U149" s="54">
        <f t="shared" si="32"/>
        <v>12.458765665004716</v>
      </c>
    </row>
    <row r="150" spans="1:21" ht="15" customHeight="1">
      <c r="A150" s="33" t="s">
        <v>149</v>
      </c>
      <c r="B150" s="52">
        <f>'Расчет субсидий'!AD150</f>
        <v>-3.2272727272727337</v>
      </c>
      <c r="C150" s="54">
        <f>'Расчет субсидий'!D150-1</f>
        <v>-1</v>
      </c>
      <c r="D150" s="54">
        <f>C150*'Расчет субсидий'!E150</f>
        <v>0</v>
      </c>
      <c r="E150" s="55">
        <f t="shared" si="45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4">
        <f>'Расчет субсидий'!P150-1</f>
        <v>-0.67906900508113421</v>
      </c>
      <c r="M150" s="54">
        <f>L150*'Расчет субсидий'!Q150</f>
        <v>-13.581380101622685</v>
      </c>
      <c r="N150" s="55">
        <f t="shared" si="46"/>
        <v>-14.324023491284194</v>
      </c>
      <c r="O150" s="54">
        <f>'Расчет субсидий'!T150-1</f>
        <v>0.30000000000000004</v>
      </c>
      <c r="P150" s="54">
        <f>O150*'Расчет субсидий'!U150</f>
        <v>1.5000000000000002</v>
      </c>
      <c r="Q150" s="55">
        <f t="shared" si="47"/>
        <v>1.5820214938509209</v>
      </c>
      <c r="R150" s="54">
        <f>'Расчет субсидий'!X150-1</f>
        <v>0.20047619047619047</v>
      </c>
      <c r="S150" s="54">
        <f>R150*'Расчет субсидий'!Y150</f>
        <v>9.0214285714285722</v>
      </c>
      <c r="T150" s="55">
        <f t="shared" si="48"/>
        <v>9.5147292701605384</v>
      </c>
      <c r="U150" s="54">
        <f t="shared" si="32"/>
        <v>-3.0599515301941125</v>
      </c>
    </row>
    <row r="151" spans="1:21" ht="15" customHeight="1">
      <c r="A151" s="33" t="s">
        <v>150</v>
      </c>
      <c r="B151" s="52">
        <f>'Расчет субсидий'!AD151</f>
        <v>12.190909090909088</v>
      </c>
      <c r="C151" s="54">
        <f>'Расчет субсидий'!D151-1</f>
        <v>0.14322746380196172</v>
      </c>
      <c r="D151" s="54">
        <f>C151*'Расчет субсидий'!E151</f>
        <v>1.4322746380196172</v>
      </c>
      <c r="E151" s="55">
        <f t="shared" si="45"/>
        <v>3.8792209794833679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4">
        <f>'Расчет субсидий'!P151-1</f>
        <v>-0.23655913978494625</v>
      </c>
      <c r="M151" s="54">
        <f>L151*'Расчет субсидий'!Q151</f>
        <v>-4.731182795698925</v>
      </c>
      <c r="N151" s="55">
        <f t="shared" si="46"/>
        <v>-12.81409519631155</v>
      </c>
      <c r="O151" s="54">
        <f>'Расчет субсидий'!T151-1</f>
        <v>0</v>
      </c>
      <c r="P151" s="54">
        <f>O151*'Расчет субсидий'!U151</f>
        <v>0</v>
      </c>
      <c r="Q151" s="55">
        <f t="shared" si="47"/>
        <v>0</v>
      </c>
      <c r="R151" s="54">
        <f>'Расчет субсидий'!X151-1</f>
        <v>0.22285714285714286</v>
      </c>
      <c r="S151" s="54">
        <f>R151*'Расчет субсидий'!Y151</f>
        <v>7.8000000000000007</v>
      </c>
      <c r="T151" s="55">
        <f t="shared" si="48"/>
        <v>21.125783307737272</v>
      </c>
      <c r="U151" s="54">
        <f t="shared" si="32"/>
        <v>4.5010918423206929</v>
      </c>
    </row>
    <row r="152" spans="1:21" ht="15" customHeight="1">
      <c r="A152" s="33" t="s">
        <v>151</v>
      </c>
      <c r="B152" s="52">
        <f>'Расчет субсидий'!AD152</f>
        <v>18.77272727272728</v>
      </c>
      <c r="C152" s="54">
        <f>'Расчет субсидий'!D152-1</f>
        <v>-9.060402684563762E-2</v>
      </c>
      <c r="D152" s="54">
        <f>C152*'Расчет субсидий'!E152</f>
        <v>-0.9060402684563762</v>
      </c>
      <c r="E152" s="55">
        <f t="shared" si="45"/>
        <v>-2.0511607743218212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4">
        <f>'Расчет субсидий'!P152-1</f>
        <v>0.26554216867469882</v>
      </c>
      <c r="M152" s="54">
        <f>L152*'Расчет субсидий'!Q152</f>
        <v>5.3108433734939764</v>
      </c>
      <c r="N152" s="55">
        <f t="shared" si="46"/>
        <v>12.023078869151067</v>
      </c>
      <c r="O152" s="54">
        <f>'Расчет субсидий'!T152-1</f>
        <v>1.2499999999999956E-2</v>
      </c>
      <c r="P152" s="54">
        <f>O152*'Расчет субсидий'!U152</f>
        <v>0.43749999999999845</v>
      </c>
      <c r="Q152" s="55">
        <f t="shared" si="47"/>
        <v>0.99044476278594951</v>
      </c>
      <c r="R152" s="54">
        <f>'Расчет субсидий'!X152-1</f>
        <v>0.22999999999999998</v>
      </c>
      <c r="S152" s="54">
        <f>R152*'Расчет субсидий'!Y152</f>
        <v>3.4499999999999997</v>
      </c>
      <c r="T152" s="55">
        <f t="shared" si="48"/>
        <v>7.8103644151120859</v>
      </c>
      <c r="U152" s="54">
        <f t="shared" si="32"/>
        <v>8.2923031050375986</v>
      </c>
    </row>
    <row r="153" spans="1:21" ht="15" customHeight="1">
      <c r="A153" s="33" t="s">
        <v>152</v>
      </c>
      <c r="B153" s="52">
        <f>'Расчет субсидий'!AD153</f>
        <v>45.899999999999977</v>
      </c>
      <c r="C153" s="54">
        <f>'Расчет субсидий'!D153-1</f>
        <v>0.2122429906542056</v>
      </c>
      <c r="D153" s="54">
        <f>C153*'Расчет субсидий'!E153</f>
        <v>2.122429906542056</v>
      </c>
      <c r="E153" s="55">
        <f t="shared" si="45"/>
        <v>6.8458650226774544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4">
        <f>'Расчет субсидий'!P153-1</f>
        <v>0.27441048034934501</v>
      </c>
      <c r="M153" s="54">
        <f>L153*'Расчет субсидий'!Q153</f>
        <v>5.4882096069869002</v>
      </c>
      <c r="N153" s="55">
        <f t="shared" si="46"/>
        <v>17.70213568409757</v>
      </c>
      <c r="O153" s="54">
        <f>'Расчет субсидий'!T153-1</f>
        <v>1.098901098901095E-2</v>
      </c>
      <c r="P153" s="54">
        <f>O153*'Расчет субсидий'!U153</f>
        <v>0.219780219780219</v>
      </c>
      <c r="Q153" s="55">
        <f t="shared" si="47"/>
        <v>0.70889771889856823</v>
      </c>
      <c r="R153" s="54">
        <f>'Расчет субсидий'!X153-1</f>
        <v>0.21333333333333337</v>
      </c>
      <c r="S153" s="54">
        <f>R153*'Расчет субсидий'!Y153</f>
        <v>6.4000000000000012</v>
      </c>
      <c r="T153" s="55">
        <f t="shared" si="48"/>
        <v>20.643101574326387</v>
      </c>
      <c r="U153" s="54">
        <f t="shared" si="32"/>
        <v>14.230419733309176</v>
      </c>
    </row>
    <row r="154" spans="1:21" ht="15" customHeight="1">
      <c r="A154" s="33" t="s">
        <v>153</v>
      </c>
      <c r="B154" s="52">
        <f>'Расчет субсидий'!AD154</f>
        <v>11.036363636363632</v>
      </c>
      <c r="C154" s="54">
        <f>'Расчет субсидий'!D154-1</f>
        <v>1.7241379310344751E-2</v>
      </c>
      <c r="D154" s="54">
        <f>C154*'Расчет субсидий'!E154</f>
        <v>0.17241379310344751</v>
      </c>
      <c r="E154" s="55">
        <f t="shared" si="45"/>
        <v>0.36580182145277762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4">
        <f>'Расчет субсидий'!P154-1</f>
        <v>-4.5734388742304288E-2</v>
      </c>
      <c r="M154" s="54">
        <f>L154*'Расчет субсидий'!Q154</f>
        <v>-0.91468777484608577</v>
      </c>
      <c r="N154" s="55">
        <f t="shared" si="46"/>
        <v>-1.9406478337758692</v>
      </c>
      <c r="O154" s="54">
        <f>'Расчет субсидий'!T154-1</f>
        <v>7.6923076923076872E-2</v>
      </c>
      <c r="P154" s="54">
        <f>O154*'Расчет субсидий'!U154</f>
        <v>2.3076923076923062</v>
      </c>
      <c r="Q154" s="55">
        <f t="shared" si="47"/>
        <v>4.8961166871371962</v>
      </c>
      <c r="R154" s="54">
        <f>'Расчет субсидий'!X154-1</f>
        <v>0.18181818181818188</v>
      </c>
      <c r="S154" s="54">
        <f>R154*'Расчет субсидий'!Y154</f>
        <v>3.6363636363636376</v>
      </c>
      <c r="T154" s="55">
        <f t="shared" si="48"/>
        <v>7.7150929615495283</v>
      </c>
      <c r="U154" s="54">
        <f t="shared" si="32"/>
        <v>5.201781962313305</v>
      </c>
    </row>
    <row r="155" spans="1:21" ht="15" customHeight="1">
      <c r="A155" s="33" t="s">
        <v>154</v>
      </c>
      <c r="B155" s="52">
        <f>'Расчет субсидий'!AD155</f>
        <v>-2.6909090909090878</v>
      </c>
      <c r="C155" s="54">
        <f>'Расчет субсидий'!D155-1</f>
        <v>8.5972850678732726E-3</v>
      </c>
      <c r="D155" s="54">
        <f>C155*'Расчет субсидий'!E155</f>
        <v>8.5972850678732726E-2</v>
      </c>
      <c r="E155" s="55">
        <f t="shared" si="45"/>
        <v>0.13127631669772835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4">
        <f>'Расчет субсидий'!P155-1</f>
        <v>-9.2412451361867709E-2</v>
      </c>
      <c r="M155" s="54">
        <f>L155*'Расчет субсидий'!Q155</f>
        <v>-1.8482490272373542</v>
      </c>
      <c r="N155" s="55">
        <f t="shared" si="46"/>
        <v>-2.822185407606816</v>
      </c>
      <c r="O155" s="54">
        <f>'Расчет субсидий'!T155-1</f>
        <v>0</v>
      </c>
      <c r="P155" s="54">
        <f>O155*'Расчет субсидий'!U155</f>
        <v>0</v>
      </c>
      <c r="Q155" s="55">
        <f t="shared" si="47"/>
        <v>0</v>
      </c>
      <c r="R155" s="54">
        <f>'Расчет субсидий'!X155-1</f>
        <v>0</v>
      </c>
      <c r="S155" s="54">
        <f>R155*'Расчет субсидий'!Y155</f>
        <v>0</v>
      </c>
      <c r="T155" s="55">
        <f t="shared" si="48"/>
        <v>0</v>
      </c>
      <c r="U155" s="54">
        <f t="shared" si="32"/>
        <v>-1.7622761765586215</v>
      </c>
    </row>
    <row r="156" spans="1:21" ht="15" customHeight="1">
      <c r="A156" s="33" t="s">
        <v>155</v>
      </c>
      <c r="B156" s="52">
        <f>'Расчет субсидий'!AD156</f>
        <v>13.709090909090918</v>
      </c>
      <c r="C156" s="54">
        <f>'Расчет субсидий'!D156-1</f>
        <v>-1.9596950284556214E-2</v>
      </c>
      <c r="D156" s="54">
        <f>C156*'Расчет субсидий'!E156</f>
        <v>-0.19596950284556214</v>
      </c>
      <c r="E156" s="55">
        <f t="shared" si="45"/>
        <v>-0.34292257102331103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4">
        <f>'Расчет субсидий'!P156-1</f>
        <v>0.28563191418035538</v>
      </c>
      <c r="M156" s="54">
        <f>L156*'Расчет субсидий'!Q156</f>
        <v>5.7126382836071077</v>
      </c>
      <c r="N156" s="55">
        <f t="shared" si="46"/>
        <v>9.9964156621072267</v>
      </c>
      <c r="O156" s="54">
        <f>'Расчет субсидий'!T156-1</f>
        <v>0</v>
      </c>
      <c r="P156" s="54">
        <f>O156*'Расчет субсидий'!U156</f>
        <v>0</v>
      </c>
      <c r="Q156" s="55">
        <f t="shared" si="47"/>
        <v>0</v>
      </c>
      <c r="R156" s="54">
        <f>'Расчет субсидий'!X156-1</f>
        <v>7.7254901960784217E-2</v>
      </c>
      <c r="S156" s="54">
        <f>R156*'Расчет субсидий'!Y156</f>
        <v>2.3176470588235265</v>
      </c>
      <c r="T156" s="55">
        <f t="shared" si="48"/>
        <v>4.0555978180070014</v>
      </c>
      <c r="U156" s="54">
        <f t="shared" si="32"/>
        <v>7.8343158395850718</v>
      </c>
    </row>
    <row r="157" spans="1:21" ht="15" customHeight="1">
      <c r="A157" s="32" t="s">
        <v>156</v>
      </c>
      <c r="B157" s="56"/>
      <c r="C157" s="57"/>
      <c r="D157" s="57"/>
      <c r="E157" s="58"/>
      <c r="F157" s="57"/>
      <c r="G157" s="57"/>
      <c r="H157" s="58"/>
      <c r="I157" s="58"/>
      <c r="J157" s="58"/>
      <c r="K157" s="58"/>
      <c r="L157" s="57"/>
      <c r="M157" s="57"/>
      <c r="N157" s="58"/>
      <c r="O157" s="57"/>
      <c r="P157" s="57"/>
      <c r="Q157" s="58"/>
      <c r="R157" s="57"/>
      <c r="S157" s="57"/>
      <c r="T157" s="58"/>
      <c r="U157" s="58"/>
    </row>
    <row r="158" spans="1:21" ht="15" customHeight="1">
      <c r="A158" s="33" t="s">
        <v>71</v>
      </c>
      <c r="B158" s="52">
        <f>'Расчет субсидий'!AD158</f>
        <v>-35.990909090909099</v>
      </c>
      <c r="C158" s="54">
        <f>'Расчет субсидий'!D158-1</f>
        <v>-1</v>
      </c>
      <c r="D158" s="54">
        <f>C158*'Расчет субсидий'!E158</f>
        <v>0</v>
      </c>
      <c r="E158" s="55">
        <f t="shared" ref="E158:E170" si="49">$B158*D158/$U158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4">
        <f>'Расчет субсидий'!P158-1</f>
        <v>-0.73144876325088348</v>
      </c>
      <c r="M158" s="54">
        <f>L158*'Расчет субсидий'!Q158</f>
        <v>-14.628975265017669</v>
      </c>
      <c r="N158" s="55">
        <f t="shared" ref="N158:N170" si="50">$B158*M158/$U158</f>
        <v>-35.990909090909099</v>
      </c>
      <c r="O158" s="54">
        <f>'Расчет субсидий'!T158-1</f>
        <v>0</v>
      </c>
      <c r="P158" s="54">
        <f>O158*'Расчет субсидий'!U158</f>
        <v>0</v>
      </c>
      <c r="Q158" s="55">
        <f t="shared" ref="Q158:Q170" si="51">$B158*P158/$U158</f>
        <v>0</v>
      </c>
      <c r="R158" s="54">
        <f>'Расчет субсидий'!X158-1</f>
        <v>0</v>
      </c>
      <c r="S158" s="54">
        <f>R158*'Расчет субсидий'!Y158</f>
        <v>0</v>
      </c>
      <c r="T158" s="55">
        <f t="shared" ref="T158:T170" si="52">$B158*S158/$U158</f>
        <v>0</v>
      </c>
      <c r="U158" s="54">
        <f t="shared" si="32"/>
        <v>-14.628975265017669</v>
      </c>
    </row>
    <row r="159" spans="1:21" ht="15" customHeight="1">
      <c r="A159" s="33" t="s">
        <v>157</v>
      </c>
      <c r="B159" s="52">
        <f>'Расчет субсидий'!AD159</f>
        <v>-10.318181818181813</v>
      </c>
      <c r="C159" s="54">
        <f>'Расчет субсидий'!D159-1</f>
        <v>-1</v>
      </c>
      <c r="D159" s="54">
        <f>C159*'Расчет субсидий'!E159</f>
        <v>0</v>
      </c>
      <c r="E159" s="55">
        <f t="shared" si="49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4">
        <f>'Расчет субсидий'!P159-1</f>
        <v>-0.27634660421545676</v>
      </c>
      <c r="M159" s="54">
        <f>L159*'Расчет субсидий'!Q159</f>
        <v>-5.5269320843091352</v>
      </c>
      <c r="N159" s="55">
        <f t="shared" si="50"/>
        <v>-10.318181818181813</v>
      </c>
      <c r="O159" s="54">
        <f>'Расчет субсидий'!T159-1</f>
        <v>0</v>
      </c>
      <c r="P159" s="54">
        <f>O159*'Расчет субсидий'!U159</f>
        <v>0</v>
      </c>
      <c r="Q159" s="55">
        <f t="shared" si="51"/>
        <v>0</v>
      </c>
      <c r="R159" s="54">
        <f>'Расчет субсидий'!X159-1</f>
        <v>0</v>
      </c>
      <c r="S159" s="54">
        <f>R159*'Расчет субсидий'!Y159</f>
        <v>0</v>
      </c>
      <c r="T159" s="55">
        <f t="shared" si="52"/>
        <v>0</v>
      </c>
      <c r="U159" s="54">
        <f t="shared" si="32"/>
        <v>-5.5269320843091352</v>
      </c>
    </row>
    <row r="160" spans="1:21" ht="15" customHeight="1">
      <c r="A160" s="33" t="s">
        <v>158</v>
      </c>
      <c r="B160" s="52">
        <f>'Расчет субсидий'!AD160</f>
        <v>-35.099999999999994</v>
      </c>
      <c r="C160" s="54">
        <f>'Расчет субсидий'!D160-1</f>
        <v>-1</v>
      </c>
      <c r="D160" s="54">
        <f>C160*'Расчет субсидий'!E160</f>
        <v>0</v>
      </c>
      <c r="E160" s="55">
        <f t="shared" si="49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4">
        <f>'Расчет субсидий'!P160-1</f>
        <v>-0.63277202072538863</v>
      </c>
      <c r="M160" s="54">
        <f>L160*'Расчет субсидий'!Q160</f>
        <v>-12.655440414507773</v>
      </c>
      <c r="N160" s="55">
        <f t="shared" si="50"/>
        <v>-35.099999999999994</v>
      </c>
      <c r="O160" s="54">
        <f>'Расчет субсидий'!T160-1</f>
        <v>0</v>
      </c>
      <c r="P160" s="54">
        <f>O160*'Расчет субсидий'!U160</f>
        <v>0</v>
      </c>
      <c r="Q160" s="55">
        <f t="shared" si="51"/>
        <v>0</v>
      </c>
      <c r="R160" s="54">
        <f>'Расчет субсидий'!X160-1</f>
        <v>0</v>
      </c>
      <c r="S160" s="54">
        <f>R160*'Расчет субсидий'!Y160</f>
        <v>0</v>
      </c>
      <c r="T160" s="55">
        <f t="shared" si="52"/>
        <v>0</v>
      </c>
      <c r="U160" s="54">
        <f t="shared" si="32"/>
        <v>-12.655440414507773</v>
      </c>
    </row>
    <row r="161" spans="1:21" ht="15" customHeight="1">
      <c r="A161" s="33" t="s">
        <v>159</v>
      </c>
      <c r="B161" s="52">
        <f>'Расчет субсидий'!AD161</f>
        <v>12.609090909090895</v>
      </c>
      <c r="C161" s="54">
        <f>'Расчет субсидий'!D161-1</f>
        <v>-1</v>
      </c>
      <c r="D161" s="54">
        <f>C161*'Расчет субсидий'!E161</f>
        <v>0</v>
      </c>
      <c r="E161" s="55">
        <f t="shared" si="49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4">
        <f>'Расчет субсидий'!P161-1</f>
        <v>0.2219697371913989</v>
      </c>
      <c r="M161" s="54">
        <f>L161*'Расчет субсидий'!Q161</f>
        <v>4.4393947438279779</v>
      </c>
      <c r="N161" s="55">
        <f t="shared" si="50"/>
        <v>12.609090909090895</v>
      </c>
      <c r="O161" s="54">
        <f>'Расчет субсидий'!T161-1</f>
        <v>0</v>
      </c>
      <c r="P161" s="54">
        <f>O161*'Расчет субсидий'!U161</f>
        <v>0</v>
      </c>
      <c r="Q161" s="55">
        <f t="shared" si="51"/>
        <v>0</v>
      </c>
      <c r="R161" s="54">
        <f>'Расчет субсидий'!X161-1</f>
        <v>0</v>
      </c>
      <c r="S161" s="54">
        <f>R161*'Расчет субсидий'!Y161</f>
        <v>0</v>
      </c>
      <c r="T161" s="55">
        <f t="shared" si="52"/>
        <v>0</v>
      </c>
      <c r="U161" s="54">
        <f t="shared" si="32"/>
        <v>4.4393947438279779</v>
      </c>
    </row>
    <row r="162" spans="1:21" ht="15" customHeight="1">
      <c r="A162" s="33" t="s">
        <v>160</v>
      </c>
      <c r="B162" s="52">
        <f>'Расчет субсидий'!AD162</f>
        <v>14.663636363636385</v>
      </c>
      <c r="C162" s="54">
        <f>'Расчет субсидий'!D162-1</f>
        <v>-0.25661015412511334</v>
      </c>
      <c r="D162" s="54">
        <f>C162*'Расчет субсидий'!E162</f>
        <v>-2.5661015412511334</v>
      </c>
      <c r="E162" s="55">
        <f t="shared" si="49"/>
        <v>-9.1722411319581916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4">
        <f>'Расчет субсидий'!P162-1</f>
        <v>1.5370491026476474E-2</v>
      </c>
      <c r="M162" s="54">
        <f>L162*'Расчет субсидий'!Q162</f>
        <v>0.30740982052952948</v>
      </c>
      <c r="N162" s="55">
        <f t="shared" si="50"/>
        <v>1.0988018030081883</v>
      </c>
      <c r="O162" s="54">
        <f>'Расчет субсидий'!T162-1</f>
        <v>1.1111111111111072E-2</v>
      </c>
      <c r="P162" s="54">
        <f>O162*'Расчет субсидий'!U162</f>
        <v>0.27777777777777679</v>
      </c>
      <c r="Q162" s="55">
        <f t="shared" si="51"/>
        <v>0.99288540142298276</v>
      </c>
      <c r="R162" s="54">
        <f>'Расчет субсидий'!X162-1</f>
        <v>0.2433333333333334</v>
      </c>
      <c r="S162" s="54">
        <f>R162*'Расчет субсидий'!Y162</f>
        <v>6.0833333333333348</v>
      </c>
      <c r="T162" s="55">
        <f t="shared" si="52"/>
        <v>21.744190291163406</v>
      </c>
      <c r="U162" s="54">
        <f t="shared" si="32"/>
        <v>4.1024193903895076</v>
      </c>
    </row>
    <row r="163" spans="1:21" ht="15" customHeight="1">
      <c r="A163" s="33" t="s">
        <v>161</v>
      </c>
      <c r="B163" s="52">
        <f>'Расчет субсидий'!AD163</f>
        <v>-20.73636363636362</v>
      </c>
      <c r="C163" s="54">
        <f>'Расчет субсидий'!D163-1</f>
        <v>-1</v>
      </c>
      <c r="D163" s="54">
        <f>C163*'Расчет субсидий'!E163</f>
        <v>0</v>
      </c>
      <c r="E163" s="55">
        <f t="shared" si="49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4">
        <f>'Расчет субсидий'!P163-1</f>
        <v>-0.65202982601491299</v>
      </c>
      <c r="M163" s="54">
        <f>L163*'Расчет субсидий'!Q163</f>
        <v>-13.04059652029826</v>
      </c>
      <c r="N163" s="55">
        <f t="shared" si="50"/>
        <v>-25.654577609460674</v>
      </c>
      <c r="O163" s="54">
        <f>'Расчет субсидий'!T163-1</f>
        <v>0</v>
      </c>
      <c r="P163" s="54">
        <f>O163*'Расчет субсидий'!U163</f>
        <v>0</v>
      </c>
      <c r="Q163" s="55">
        <f t="shared" si="51"/>
        <v>0</v>
      </c>
      <c r="R163" s="54">
        <f>'Расчет субсидий'!X163-1</f>
        <v>0.10000000000000009</v>
      </c>
      <c r="S163" s="54">
        <f>R163*'Расчет субсидий'!Y163</f>
        <v>2.5000000000000022</v>
      </c>
      <c r="T163" s="55">
        <f t="shared" si="52"/>
        <v>4.9182139730970551</v>
      </c>
      <c r="U163" s="54">
        <f t="shared" si="32"/>
        <v>-10.540596520298259</v>
      </c>
    </row>
    <row r="164" spans="1:21" ht="15" customHeight="1">
      <c r="A164" s="33" t="s">
        <v>162</v>
      </c>
      <c r="B164" s="52">
        <f>'Расчет субсидий'!AD164</f>
        <v>-24.745454545454521</v>
      </c>
      <c r="C164" s="54">
        <f>'Расчет субсидий'!D164-1</f>
        <v>-0.38239784946236566</v>
      </c>
      <c r="D164" s="54">
        <f>C164*'Расчет субсидий'!E164</f>
        <v>-3.8239784946236566</v>
      </c>
      <c r="E164" s="55">
        <f t="shared" si="49"/>
        <v>-10.953887946950688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4">
        <f>'Расчет субсидий'!P164-1</f>
        <v>-0.24073029747638519</v>
      </c>
      <c r="M164" s="54">
        <f>L164*'Расчет субсидий'!Q164</f>
        <v>-4.8146059495277038</v>
      </c>
      <c r="N164" s="55">
        <f t="shared" si="50"/>
        <v>-13.791566598503833</v>
      </c>
      <c r="O164" s="54">
        <f>'Расчет субсидий'!T164-1</f>
        <v>0</v>
      </c>
      <c r="P164" s="54">
        <f>O164*'Расчет субсидий'!U164</f>
        <v>0</v>
      </c>
      <c r="Q164" s="55">
        <f t="shared" si="51"/>
        <v>0</v>
      </c>
      <c r="R164" s="54">
        <f>'Расчет субсидий'!X164-1</f>
        <v>0</v>
      </c>
      <c r="S164" s="54">
        <f>R164*'Расчет субсидий'!Y164</f>
        <v>0</v>
      </c>
      <c r="T164" s="55">
        <f t="shared" si="52"/>
        <v>0</v>
      </c>
      <c r="U164" s="54">
        <f t="shared" si="32"/>
        <v>-8.6385844441513608</v>
      </c>
    </row>
    <row r="165" spans="1:21" ht="15" customHeight="1">
      <c r="A165" s="33" t="s">
        <v>163</v>
      </c>
      <c r="B165" s="52">
        <f>'Расчет субсидий'!AD165</f>
        <v>0.92727272727273657</v>
      </c>
      <c r="C165" s="54">
        <f>'Расчет субсидий'!D165-1</f>
        <v>-1</v>
      </c>
      <c r="D165" s="54">
        <f>C165*'Расчет субсидий'!E165</f>
        <v>0</v>
      </c>
      <c r="E165" s="55">
        <f t="shared" si="49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4">
        <f>'Расчет субсидий'!P165-1</f>
        <v>3.245248029670833E-2</v>
      </c>
      <c r="M165" s="54">
        <f>L165*'Расчет субсидий'!Q165</f>
        <v>0.64904960593416661</v>
      </c>
      <c r="N165" s="55">
        <f t="shared" si="50"/>
        <v>0.92727272727273657</v>
      </c>
      <c r="O165" s="54">
        <f>'Расчет субсидий'!T165-1</f>
        <v>0</v>
      </c>
      <c r="P165" s="54">
        <f>O165*'Расчет субсидий'!U165</f>
        <v>0</v>
      </c>
      <c r="Q165" s="55">
        <f t="shared" si="51"/>
        <v>0</v>
      </c>
      <c r="R165" s="54">
        <f>'Расчет субсидий'!X165-1</f>
        <v>0</v>
      </c>
      <c r="S165" s="54">
        <f>R165*'Расчет субсидий'!Y165</f>
        <v>0</v>
      </c>
      <c r="T165" s="55">
        <f t="shared" si="52"/>
        <v>0</v>
      </c>
      <c r="U165" s="54">
        <f t="shared" si="32"/>
        <v>0.64904960593416661</v>
      </c>
    </row>
    <row r="166" spans="1:21" ht="15" customHeight="1">
      <c r="A166" s="33" t="s">
        <v>164</v>
      </c>
      <c r="B166" s="52">
        <f>'Расчет субсидий'!AD166</f>
        <v>-33.636363636363626</v>
      </c>
      <c r="C166" s="54">
        <f>'Расчет субсидий'!D166-1</f>
        <v>-1</v>
      </c>
      <c r="D166" s="54">
        <f>C166*'Расчет субсидий'!E166</f>
        <v>0</v>
      </c>
      <c r="E166" s="55">
        <f t="shared" si="49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4">
        <f>'Расчет субсидий'!P166-1</f>
        <v>-0.74131627056672755</v>
      </c>
      <c r="M166" s="54">
        <f>L166*'Расчет субсидий'!Q166</f>
        <v>-14.826325411334551</v>
      </c>
      <c r="N166" s="55">
        <f t="shared" si="50"/>
        <v>-33.636363636363626</v>
      </c>
      <c r="O166" s="54">
        <f>'Расчет субсидий'!T166-1</f>
        <v>0</v>
      </c>
      <c r="P166" s="54">
        <f>O166*'Расчет субсидий'!U166</f>
        <v>0</v>
      </c>
      <c r="Q166" s="55">
        <f t="shared" si="51"/>
        <v>0</v>
      </c>
      <c r="R166" s="54">
        <f>'Расчет субсидий'!X166-1</f>
        <v>0</v>
      </c>
      <c r="S166" s="54">
        <f>R166*'Расчет субсидий'!Y166</f>
        <v>0</v>
      </c>
      <c r="T166" s="55">
        <f t="shared" si="52"/>
        <v>0</v>
      </c>
      <c r="U166" s="54">
        <f t="shared" si="32"/>
        <v>-14.826325411334551</v>
      </c>
    </row>
    <row r="167" spans="1:21" ht="15" customHeight="1">
      <c r="A167" s="33" t="s">
        <v>99</v>
      </c>
      <c r="B167" s="52">
        <f>'Расчет субсидий'!AD167</f>
        <v>-26.88181818181819</v>
      </c>
      <c r="C167" s="54">
        <f>'Расчет субсидий'!D167-1</f>
        <v>0.12965861781848464</v>
      </c>
      <c r="D167" s="54">
        <f>C167*'Расчет субсидий'!E167</f>
        <v>1.2965861781848464</v>
      </c>
      <c r="E167" s="55">
        <f t="shared" si="49"/>
        <v>2.3975282921422179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4">
        <f>'Расчет субсидий'!P167-1</f>
        <v>-0.79171528588098017</v>
      </c>
      <c r="M167" s="54">
        <f>L167*'Расчет субсидий'!Q167</f>
        <v>-15.834305717619603</v>
      </c>
      <c r="N167" s="55">
        <f t="shared" si="50"/>
        <v>-29.279346473960409</v>
      </c>
      <c r="O167" s="54">
        <f>'Расчет субсидий'!T167-1</f>
        <v>0</v>
      </c>
      <c r="P167" s="54">
        <f>O167*'Расчет субсидий'!U167</f>
        <v>0</v>
      </c>
      <c r="Q167" s="55">
        <f t="shared" si="51"/>
        <v>0</v>
      </c>
      <c r="R167" s="54">
        <f>'Расчет субсидий'!X167-1</f>
        <v>0</v>
      </c>
      <c r="S167" s="54">
        <f>R167*'Расчет субсидий'!Y167</f>
        <v>0</v>
      </c>
      <c r="T167" s="55">
        <f t="shared" si="52"/>
        <v>0</v>
      </c>
      <c r="U167" s="54">
        <f t="shared" si="32"/>
        <v>-14.537719539434757</v>
      </c>
    </row>
    <row r="168" spans="1:21" ht="15" customHeight="1">
      <c r="A168" s="33" t="s">
        <v>165</v>
      </c>
      <c r="B168" s="52">
        <f>'Расчет субсидий'!AD168</f>
        <v>8.7909090909090821</v>
      </c>
      <c r="C168" s="54">
        <f>'Расчет субсидий'!D168-1</f>
        <v>8.234512928677451E-2</v>
      </c>
      <c r="D168" s="54">
        <f>C168*'Расчет субсидий'!E168</f>
        <v>0.8234512928677451</v>
      </c>
      <c r="E168" s="55">
        <f t="shared" si="49"/>
        <v>1.7509855514956358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4">
        <f>'Расчет субсидий'!P168-1</f>
        <v>-0.33357091945830364</v>
      </c>
      <c r="M168" s="54">
        <f>L168*'Расчет субсидий'!Q168</f>
        <v>-6.6714183891660728</v>
      </c>
      <c r="N168" s="55">
        <f t="shared" si="50"/>
        <v>-14.186093711420357</v>
      </c>
      <c r="O168" s="54">
        <f>'Расчет субсидий'!T168-1</f>
        <v>6.341463414634152E-3</v>
      </c>
      <c r="P168" s="54">
        <f>O168*'Расчет субсидий'!U168</f>
        <v>3.170731707317076E-2</v>
      </c>
      <c r="Q168" s="55">
        <f t="shared" si="51"/>
        <v>6.7422389827651683E-2</v>
      </c>
      <c r="R168" s="54">
        <f>'Расчет субсидий'!X168-1</f>
        <v>0.22112083333333321</v>
      </c>
      <c r="S168" s="54">
        <f>R168*'Расчет субсидий'!Y168</f>
        <v>9.9504374999999943</v>
      </c>
      <c r="T168" s="55">
        <f t="shared" si="52"/>
        <v>21.158594861006154</v>
      </c>
      <c r="U168" s="54">
        <f t="shared" si="32"/>
        <v>4.1341777207748365</v>
      </c>
    </row>
    <row r="169" spans="1:21" ht="15" customHeight="1">
      <c r="A169" s="33" t="s">
        <v>166</v>
      </c>
      <c r="B169" s="52">
        <f>'Расчет субсидий'!AD169</f>
        <v>-1.0090909090909577</v>
      </c>
      <c r="C169" s="54">
        <f>'Расчет субсидий'!D169-1</f>
        <v>0.22087632508833921</v>
      </c>
      <c r="D169" s="54">
        <f>C169*'Расчет субсидий'!E169</f>
        <v>2.2087632508833921</v>
      </c>
      <c r="E169" s="55">
        <f t="shared" si="49"/>
        <v>7.5443937551054514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4">
        <f>'Расчет субсидий'!P169-1</f>
        <v>-0.14046391752577314</v>
      </c>
      <c r="M169" s="54">
        <f>L169*'Расчет субсидий'!Q169</f>
        <v>-2.8092783505154628</v>
      </c>
      <c r="N169" s="55">
        <f t="shared" si="50"/>
        <v>-9.5955517348928954</v>
      </c>
      <c r="O169" s="54">
        <f>'Расчет субсидий'!T169-1</f>
        <v>6.7796610169490457E-3</v>
      </c>
      <c r="P169" s="54">
        <f>O169*'Расчет субсидий'!U169</f>
        <v>0.30508474576270705</v>
      </c>
      <c r="Q169" s="55">
        <f t="shared" si="51"/>
        <v>1.042067070696485</v>
      </c>
      <c r="R169" s="54">
        <f>'Расчет субсидий'!X169-1</f>
        <v>0</v>
      </c>
      <c r="S169" s="54">
        <f>R169*'Расчет субсидий'!Y169</f>
        <v>0</v>
      </c>
      <c r="T169" s="55">
        <f t="shared" si="52"/>
        <v>0</v>
      </c>
      <c r="U169" s="54">
        <f t="shared" si="32"/>
        <v>-0.29543035386936367</v>
      </c>
    </row>
    <row r="170" spans="1:21" ht="15" customHeight="1">
      <c r="A170" s="33" t="s">
        <v>167</v>
      </c>
      <c r="B170" s="52">
        <f>'Расчет субсидий'!AD170</f>
        <v>11.390909090909105</v>
      </c>
      <c r="C170" s="54">
        <f>'Расчет субсидий'!D170-1</f>
        <v>7.4246575342465704E-2</v>
      </c>
      <c r="D170" s="54">
        <f>C170*'Расчет субсидий'!E170</f>
        <v>0.74246575342465704</v>
      </c>
      <c r="E170" s="55">
        <f t="shared" si="49"/>
        <v>1.7587349244747059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4">
        <f>'Расчет субсидий'!P170-1</f>
        <v>0.20331544424567682</v>
      </c>
      <c r="M170" s="54">
        <f>L170*'Расчет субсидий'!Q170</f>
        <v>4.0663088849135365</v>
      </c>
      <c r="N170" s="55">
        <f t="shared" si="50"/>
        <v>9.6321741664343978</v>
      </c>
      <c r="O170" s="54">
        <f>'Расчет субсидий'!T170-1</f>
        <v>0</v>
      </c>
      <c r="P170" s="54">
        <f>O170*'Расчет субсидий'!U170</f>
        <v>0</v>
      </c>
      <c r="Q170" s="55">
        <f t="shared" si="51"/>
        <v>0</v>
      </c>
      <c r="R170" s="54">
        <f>'Расчет субсидий'!X170-1</f>
        <v>0</v>
      </c>
      <c r="S170" s="54">
        <f>R170*'Расчет субсидий'!Y170</f>
        <v>0</v>
      </c>
      <c r="T170" s="55">
        <f t="shared" si="52"/>
        <v>0</v>
      </c>
      <c r="U170" s="54">
        <f t="shared" si="32"/>
        <v>4.8087746383381935</v>
      </c>
    </row>
    <row r="171" spans="1:21" ht="15" customHeight="1">
      <c r="A171" s="32" t="s">
        <v>168</v>
      </c>
      <c r="B171" s="56"/>
      <c r="C171" s="57"/>
      <c r="D171" s="57"/>
      <c r="E171" s="58"/>
      <c r="F171" s="57"/>
      <c r="G171" s="57"/>
      <c r="H171" s="58"/>
      <c r="I171" s="58"/>
      <c r="J171" s="58"/>
      <c r="K171" s="58"/>
      <c r="L171" s="57"/>
      <c r="M171" s="57"/>
      <c r="N171" s="58"/>
      <c r="O171" s="57"/>
      <c r="P171" s="57"/>
      <c r="Q171" s="58"/>
      <c r="R171" s="57"/>
      <c r="S171" s="57"/>
      <c r="T171" s="58"/>
      <c r="U171" s="58"/>
    </row>
    <row r="172" spans="1:21" ht="15" customHeight="1">
      <c r="A172" s="33" t="s">
        <v>169</v>
      </c>
      <c r="B172" s="52">
        <f>'Расчет субсидий'!AD172</f>
        <v>-26.990909090909099</v>
      </c>
      <c r="C172" s="54">
        <f>'Расчет субсидий'!D172-1</f>
        <v>-1</v>
      </c>
      <c r="D172" s="54">
        <f>C172*'Расчет субсидий'!E172</f>
        <v>0</v>
      </c>
      <c r="E172" s="55">
        <f t="shared" ref="E172:E177" si="53">$B172*D172/$U172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4">
        <f>'Расчет субсидий'!P172-1</f>
        <v>-0.13224181360201515</v>
      </c>
      <c r="M172" s="54">
        <f>L172*'Расчет субсидий'!Q172</f>
        <v>-2.6448362720403029</v>
      </c>
      <c r="N172" s="55">
        <f t="shared" ref="N172:N177" si="54">$B172*M172/$U172</f>
        <v>-4.0816597332853801</v>
      </c>
      <c r="O172" s="54">
        <f>'Расчет субсидий'!T172-1</f>
        <v>-0.28127853881278542</v>
      </c>
      <c r="P172" s="54">
        <f>O172*'Расчет субсидий'!U172</f>
        <v>-9.84474885844749</v>
      </c>
      <c r="Q172" s="55">
        <f t="shared" ref="Q172:Q177" si="55">$B172*P172/$U172</f>
        <v>-15.192968814222313</v>
      </c>
      <c r="R172" s="54">
        <f>'Расчет субсидий'!X172-1</f>
        <v>-0.33333333333333326</v>
      </c>
      <c r="S172" s="54">
        <f>R172*'Расчет субсидий'!Y172</f>
        <v>-4.9999999999999991</v>
      </c>
      <c r="T172" s="55">
        <f t="shared" ref="T172:T177" si="56">$B172*S172/$U172</f>
        <v>-7.7162805434014041</v>
      </c>
      <c r="U172" s="54">
        <f t="shared" si="32"/>
        <v>-17.489585130487793</v>
      </c>
    </row>
    <row r="173" spans="1:21" ht="15" customHeight="1">
      <c r="A173" s="33" t="s">
        <v>170</v>
      </c>
      <c r="B173" s="52">
        <f>'Расчет субсидий'!AD173</f>
        <v>21.145454545454527</v>
      </c>
      <c r="C173" s="54">
        <f>'Расчет субсидий'!D173-1</f>
        <v>1.2208258527828253E-3</v>
      </c>
      <c r="D173" s="54">
        <f>C173*'Расчет субсидий'!E173</f>
        <v>1.2208258527828253E-2</v>
      </c>
      <c r="E173" s="55">
        <f t="shared" si="53"/>
        <v>2.9710330660289969E-2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4">
        <f>'Расчет субсидий'!P173-1</f>
        <v>-9.7573204973927075E-2</v>
      </c>
      <c r="M173" s="54">
        <f>L173*'Расчет субсидий'!Q173</f>
        <v>-1.9514640994785415</v>
      </c>
      <c r="N173" s="55">
        <f t="shared" si="54"/>
        <v>-4.7491330180330298</v>
      </c>
      <c r="O173" s="54">
        <f>'Расчет субсидий'!T173-1</f>
        <v>0.205125</v>
      </c>
      <c r="P173" s="54">
        <f>O173*'Расчет субсидий'!U173</f>
        <v>5.1281249999999998</v>
      </c>
      <c r="Q173" s="55">
        <f t="shared" si="55"/>
        <v>12.479936353739943</v>
      </c>
      <c r="R173" s="54">
        <f>'Расчет субсидий'!X173-1</f>
        <v>0.21999999999999997</v>
      </c>
      <c r="S173" s="54">
        <f>R173*'Расчет субсидий'!Y173</f>
        <v>5.4999999999999991</v>
      </c>
      <c r="T173" s="55">
        <f t="shared" si="56"/>
        <v>13.384940879087324</v>
      </c>
      <c r="U173" s="54">
        <f t="shared" si="32"/>
        <v>8.6888691590492861</v>
      </c>
    </row>
    <row r="174" spans="1:21" ht="15" customHeight="1">
      <c r="A174" s="33" t="s">
        <v>171</v>
      </c>
      <c r="B174" s="52">
        <f>'Расчет субсидий'!AD174</f>
        <v>-23.454545454545453</v>
      </c>
      <c r="C174" s="54">
        <f>'Расчет субсидий'!D174-1</f>
        <v>-1</v>
      </c>
      <c r="D174" s="54">
        <f>C174*'Расчет субсидий'!E174</f>
        <v>0</v>
      </c>
      <c r="E174" s="55">
        <f t="shared" si="53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4">
        <f>'Расчет субсидий'!P174-1</f>
        <v>-0.83333333333333326</v>
      </c>
      <c r="M174" s="54">
        <f>L174*'Расчет субсидий'!Q174</f>
        <v>-16.666666666666664</v>
      </c>
      <c r="N174" s="55">
        <f t="shared" si="54"/>
        <v>-23.454545454545453</v>
      </c>
      <c r="O174" s="54">
        <f>'Расчет субсидий'!T174-1</f>
        <v>0</v>
      </c>
      <c r="P174" s="54">
        <f>O174*'Расчет субсидий'!U174</f>
        <v>0</v>
      </c>
      <c r="Q174" s="55">
        <f t="shared" si="55"/>
        <v>0</v>
      </c>
      <c r="R174" s="54">
        <f>'Расчет субсидий'!X174-1</f>
        <v>0</v>
      </c>
      <c r="S174" s="54">
        <f>R174*'Расчет субсидий'!Y174</f>
        <v>0</v>
      </c>
      <c r="T174" s="55">
        <f t="shared" si="56"/>
        <v>0</v>
      </c>
      <c r="U174" s="54">
        <f t="shared" ref="U174:U232" si="57">D174+M174+P174+S174</f>
        <v>-16.666666666666664</v>
      </c>
    </row>
    <row r="175" spans="1:21" ht="15" customHeight="1">
      <c r="A175" s="33" t="s">
        <v>172</v>
      </c>
      <c r="B175" s="52">
        <f>'Расчет субсидий'!AD175</f>
        <v>-4.3636363636363669</v>
      </c>
      <c r="C175" s="54">
        <f>'Расчет субсидий'!D175-1</f>
        <v>-1</v>
      </c>
      <c r="D175" s="54">
        <f>C175*'Расчет субсидий'!E175</f>
        <v>0</v>
      </c>
      <c r="E175" s="55">
        <f t="shared" si="53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4">
        <f>'Расчет субсидий'!P175-1</f>
        <v>0.30000000000000004</v>
      </c>
      <c r="M175" s="54">
        <f>L175*'Расчет субсидий'!Q175</f>
        <v>6.0000000000000009</v>
      </c>
      <c r="N175" s="55">
        <f t="shared" si="54"/>
        <v>4.6003194666296343</v>
      </c>
      <c r="O175" s="54">
        <f>'Расчет субсидий'!T175-1</f>
        <v>-0.43260869565217386</v>
      </c>
      <c r="P175" s="54">
        <f>O175*'Расчет субсидий'!U175</f>
        <v>-15.141304347826084</v>
      </c>
      <c r="Q175" s="55">
        <f t="shared" si="55"/>
        <v>-11.60913952357804</v>
      </c>
      <c r="R175" s="54">
        <f>'Расчет субсидий'!X175-1</f>
        <v>0.22999999999999998</v>
      </c>
      <c r="S175" s="54">
        <f>R175*'Расчет субсидий'!Y175</f>
        <v>3.4499999999999997</v>
      </c>
      <c r="T175" s="55">
        <f t="shared" si="56"/>
        <v>2.6451836933120392</v>
      </c>
      <c r="U175" s="54">
        <f t="shared" si="57"/>
        <v>-5.6913043478260832</v>
      </c>
    </row>
    <row r="176" spans="1:21" ht="15" customHeight="1">
      <c r="A176" s="33" t="s">
        <v>173</v>
      </c>
      <c r="B176" s="52">
        <f>'Расчет субсидий'!AD176</f>
        <v>-10.154545454545456</v>
      </c>
      <c r="C176" s="54">
        <f>'Расчет субсидий'!D176-1</f>
        <v>-1</v>
      </c>
      <c r="D176" s="54">
        <f>C176*'Расчет субсидий'!E176</f>
        <v>0</v>
      </c>
      <c r="E176" s="55">
        <f t="shared" si="53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4">
        <f>'Расчет субсидий'!P176-1</f>
        <v>-0.57104843001596595</v>
      </c>
      <c r="M176" s="54">
        <f>L176*'Расчет субсидий'!Q176</f>
        <v>-11.42096860031932</v>
      </c>
      <c r="N176" s="55">
        <f t="shared" si="54"/>
        <v>-10.154545454545456</v>
      </c>
      <c r="O176" s="54">
        <f>'Расчет субсидий'!T176-1</f>
        <v>0</v>
      </c>
      <c r="P176" s="54">
        <f>O176*'Расчет субсидий'!U176</f>
        <v>0</v>
      </c>
      <c r="Q176" s="55">
        <f t="shared" si="55"/>
        <v>0</v>
      </c>
      <c r="R176" s="54">
        <f>'Расчет субсидий'!X176-1</f>
        <v>0</v>
      </c>
      <c r="S176" s="54">
        <f>R176*'Расчет субсидий'!Y176</f>
        <v>0</v>
      </c>
      <c r="T176" s="55">
        <f t="shared" si="56"/>
        <v>0</v>
      </c>
      <c r="U176" s="54">
        <f t="shared" si="57"/>
        <v>-11.42096860031932</v>
      </c>
    </row>
    <row r="177" spans="1:21" ht="15" customHeight="1">
      <c r="A177" s="33" t="s">
        <v>174</v>
      </c>
      <c r="B177" s="52">
        <f>'Расчет субсидий'!AD177</f>
        <v>-15.427272727272737</v>
      </c>
      <c r="C177" s="54">
        <f>'Расчет субсидий'!D177-1</f>
        <v>-1</v>
      </c>
      <c r="D177" s="54">
        <f>C177*'Расчет субсидий'!E177</f>
        <v>0</v>
      </c>
      <c r="E177" s="55">
        <f t="shared" si="53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4">
        <f>'Расчет субсидий'!P177-1</f>
        <v>-0.22937113776808438</v>
      </c>
      <c r="M177" s="54">
        <f>L177*'Расчет субсидий'!Q177</f>
        <v>-4.587422755361688</v>
      </c>
      <c r="N177" s="55">
        <f t="shared" si="54"/>
        <v>-8.3080259910290231</v>
      </c>
      <c r="O177" s="54">
        <f>'Расчет субсидий'!T177-1</f>
        <v>0.25344913151364756</v>
      </c>
      <c r="P177" s="54">
        <f>O177*'Расчет субсидий'!U177</f>
        <v>5.0689826302729513</v>
      </c>
      <c r="Q177" s="55">
        <f t="shared" si="55"/>
        <v>9.1801522742069555</v>
      </c>
      <c r="R177" s="54">
        <f>'Расчет субсидий'!X177-1</f>
        <v>-0.29999999999999993</v>
      </c>
      <c r="S177" s="54">
        <f>R177*'Расчет субсидий'!Y177</f>
        <v>-8.9999999999999982</v>
      </c>
      <c r="T177" s="55">
        <f t="shared" si="56"/>
        <v>-16.299399010450671</v>
      </c>
      <c r="U177" s="54">
        <f t="shared" si="57"/>
        <v>-8.518440125088734</v>
      </c>
    </row>
    <row r="178" spans="1:21" ht="15" customHeight="1">
      <c r="A178" s="32" t="s">
        <v>175</v>
      </c>
      <c r="B178" s="56"/>
      <c r="C178" s="57"/>
      <c r="D178" s="57"/>
      <c r="E178" s="58"/>
      <c r="F178" s="57"/>
      <c r="G178" s="57"/>
      <c r="H178" s="58"/>
      <c r="I178" s="58"/>
      <c r="J178" s="58"/>
      <c r="K178" s="58"/>
      <c r="L178" s="57"/>
      <c r="M178" s="57"/>
      <c r="N178" s="58"/>
      <c r="O178" s="57"/>
      <c r="P178" s="57"/>
      <c r="Q178" s="58"/>
      <c r="R178" s="57"/>
      <c r="S178" s="57"/>
      <c r="T178" s="58"/>
      <c r="U178" s="58"/>
    </row>
    <row r="179" spans="1:21" ht="15" customHeight="1">
      <c r="A179" s="33" t="s">
        <v>176</v>
      </c>
      <c r="B179" s="52">
        <f>'Расчет субсидий'!AD179</f>
        <v>2.7999999999999972</v>
      </c>
      <c r="C179" s="54">
        <f>'Расчет субсидий'!D179-1</f>
        <v>-1</v>
      </c>
      <c r="D179" s="54">
        <f>C179*'Расчет субсидий'!E179</f>
        <v>0</v>
      </c>
      <c r="E179" s="55">
        <f t="shared" ref="E179:E191" si="58">$B179*D179/$U179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4">
        <f>'Расчет субсидий'!P179-1</f>
        <v>-0.19758064516129037</v>
      </c>
      <c r="M179" s="54">
        <f>L179*'Расчет субсидий'!Q179</f>
        <v>-3.9516129032258074</v>
      </c>
      <c r="N179" s="55">
        <f t="shared" ref="N179:N191" si="59">$B179*M179/$U179</f>
        <v>-5.4384496806870768</v>
      </c>
      <c r="O179" s="54">
        <f>'Расчет субсидий'!T179-1</f>
        <v>0.23944444444444435</v>
      </c>
      <c r="P179" s="54">
        <f>O179*'Расчет субсидий'!U179</f>
        <v>5.9861111111111089</v>
      </c>
      <c r="Q179" s="55">
        <f t="shared" ref="Q179:Q191" si="60">$B179*P179/$U179</f>
        <v>8.238449680687074</v>
      </c>
      <c r="R179" s="54">
        <f>'Расчет субсидий'!X179-1</f>
        <v>0</v>
      </c>
      <c r="S179" s="54">
        <f>R179*'Расчет субсидий'!Y179</f>
        <v>0</v>
      </c>
      <c r="T179" s="55">
        <f t="shared" ref="T179:T191" si="61">$B179*S179/$U179</f>
        <v>0</v>
      </c>
      <c r="U179" s="54">
        <f t="shared" si="57"/>
        <v>2.0344982078853016</v>
      </c>
    </row>
    <row r="180" spans="1:21" ht="15" customHeight="1">
      <c r="A180" s="33" t="s">
        <v>177</v>
      </c>
      <c r="B180" s="52">
        <f>'Расчет субсидий'!AD180</f>
        <v>13.981818181818184</v>
      </c>
      <c r="C180" s="54">
        <f>'Расчет субсидий'!D180-1</f>
        <v>-1</v>
      </c>
      <c r="D180" s="54">
        <f>C180*'Расчет субсидий'!E180</f>
        <v>0</v>
      </c>
      <c r="E180" s="55">
        <f t="shared" si="58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4">
        <f>'Расчет субсидий'!P180-1</f>
        <v>0.30000000000000004</v>
      </c>
      <c r="M180" s="54">
        <f>L180*'Расчет субсидий'!Q180</f>
        <v>6.0000000000000009</v>
      </c>
      <c r="N180" s="55">
        <f t="shared" si="59"/>
        <v>6.990909090909093</v>
      </c>
      <c r="O180" s="54">
        <f>'Расчет субсидий'!T180-1</f>
        <v>0</v>
      </c>
      <c r="P180" s="54">
        <f>O180*'Расчет субсидий'!U180</f>
        <v>0</v>
      </c>
      <c r="Q180" s="55">
        <f t="shared" si="60"/>
        <v>0</v>
      </c>
      <c r="R180" s="54">
        <f>'Расчет субсидий'!X180-1</f>
        <v>0.19999999999999996</v>
      </c>
      <c r="S180" s="54">
        <f>R180*'Расчет субсидий'!Y180</f>
        <v>5.9999999999999982</v>
      </c>
      <c r="T180" s="55">
        <f t="shared" si="61"/>
        <v>6.9909090909090894</v>
      </c>
      <c r="U180" s="54">
        <f t="shared" si="57"/>
        <v>12</v>
      </c>
    </row>
    <row r="181" spans="1:21" ht="15" customHeight="1">
      <c r="A181" s="33" t="s">
        <v>178</v>
      </c>
      <c r="B181" s="52">
        <f>'Расчет субсидий'!AD181</f>
        <v>2.136363636363626</v>
      </c>
      <c r="C181" s="54">
        <f>'Расчет субсидий'!D181-1</f>
        <v>-1</v>
      </c>
      <c r="D181" s="54">
        <f>C181*'Расчет субсидий'!E181</f>
        <v>0</v>
      </c>
      <c r="E181" s="55">
        <f t="shared" si="58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4">
        <f>'Расчет субсидий'!P181-1</f>
        <v>-9.8039215686274495E-2</v>
      </c>
      <c r="M181" s="54">
        <f>L181*'Расчет субсидий'!Q181</f>
        <v>-1.9607843137254899</v>
      </c>
      <c r="N181" s="55">
        <f t="shared" si="59"/>
        <v>-4.2845922975512174</v>
      </c>
      <c r="O181" s="54">
        <f>'Расчет субсидий'!T181-1</f>
        <v>6.4615384615384741E-2</v>
      </c>
      <c r="P181" s="54">
        <f>O181*'Расчет субсидий'!U181</f>
        <v>1.9384615384615422</v>
      </c>
      <c r="Q181" s="55">
        <f t="shared" si="60"/>
        <v>4.2358138621637211</v>
      </c>
      <c r="R181" s="54">
        <f>'Расчет субсидий'!X181-1</f>
        <v>5.0000000000000044E-2</v>
      </c>
      <c r="S181" s="54">
        <f>R181*'Расчет субсидий'!Y181</f>
        <v>1.0000000000000009</v>
      </c>
      <c r="T181" s="55">
        <f t="shared" si="61"/>
        <v>2.1851420717511232</v>
      </c>
      <c r="U181" s="54">
        <f t="shared" si="57"/>
        <v>0.97767722473605323</v>
      </c>
    </row>
    <row r="182" spans="1:21" ht="15" customHeight="1">
      <c r="A182" s="33" t="s">
        <v>179</v>
      </c>
      <c r="B182" s="52">
        <f>'Расчет субсидий'!AD182</f>
        <v>7.1272727272727323</v>
      </c>
      <c r="C182" s="54">
        <f>'Расчет субсидий'!D182-1</f>
        <v>-0.26631332736140145</v>
      </c>
      <c r="D182" s="54">
        <f>C182*'Расчет субсидий'!E182</f>
        <v>-2.6631332736140143</v>
      </c>
      <c r="E182" s="55">
        <f t="shared" si="58"/>
        <v>-2.0787769658058601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4">
        <f>'Расчет субсидий'!P182-1</f>
        <v>1.6961929890690897E-3</v>
      </c>
      <c r="M182" s="54">
        <f>L182*'Расчет субсидий'!Q182</f>
        <v>3.3923859781381793E-2</v>
      </c>
      <c r="N182" s="55">
        <f t="shared" si="59"/>
        <v>2.6480138641001884E-2</v>
      </c>
      <c r="O182" s="54">
        <f>'Расчет субсидий'!T182-1</f>
        <v>4.0000000000000036E-2</v>
      </c>
      <c r="P182" s="54">
        <f>O182*'Расчет субсидий'!U182</f>
        <v>0.40000000000000036</v>
      </c>
      <c r="Q182" s="55">
        <f t="shared" si="60"/>
        <v>0.3122302569536598</v>
      </c>
      <c r="R182" s="54">
        <f>'Расчет субсидий'!X182-1</f>
        <v>0.28400000000000003</v>
      </c>
      <c r="S182" s="54">
        <f>R182*'Расчет субсидий'!Y182</f>
        <v>11.360000000000001</v>
      </c>
      <c r="T182" s="55">
        <f t="shared" si="61"/>
        <v>8.867339297483932</v>
      </c>
      <c r="U182" s="54">
        <f t="shared" si="57"/>
        <v>9.1307905861673682</v>
      </c>
    </row>
    <row r="183" spans="1:21" ht="15" customHeight="1">
      <c r="A183" s="33" t="s">
        <v>180</v>
      </c>
      <c r="B183" s="52">
        <f>'Расчет субсидий'!AD183</f>
        <v>-18.809090909090912</v>
      </c>
      <c r="C183" s="54">
        <f>'Расчет субсидий'!D183-1</f>
        <v>-1</v>
      </c>
      <c r="D183" s="54">
        <f>C183*'Расчет субсидий'!E183</f>
        <v>0</v>
      </c>
      <c r="E183" s="55">
        <f t="shared" si="58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4">
        <f>'Расчет субсидий'!P183-1</f>
        <v>-0.72560631697687539</v>
      </c>
      <c r="M183" s="54">
        <f>L183*'Расчет субсидий'!Q183</f>
        <v>-14.512126339537508</v>
      </c>
      <c r="N183" s="55">
        <f t="shared" si="59"/>
        <v>-19.049345674642375</v>
      </c>
      <c r="O183" s="54">
        <f>'Расчет субсидий'!T183-1</f>
        <v>1.3333333333334085E-3</v>
      </c>
      <c r="P183" s="54">
        <f>O183*'Расчет субсидий'!U183</f>
        <v>4.6666666666669299E-2</v>
      </c>
      <c r="Q183" s="55">
        <f t="shared" si="60"/>
        <v>6.1257009759813401E-2</v>
      </c>
      <c r="R183" s="54">
        <f>'Расчет субсидий'!X183-1</f>
        <v>9.0909090909090384E-3</v>
      </c>
      <c r="S183" s="54">
        <f>R183*'Расчет субсидий'!Y183</f>
        <v>0.13636363636363558</v>
      </c>
      <c r="T183" s="55">
        <f t="shared" si="61"/>
        <v>0.17899775579165142</v>
      </c>
      <c r="U183" s="54">
        <f t="shared" si="57"/>
        <v>-14.329096036507204</v>
      </c>
    </row>
    <row r="184" spans="1:21" ht="15" customHeight="1">
      <c r="A184" s="33" t="s">
        <v>181</v>
      </c>
      <c r="B184" s="52">
        <f>'Расчет субсидий'!AD184</f>
        <v>1.7454545454545496</v>
      </c>
      <c r="C184" s="54">
        <f>'Расчет субсидий'!D184-1</f>
        <v>-1</v>
      </c>
      <c r="D184" s="54">
        <f>C184*'Расчет субсидий'!E184</f>
        <v>0</v>
      </c>
      <c r="E184" s="55">
        <f t="shared" si="58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4">
        <f>'Расчет субсидий'!P184-1</f>
        <v>-0.23246606334841635</v>
      </c>
      <c r="M184" s="54">
        <f>L184*'Расчет субсидий'!Q184</f>
        <v>-4.649321266968327</v>
      </c>
      <c r="N184" s="55">
        <f t="shared" si="59"/>
        <v>-5.7594815065310456</v>
      </c>
      <c r="O184" s="54">
        <f>'Расчет субсидий'!T184-1</f>
        <v>0.20900000000000007</v>
      </c>
      <c r="P184" s="54">
        <f>O184*'Расчет субсидий'!U184</f>
        <v>5.2250000000000014</v>
      </c>
      <c r="Q184" s="55">
        <f t="shared" si="60"/>
        <v>6.47262022640298</v>
      </c>
      <c r="R184" s="54">
        <f>'Расчет субсидий'!X184-1</f>
        <v>3.3333333333333437E-2</v>
      </c>
      <c r="S184" s="54">
        <f>R184*'Расчет субсидий'!Y184</f>
        <v>0.83333333333333592</v>
      </c>
      <c r="T184" s="55">
        <f t="shared" si="61"/>
        <v>1.0323158255826155</v>
      </c>
      <c r="U184" s="54">
        <f t="shared" si="57"/>
        <v>1.4090120663650103</v>
      </c>
    </row>
    <row r="185" spans="1:21" ht="15" customHeight="1">
      <c r="A185" s="33" t="s">
        <v>182</v>
      </c>
      <c r="B185" s="52">
        <f>'Расчет субсидий'!AD185</f>
        <v>-6.3090909090909122</v>
      </c>
      <c r="C185" s="54">
        <f>'Расчет субсидий'!D185-1</f>
        <v>-1</v>
      </c>
      <c r="D185" s="54">
        <f>C185*'Расчет субсидий'!E185</f>
        <v>0</v>
      </c>
      <c r="E185" s="55">
        <f t="shared" si="58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4">
        <f>'Расчет субсидий'!P185-1</f>
        <v>-0.24858115777525536</v>
      </c>
      <c r="M185" s="54">
        <f>L185*'Расчет субсидий'!Q185</f>
        <v>-4.9716231555051067</v>
      </c>
      <c r="N185" s="55">
        <f t="shared" si="59"/>
        <v>-8.0324640091324877</v>
      </c>
      <c r="O185" s="54">
        <f>'Расчет субсидий'!T185-1</f>
        <v>2.666666666666595E-3</v>
      </c>
      <c r="P185" s="54">
        <f>O185*'Расчет субсидий'!U185</f>
        <v>6.6666666666664876E-2</v>
      </c>
      <c r="Q185" s="55">
        <f t="shared" si="60"/>
        <v>0.10771081875259561</v>
      </c>
      <c r="R185" s="54">
        <f>'Расчет субсидий'!X185-1</f>
        <v>4.0000000000000036E-2</v>
      </c>
      <c r="S185" s="54">
        <f>R185*'Расчет субсидий'!Y185</f>
        <v>1.0000000000000009</v>
      </c>
      <c r="T185" s="55">
        <f t="shared" si="61"/>
        <v>1.6156622812889792</v>
      </c>
      <c r="U185" s="54">
        <f t="shared" si="57"/>
        <v>-3.9049564888384412</v>
      </c>
    </row>
    <row r="186" spans="1:21" ht="15" customHeight="1">
      <c r="A186" s="33" t="s">
        <v>183</v>
      </c>
      <c r="B186" s="52">
        <f>'Расчет субсидий'!AD186</f>
        <v>2.7000000000000028</v>
      </c>
      <c r="C186" s="54">
        <f>'Расчет субсидий'!D186-1</f>
        <v>0.11770145310435942</v>
      </c>
      <c r="D186" s="54">
        <f>C186*'Расчет субсидий'!E186</f>
        <v>1.1770145310435942</v>
      </c>
      <c r="E186" s="55">
        <f t="shared" si="58"/>
        <v>1.0533889189561472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4">
        <f>'Расчет субсидий'!P186-1</f>
        <v>1.791277258566959E-2</v>
      </c>
      <c r="M186" s="54">
        <f>L186*'Расчет субсидий'!Q186</f>
        <v>0.35825545171339179</v>
      </c>
      <c r="N186" s="55">
        <f t="shared" si="59"/>
        <v>0.32062673232751998</v>
      </c>
      <c r="O186" s="54">
        <f>'Расчет субсидий'!T186-1</f>
        <v>1.5151515151514694E-3</v>
      </c>
      <c r="P186" s="54">
        <f>O186*'Расчет субсидий'!U186</f>
        <v>5.3030303030301429E-2</v>
      </c>
      <c r="Q186" s="55">
        <f t="shared" si="60"/>
        <v>4.7460360180495605E-2</v>
      </c>
      <c r="R186" s="54">
        <f>'Расчет субсидий'!X186-1</f>
        <v>9.5238095238095344E-2</v>
      </c>
      <c r="S186" s="54">
        <f>R186*'Расчет субсидий'!Y186</f>
        <v>1.4285714285714302</v>
      </c>
      <c r="T186" s="55">
        <f t="shared" si="61"/>
        <v>1.2785239885358402</v>
      </c>
      <c r="U186" s="54">
        <f t="shared" si="57"/>
        <v>3.0168717143587176</v>
      </c>
    </row>
    <row r="187" spans="1:21" ht="15" customHeight="1">
      <c r="A187" s="33" t="s">
        <v>184</v>
      </c>
      <c r="B187" s="52">
        <f>'Расчет субсидий'!AD187</f>
        <v>-16.827272727272714</v>
      </c>
      <c r="C187" s="54">
        <f>'Расчет субсидий'!D187-1</f>
        <v>-1</v>
      </c>
      <c r="D187" s="54">
        <f>C187*'Расчет субсидий'!E187</f>
        <v>0</v>
      </c>
      <c r="E187" s="55">
        <f t="shared" si="58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4">
        <f>'Расчет субсидий'!P187-1</f>
        <v>-0.55920114122681874</v>
      </c>
      <c r="M187" s="54">
        <f>L187*'Расчет субсидий'!Q187</f>
        <v>-11.184022824536374</v>
      </c>
      <c r="N187" s="55">
        <f t="shared" si="59"/>
        <v>-24.503325723197548</v>
      </c>
      <c r="O187" s="54">
        <f>'Расчет субсидий'!T187-1</f>
        <v>2.4999999999999467E-3</v>
      </c>
      <c r="P187" s="54">
        <f>O187*'Расчет субсидий'!U187</f>
        <v>7.4999999999998401E-2</v>
      </c>
      <c r="Q187" s="55">
        <f t="shared" si="60"/>
        <v>0.16431917728279133</v>
      </c>
      <c r="R187" s="54">
        <f>'Расчет субсидий'!X187-1</f>
        <v>0.17142857142857126</v>
      </c>
      <c r="S187" s="54">
        <f>R187*'Расчет субсидий'!Y187</f>
        <v>3.4285714285714253</v>
      </c>
      <c r="T187" s="55">
        <f t="shared" si="61"/>
        <v>7.5117338186420417</v>
      </c>
      <c r="U187" s="54">
        <f t="shared" si="57"/>
        <v>-7.6804513959649494</v>
      </c>
    </row>
    <row r="188" spans="1:21" ht="15" customHeight="1">
      <c r="A188" s="33" t="s">
        <v>185</v>
      </c>
      <c r="B188" s="52">
        <f>'Расчет субсидий'!AD188</f>
        <v>-7.2272727272727337</v>
      </c>
      <c r="C188" s="54">
        <f>'Расчет субсидий'!D188-1</f>
        <v>-1</v>
      </c>
      <c r="D188" s="54">
        <f>C188*'Расчет субсидий'!E188</f>
        <v>0</v>
      </c>
      <c r="E188" s="55">
        <f t="shared" si="58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4">
        <f>'Расчет субсидий'!P188-1</f>
        <v>-0.2344689378757514</v>
      </c>
      <c r="M188" s="54">
        <f>L188*'Расчет субсидий'!Q188</f>
        <v>-4.6893787575150281</v>
      </c>
      <c r="N188" s="55">
        <f t="shared" si="59"/>
        <v>-7.2582287627652073</v>
      </c>
      <c r="O188" s="54">
        <f>'Расчет субсидий'!T188-1</f>
        <v>6.6666666666659324E-4</v>
      </c>
      <c r="P188" s="54">
        <f>O188*'Расчет субсидий'!U188</f>
        <v>1.9999999999997797E-2</v>
      </c>
      <c r="Q188" s="55">
        <f t="shared" si="60"/>
        <v>3.095603549247386E-2</v>
      </c>
      <c r="R188" s="54">
        <f>'Расчет субсидий'!X188-1</f>
        <v>0</v>
      </c>
      <c r="S188" s="54">
        <f>R188*'Расчет субсидий'!Y188</f>
        <v>0</v>
      </c>
      <c r="T188" s="55">
        <f t="shared" si="61"/>
        <v>0</v>
      </c>
      <c r="U188" s="54">
        <f t="shared" si="57"/>
        <v>-4.6693787575150303</v>
      </c>
    </row>
    <row r="189" spans="1:21" ht="15" customHeight="1">
      <c r="A189" s="33" t="s">
        <v>186</v>
      </c>
      <c r="B189" s="52">
        <f>'Расчет субсидий'!AD189</f>
        <v>1.8454545454545439</v>
      </c>
      <c r="C189" s="54">
        <f>'Расчет субсидий'!D189-1</f>
        <v>-1</v>
      </c>
      <c r="D189" s="54">
        <f>C189*'Расчет субсидий'!E189</f>
        <v>0</v>
      </c>
      <c r="E189" s="55">
        <f t="shared" si="58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4">
        <f>'Расчет субсидий'!P189-1</f>
        <v>-0.21649484536082475</v>
      </c>
      <c r="M189" s="54">
        <f>L189*'Расчет субсидий'!Q189</f>
        <v>-4.3298969072164954</v>
      </c>
      <c r="N189" s="55">
        <f t="shared" si="59"/>
        <v>-6.2913223140495607</v>
      </c>
      <c r="O189" s="54">
        <f>'Расчет субсидий'!T189-1</f>
        <v>0.12400000000000011</v>
      </c>
      <c r="P189" s="54">
        <f>O189*'Расчет субсидий'!U189</f>
        <v>3.1000000000000028</v>
      </c>
      <c r="Q189" s="55">
        <f t="shared" si="60"/>
        <v>4.5042871900826293</v>
      </c>
      <c r="R189" s="54">
        <f>'Расчет субсидий'!X189-1</f>
        <v>0.10000000000000009</v>
      </c>
      <c r="S189" s="54">
        <f>R189*'Расчет субсидий'!Y189</f>
        <v>2.5000000000000022</v>
      </c>
      <c r="T189" s="55">
        <f t="shared" si="61"/>
        <v>3.6324896694214757</v>
      </c>
      <c r="U189" s="54">
        <f t="shared" si="57"/>
        <v>1.2701030927835095</v>
      </c>
    </row>
    <row r="190" spans="1:21" ht="15" customHeight="1">
      <c r="A190" s="33" t="s">
        <v>187</v>
      </c>
      <c r="B190" s="52">
        <f>'Расчет субсидий'!AD190</f>
        <v>0.44545454545455243</v>
      </c>
      <c r="C190" s="54">
        <f>'Расчет субсидий'!D190-1</f>
        <v>-1</v>
      </c>
      <c r="D190" s="54">
        <f>C190*'Расчет субсидий'!E190</f>
        <v>0</v>
      </c>
      <c r="E190" s="55">
        <f t="shared" si="58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4">
        <f>'Расчет субсидий'!P190-1</f>
        <v>-8.3155650319829411E-2</v>
      </c>
      <c r="M190" s="54">
        <f>L190*'Расчет субсидий'!Q190</f>
        <v>-1.6631130063965882</v>
      </c>
      <c r="N190" s="55">
        <f t="shared" si="59"/>
        <v>-2.3669192788871465</v>
      </c>
      <c r="O190" s="54">
        <f>'Расчет субсидий'!T190-1</f>
        <v>2.8888888888889408E-3</v>
      </c>
      <c r="P190" s="54">
        <f>O190*'Расчет субсидий'!U190</f>
        <v>0.10111111111111293</v>
      </c>
      <c r="Q190" s="55">
        <f t="shared" si="60"/>
        <v>0.14389992578864153</v>
      </c>
      <c r="R190" s="54">
        <f>'Расчет субсидий'!X190-1</f>
        <v>0.125</v>
      </c>
      <c r="S190" s="54">
        <f>R190*'Расчет субсидий'!Y190</f>
        <v>1.875</v>
      </c>
      <c r="T190" s="55">
        <f t="shared" si="61"/>
        <v>2.6684738985530574</v>
      </c>
      <c r="U190" s="54">
        <f t="shared" si="57"/>
        <v>0.31299810471452472</v>
      </c>
    </row>
    <row r="191" spans="1:21" ht="15" customHeight="1">
      <c r="A191" s="33" t="s">
        <v>188</v>
      </c>
      <c r="B191" s="52">
        <f>'Расчет субсидий'!AD191</f>
        <v>-31.690909090909088</v>
      </c>
      <c r="C191" s="54">
        <f>'Расчет субсидий'!D191-1</f>
        <v>-1</v>
      </c>
      <c r="D191" s="54">
        <f>C191*'Расчет субсидий'!E191</f>
        <v>0</v>
      </c>
      <c r="E191" s="55">
        <f t="shared" si="58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4">
        <f>'Расчет субсидий'!P191-1</f>
        <v>-0.87258687258687262</v>
      </c>
      <c r="M191" s="54">
        <f>L191*'Расчет субсидий'!Q191</f>
        <v>-17.451737451737451</v>
      </c>
      <c r="N191" s="55">
        <f t="shared" si="59"/>
        <v>-31.690909090909088</v>
      </c>
      <c r="O191" s="54">
        <f>'Расчет субсидий'!T191-1</f>
        <v>0</v>
      </c>
      <c r="P191" s="54">
        <f>O191*'Расчет субсидий'!U191</f>
        <v>0</v>
      </c>
      <c r="Q191" s="55">
        <f t="shared" si="60"/>
        <v>0</v>
      </c>
      <c r="R191" s="54">
        <f>'Расчет субсидий'!X191-1</f>
        <v>0</v>
      </c>
      <c r="S191" s="54">
        <f>R191*'Расчет субсидий'!Y191</f>
        <v>0</v>
      </c>
      <c r="T191" s="55">
        <f t="shared" si="61"/>
        <v>0</v>
      </c>
      <c r="U191" s="54">
        <f t="shared" si="57"/>
        <v>-17.451737451737451</v>
      </c>
    </row>
    <row r="192" spans="1:21" ht="15" customHeight="1">
      <c r="A192" s="32" t="s">
        <v>189</v>
      </c>
      <c r="B192" s="56"/>
      <c r="C192" s="57"/>
      <c r="D192" s="57"/>
      <c r="E192" s="58"/>
      <c r="F192" s="57"/>
      <c r="G192" s="57"/>
      <c r="H192" s="58"/>
      <c r="I192" s="58"/>
      <c r="J192" s="58"/>
      <c r="K192" s="58"/>
      <c r="L192" s="57"/>
      <c r="M192" s="57"/>
      <c r="N192" s="58"/>
      <c r="O192" s="57"/>
      <c r="P192" s="57"/>
      <c r="Q192" s="58"/>
      <c r="R192" s="57"/>
      <c r="S192" s="57"/>
      <c r="T192" s="58"/>
      <c r="U192" s="58"/>
    </row>
    <row r="193" spans="1:21" ht="15" customHeight="1">
      <c r="A193" s="33" t="s">
        <v>190</v>
      </c>
      <c r="B193" s="52">
        <f>'Расчет субсидий'!AD193</f>
        <v>-29.74545454545455</v>
      </c>
      <c r="C193" s="54">
        <f>'Расчет субсидий'!D193-1</f>
        <v>-1</v>
      </c>
      <c r="D193" s="54">
        <f>C193*'Расчет субсидий'!E193</f>
        <v>0</v>
      </c>
      <c r="E193" s="55">
        <f t="shared" ref="E193:E204" si="62">$B193*D193/$U193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4">
        <f>'Расчет субсидий'!P193-1</f>
        <v>-0.29371651242084762</v>
      </c>
      <c r="M193" s="54">
        <f>L193*'Расчет субсидий'!Q193</f>
        <v>-5.8743302484169524</v>
      </c>
      <c r="N193" s="55">
        <f t="shared" ref="N193:N204" si="63">$B193*M193/$U193</f>
        <v>-8.9495834769258114</v>
      </c>
      <c r="O193" s="54">
        <f>'Расчет субсидий'!T193-1</f>
        <v>-0.39</v>
      </c>
      <c r="P193" s="54">
        <f>O193*'Расчет субсидий'!U193</f>
        <v>-13.65</v>
      </c>
      <c r="Q193" s="55">
        <f t="shared" ref="Q193:Q204" si="64">$B193*P193/$U193</f>
        <v>-20.79587106852874</v>
      </c>
      <c r="R193" s="54">
        <f>'Расчет субсидий'!X193-1</f>
        <v>0</v>
      </c>
      <c r="S193" s="54">
        <f>R193*'Расчет субсидий'!Y193</f>
        <v>0</v>
      </c>
      <c r="T193" s="55">
        <f t="shared" ref="T193:T204" si="65">$B193*S193/$U193</f>
        <v>0</v>
      </c>
      <c r="U193" s="54">
        <f t="shared" si="57"/>
        <v>-19.524330248416952</v>
      </c>
    </row>
    <row r="194" spans="1:21" ht="15" customHeight="1">
      <c r="A194" s="33" t="s">
        <v>191</v>
      </c>
      <c r="B194" s="52">
        <f>'Расчет субсидий'!AD194</f>
        <v>-44.836363636363643</v>
      </c>
      <c r="C194" s="54">
        <f>'Расчет субсидий'!D194-1</f>
        <v>-1</v>
      </c>
      <c r="D194" s="54">
        <f>C194*'Расчет субсидий'!E194</f>
        <v>0</v>
      </c>
      <c r="E194" s="55">
        <f t="shared" si="62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4">
        <f>'Расчет субсидий'!P194-1</f>
        <v>-0.85646186440677963</v>
      </c>
      <c r="M194" s="54">
        <f>L194*'Расчет субсидий'!Q194</f>
        <v>-17.129237288135592</v>
      </c>
      <c r="N194" s="55">
        <f t="shared" si="63"/>
        <v>-16.295886716115984</v>
      </c>
      <c r="O194" s="54">
        <f>'Расчет субсидий'!T194-1</f>
        <v>-1</v>
      </c>
      <c r="P194" s="54">
        <f>O194*'Расчет субсидий'!U194</f>
        <v>-30</v>
      </c>
      <c r="Q194" s="55">
        <f t="shared" si="64"/>
        <v>-28.540476920247659</v>
      </c>
      <c r="R194" s="54">
        <f>'Расчет субсидий'!X194-1</f>
        <v>0</v>
      </c>
      <c r="S194" s="54">
        <f>R194*'Расчет субсидий'!Y194</f>
        <v>0</v>
      </c>
      <c r="T194" s="55">
        <f t="shared" si="65"/>
        <v>0</v>
      </c>
      <c r="U194" s="54">
        <f t="shared" si="57"/>
        <v>-47.129237288135592</v>
      </c>
    </row>
    <row r="195" spans="1:21" ht="15" customHeight="1">
      <c r="A195" s="33" t="s">
        <v>192</v>
      </c>
      <c r="B195" s="52">
        <f>'Расчет субсидий'!AD195</f>
        <v>29.627272727272725</v>
      </c>
      <c r="C195" s="54">
        <f>'Расчет субсидий'!D195-1</f>
        <v>-1</v>
      </c>
      <c r="D195" s="54">
        <f>C195*'Расчет субсидий'!E195</f>
        <v>0</v>
      </c>
      <c r="E195" s="55">
        <f t="shared" si="62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4">
        <f>'Расчет субсидий'!P195-1</f>
        <v>0.15968063872255489</v>
      </c>
      <c r="M195" s="54">
        <f>L195*'Расчет субсидий'!Q195</f>
        <v>3.1936127744510978</v>
      </c>
      <c r="N195" s="55">
        <f t="shared" si="63"/>
        <v>8.0386673578171326</v>
      </c>
      <c r="O195" s="54">
        <f>'Расчет субсидий'!T195-1</f>
        <v>0.20746031746031734</v>
      </c>
      <c r="P195" s="54">
        <f>O195*'Расчет субсидий'!U195</f>
        <v>6.2238095238095203</v>
      </c>
      <c r="Q195" s="55">
        <f t="shared" si="64"/>
        <v>15.665998977887382</v>
      </c>
      <c r="R195" s="54">
        <f>'Расчет субсидий'!X195-1</f>
        <v>0.11764705882352944</v>
      </c>
      <c r="S195" s="54">
        <f>R195*'Расчет субсидий'!Y195</f>
        <v>2.3529411764705888</v>
      </c>
      <c r="T195" s="55">
        <f t="shared" si="65"/>
        <v>5.9226063915682117</v>
      </c>
      <c r="U195" s="54">
        <f t="shared" si="57"/>
        <v>11.770363474731207</v>
      </c>
    </row>
    <row r="196" spans="1:21" ht="15" customHeight="1">
      <c r="A196" s="33" t="s">
        <v>193</v>
      </c>
      <c r="B196" s="52">
        <f>'Расчет субсидий'!AD196</f>
        <v>-5.2090909090909037</v>
      </c>
      <c r="C196" s="54">
        <f>'Расчет субсидий'!D196-1</f>
        <v>-1</v>
      </c>
      <c r="D196" s="54">
        <f>C196*'Расчет субсидий'!E196</f>
        <v>0</v>
      </c>
      <c r="E196" s="55">
        <f t="shared" si="62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4">
        <f>'Расчет субсидий'!P196-1</f>
        <v>-0.42792109256449162</v>
      </c>
      <c r="M196" s="54">
        <f>L196*'Расчет субсидий'!Q196</f>
        <v>-8.5584218512898325</v>
      </c>
      <c r="N196" s="55">
        <f t="shared" si="63"/>
        <v>-5.2090909090909037</v>
      </c>
      <c r="O196" s="54">
        <f>'Расчет субсидий'!T196-1</f>
        <v>0</v>
      </c>
      <c r="P196" s="54">
        <f>O196*'Расчет субсидий'!U196</f>
        <v>0</v>
      </c>
      <c r="Q196" s="55">
        <f t="shared" si="64"/>
        <v>0</v>
      </c>
      <c r="R196" s="54">
        <f>'Расчет субсидий'!X196-1</f>
        <v>0</v>
      </c>
      <c r="S196" s="54">
        <f>R196*'Расчет субсидий'!Y196</f>
        <v>0</v>
      </c>
      <c r="T196" s="55">
        <f t="shared" si="65"/>
        <v>0</v>
      </c>
      <c r="U196" s="54">
        <f t="shared" si="57"/>
        <v>-8.5584218512898325</v>
      </c>
    </row>
    <row r="197" spans="1:21" ht="15" customHeight="1">
      <c r="A197" s="33" t="s">
        <v>194</v>
      </c>
      <c r="B197" s="52">
        <f>'Расчет субсидий'!AD197</f>
        <v>-12.099999999999994</v>
      </c>
      <c r="C197" s="54">
        <f>'Расчет субсидий'!D197-1</f>
        <v>-1</v>
      </c>
      <c r="D197" s="54">
        <f>C197*'Расчет субсидий'!E197</f>
        <v>0</v>
      </c>
      <c r="E197" s="55">
        <f t="shared" si="62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4">
        <f>'Расчет субсидий'!P197-1</f>
        <v>-0.47993240388677649</v>
      </c>
      <c r="M197" s="54">
        <f>L197*'Расчет субсидий'!Q197</f>
        <v>-9.598648077735529</v>
      </c>
      <c r="N197" s="55">
        <f t="shared" si="63"/>
        <v>-11.340485528149605</v>
      </c>
      <c r="O197" s="54">
        <f>'Расчет субсидий'!T197-1</f>
        <v>0.17142857142857126</v>
      </c>
      <c r="P197" s="54">
        <f>O197*'Расчет субсидий'!U197</f>
        <v>0.85714285714285632</v>
      </c>
      <c r="Q197" s="55">
        <f t="shared" si="64"/>
        <v>1.0126859624671816</v>
      </c>
      <c r="R197" s="54">
        <f>'Расчет субсидий'!X197-1</f>
        <v>-3.3333333333333326E-2</v>
      </c>
      <c r="S197" s="54">
        <f>R197*'Расчет субсидий'!Y197</f>
        <v>-1.4999999999999996</v>
      </c>
      <c r="T197" s="55">
        <f t="shared" si="65"/>
        <v>-1.7722004343175688</v>
      </c>
      <c r="U197" s="54">
        <f t="shared" si="57"/>
        <v>-10.241505220592673</v>
      </c>
    </row>
    <row r="198" spans="1:21" ht="15" customHeight="1">
      <c r="A198" s="33" t="s">
        <v>195</v>
      </c>
      <c r="B198" s="52">
        <f>'Расчет субсидий'!AD198</f>
        <v>-7.3090909090909122</v>
      </c>
      <c r="C198" s="54">
        <f>'Расчет субсидий'!D198-1</f>
        <v>-0.82643504531722056</v>
      </c>
      <c r="D198" s="54">
        <f>C198*'Расчет субсидий'!E198</f>
        <v>-8.2643504531722058</v>
      </c>
      <c r="E198" s="55">
        <f t="shared" si="62"/>
        <v>-12.356791939619853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4">
        <f>'Расчет субсидий'!P198-1</f>
        <v>-0.13714285714285723</v>
      </c>
      <c r="M198" s="54">
        <f>L198*'Расчет субсидий'!Q198</f>
        <v>-2.7428571428571447</v>
      </c>
      <c r="N198" s="55">
        <f t="shared" si="63"/>
        <v>-4.1010984742759042</v>
      </c>
      <c r="O198" s="54">
        <f>'Расчет субсидий'!T198-1</f>
        <v>8.9108910891089188E-2</v>
      </c>
      <c r="P198" s="54">
        <f>O198*'Расчет субсидий'!U198</f>
        <v>3.1188118811881216</v>
      </c>
      <c r="Q198" s="55">
        <f t="shared" si="64"/>
        <v>4.6632230485655786</v>
      </c>
      <c r="R198" s="54">
        <f>'Расчет субсидий'!X198-1</f>
        <v>0.19999999999999996</v>
      </c>
      <c r="S198" s="54">
        <f>R198*'Расчет субсидий'!Y198</f>
        <v>2.9999999999999991</v>
      </c>
      <c r="T198" s="55">
        <f t="shared" si="65"/>
        <v>4.485576456239265</v>
      </c>
      <c r="U198" s="54">
        <f t="shared" si="57"/>
        <v>-4.8883957148412289</v>
      </c>
    </row>
    <row r="199" spans="1:21" ht="15" customHeight="1">
      <c r="A199" s="33" t="s">
        <v>196</v>
      </c>
      <c r="B199" s="52">
        <f>'Расчет субсидий'!AD199</f>
        <v>-1.9090909090909065</v>
      </c>
      <c r="C199" s="54">
        <f>'Расчет субсидий'!D199-1</f>
        <v>4.1034229229637953E-2</v>
      </c>
      <c r="D199" s="54">
        <f>C199*'Расчет субсидий'!E199</f>
        <v>0.41034229229637953</v>
      </c>
      <c r="E199" s="55">
        <f t="shared" si="62"/>
        <v>0.47796056064082854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4">
        <f>'Расчет субсидий'!P199-1</f>
        <v>-1.6384134966339614E-2</v>
      </c>
      <c r="M199" s="54">
        <f>L199*'Расчет субсидий'!Q199</f>
        <v>-0.32768269932679228</v>
      </c>
      <c r="N199" s="55">
        <f t="shared" si="63"/>
        <v>-0.38167990388232165</v>
      </c>
      <c r="O199" s="54">
        <f>'Расчет субсидий'!T199-1</f>
        <v>0.20649999999999991</v>
      </c>
      <c r="P199" s="54">
        <f>O199*'Расчет субсидий'!U199</f>
        <v>6.1949999999999967</v>
      </c>
      <c r="Q199" s="55">
        <f t="shared" si="64"/>
        <v>7.2158432819576461</v>
      </c>
      <c r="R199" s="54">
        <f>'Расчет субсидий'!X199-1</f>
        <v>-0.39583333333333337</v>
      </c>
      <c r="S199" s="54">
        <f>R199*'Расчет субсидий'!Y199</f>
        <v>-7.9166666666666679</v>
      </c>
      <c r="T199" s="55">
        <f t="shared" si="65"/>
        <v>-9.2212148478070599</v>
      </c>
      <c r="U199" s="54">
        <f t="shared" si="57"/>
        <v>-1.6390070736970834</v>
      </c>
    </row>
    <row r="200" spans="1:21" ht="15" customHeight="1">
      <c r="A200" s="33" t="s">
        <v>197</v>
      </c>
      <c r="B200" s="52">
        <f>'Расчет субсидий'!AD200</f>
        <v>-9.1545454545454561</v>
      </c>
      <c r="C200" s="54">
        <f>'Расчет субсидий'!D200-1</f>
        <v>-1</v>
      </c>
      <c r="D200" s="54">
        <f>C200*'Расчет субсидий'!E200</f>
        <v>0</v>
      </c>
      <c r="E200" s="55">
        <f t="shared" si="62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4">
        <f>'Расчет субсидий'!P200-1</f>
        <v>-0.90668817471150265</v>
      </c>
      <c r="M200" s="54">
        <f>L200*'Расчет субсидий'!Q200</f>
        <v>-18.133763494230053</v>
      </c>
      <c r="N200" s="55">
        <f t="shared" si="63"/>
        <v>-18.434516549954846</v>
      </c>
      <c r="O200" s="54">
        <f>'Расчет субсидий'!T200-1</f>
        <v>0.20428571428571418</v>
      </c>
      <c r="P200" s="54">
        <f>O200*'Расчет субсидий'!U200</f>
        <v>6.1285714285714255</v>
      </c>
      <c r="Q200" s="55">
        <f t="shared" si="64"/>
        <v>6.2302153363546608</v>
      </c>
      <c r="R200" s="54">
        <f>'Расчет субсидий'!X200-1</f>
        <v>0.14999999999999991</v>
      </c>
      <c r="S200" s="54">
        <f>R200*'Расчет субсидий'!Y200</f>
        <v>2.9999999999999982</v>
      </c>
      <c r="T200" s="55">
        <f t="shared" si="65"/>
        <v>3.0497557590547291</v>
      </c>
      <c r="U200" s="54">
        <f t="shared" si="57"/>
        <v>-9.005192065658628</v>
      </c>
    </row>
    <row r="201" spans="1:21" ht="15" customHeight="1">
      <c r="A201" s="33" t="s">
        <v>198</v>
      </c>
      <c r="B201" s="52">
        <f>'Расчет субсидий'!AD201</f>
        <v>-8.6090909090909093</v>
      </c>
      <c r="C201" s="54">
        <f>'Расчет субсидий'!D201-1</f>
        <v>-1</v>
      </c>
      <c r="D201" s="54">
        <f>C201*'Расчет субсидий'!E201</f>
        <v>0</v>
      </c>
      <c r="E201" s="55">
        <f t="shared" si="62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4">
        <f>'Расчет субсидий'!P201-1</f>
        <v>-0.64507772020725396</v>
      </c>
      <c r="M201" s="54">
        <f>L201*'Расчет субсидий'!Q201</f>
        <v>-12.901554404145079</v>
      </c>
      <c r="N201" s="55">
        <f t="shared" si="63"/>
        <v>-8.6090909090909093</v>
      </c>
      <c r="O201" s="54">
        <f>'Расчет субсидий'!T201-1</f>
        <v>0</v>
      </c>
      <c r="P201" s="54">
        <f>O201*'Расчет субсидий'!U201</f>
        <v>0</v>
      </c>
      <c r="Q201" s="55">
        <f t="shared" si="64"/>
        <v>0</v>
      </c>
      <c r="R201" s="54">
        <f>'Расчет субсидий'!X201-1</f>
        <v>0</v>
      </c>
      <c r="S201" s="54">
        <f>R201*'Расчет субсидий'!Y201</f>
        <v>0</v>
      </c>
      <c r="T201" s="55">
        <f t="shared" si="65"/>
        <v>0</v>
      </c>
      <c r="U201" s="54">
        <f t="shared" si="57"/>
        <v>-12.901554404145079</v>
      </c>
    </row>
    <row r="202" spans="1:21" ht="15" customHeight="1">
      <c r="A202" s="33" t="s">
        <v>199</v>
      </c>
      <c r="B202" s="52">
        <f>'Расчет субсидий'!AD202</f>
        <v>-46.672727272727286</v>
      </c>
      <c r="C202" s="54">
        <f>'Расчет субсидий'!D202-1</f>
        <v>-1</v>
      </c>
      <c r="D202" s="54">
        <f>C202*'Расчет субсидий'!E202</f>
        <v>0</v>
      </c>
      <c r="E202" s="55">
        <f t="shared" si="62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4">
        <f>'Расчет субсидий'!P202-1</f>
        <v>-0.59120171673819755</v>
      </c>
      <c r="M202" s="54">
        <f>L202*'Расчет субсидий'!Q202</f>
        <v>-11.824034334763951</v>
      </c>
      <c r="N202" s="55">
        <f t="shared" si="63"/>
        <v>-22.015739693711534</v>
      </c>
      <c r="O202" s="54">
        <f>'Расчет субсидий'!T202-1</f>
        <v>-0.30693069306930698</v>
      </c>
      <c r="P202" s="54">
        <f>O202*'Расчет субсидий'!U202</f>
        <v>-10.742574257425744</v>
      </c>
      <c r="Q202" s="55">
        <f t="shared" si="64"/>
        <v>-20.002117026715581</v>
      </c>
      <c r="R202" s="54">
        <f>'Расчет субсидий'!X202-1</f>
        <v>-0.16666666666666663</v>
      </c>
      <c r="S202" s="54">
        <f>R202*'Расчет субсидий'!Y202</f>
        <v>-2.4999999999999996</v>
      </c>
      <c r="T202" s="55">
        <f t="shared" si="65"/>
        <v>-4.654870552300169</v>
      </c>
      <c r="U202" s="54">
        <f t="shared" si="57"/>
        <v>-25.066608592189695</v>
      </c>
    </row>
    <row r="203" spans="1:21" ht="15" customHeight="1">
      <c r="A203" s="33" t="s">
        <v>200</v>
      </c>
      <c r="B203" s="52">
        <f>'Расчет субсидий'!AD203</f>
        <v>-6.7181818181818187</v>
      </c>
      <c r="C203" s="54">
        <f>'Расчет субсидий'!D203-1</f>
        <v>-1</v>
      </c>
      <c r="D203" s="54">
        <f>C203*'Расчет субсидий'!E203</f>
        <v>0</v>
      </c>
      <c r="E203" s="55">
        <f t="shared" si="62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4">
        <f>'Расчет субсидий'!P203-1</f>
        <v>-0.59850374064837908</v>
      </c>
      <c r="M203" s="54">
        <f>L203*'Расчет субсидий'!Q203</f>
        <v>-11.970074812967582</v>
      </c>
      <c r="N203" s="55">
        <f t="shared" si="63"/>
        <v>-6.9730429045499376</v>
      </c>
      <c r="O203" s="54">
        <f>'Расчет субсидий'!T203-1</f>
        <v>1.2499999999999956E-2</v>
      </c>
      <c r="P203" s="54">
        <f>O203*'Расчет субсидий'!U203</f>
        <v>0.43749999999999845</v>
      </c>
      <c r="Q203" s="55">
        <f t="shared" si="64"/>
        <v>0.25486108636811988</v>
      </c>
      <c r="R203" s="54">
        <f>'Расчет субсидий'!X203-1</f>
        <v>0</v>
      </c>
      <c r="S203" s="54">
        <f>R203*'Расчет субсидий'!Y203</f>
        <v>0</v>
      </c>
      <c r="T203" s="55">
        <f t="shared" si="65"/>
        <v>0</v>
      </c>
      <c r="U203" s="54">
        <f t="shared" si="57"/>
        <v>-11.532574812967583</v>
      </c>
    </row>
    <row r="204" spans="1:21" ht="15" customHeight="1">
      <c r="A204" s="33" t="s">
        <v>201</v>
      </c>
      <c r="B204" s="52">
        <f>'Расчет субсидий'!AD204</f>
        <v>-6.7545454545454504</v>
      </c>
      <c r="C204" s="54">
        <f>'Расчет субсидий'!D204-1</f>
        <v>-1</v>
      </c>
      <c r="D204" s="54">
        <f>C204*'Расчет субсидий'!E204</f>
        <v>0</v>
      </c>
      <c r="E204" s="55">
        <f t="shared" si="62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4">
        <f>'Расчет субсидий'!P204-1</f>
        <v>-0.59675550405561995</v>
      </c>
      <c r="M204" s="54">
        <f>L204*'Расчет субсидий'!Q204</f>
        <v>-11.935110081112398</v>
      </c>
      <c r="N204" s="55">
        <f t="shared" si="63"/>
        <v>-10.422119750399698</v>
      </c>
      <c r="O204" s="54">
        <f>'Расчет субсидий'!T204-1</f>
        <v>0</v>
      </c>
      <c r="P204" s="54">
        <f>O204*'Расчет субсидий'!U204</f>
        <v>0</v>
      </c>
      <c r="Q204" s="55">
        <f t="shared" si="64"/>
        <v>0</v>
      </c>
      <c r="R204" s="54">
        <f>'Расчет субсидий'!X204-1</f>
        <v>0.28000000000000003</v>
      </c>
      <c r="S204" s="54">
        <f>R204*'Расчет субсидий'!Y204</f>
        <v>4.2</v>
      </c>
      <c r="T204" s="55">
        <f t="shared" si="65"/>
        <v>3.667574295854247</v>
      </c>
      <c r="U204" s="54">
        <f t="shared" si="57"/>
        <v>-7.7351100811123983</v>
      </c>
    </row>
    <row r="205" spans="1:21" ht="15" customHeight="1">
      <c r="A205" s="32" t="s">
        <v>202</v>
      </c>
      <c r="B205" s="56"/>
      <c r="C205" s="57"/>
      <c r="D205" s="57"/>
      <c r="E205" s="58"/>
      <c r="F205" s="57"/>
      <c r="G205" s="57"/>
      <c r="H205" s="58"/>
      <c r="I205" s="58"/>
      <c r="J205" s="58"/>
      <c r="K205" s="58"/>
      <c r="L205" s="57"/>
      <c r="M205" s="57"/>
      <c r="N205" s="58"/>
      <c r="O205" s="57"/>
      <c r="P205" s="57"/>
      <c r="Q205" s="58"/>
      <c r="R205" s="57"/>
      <c r="S205" s="57"/>
      <c r="T205" s="58"/>
      <c r="U205" s="58"/>
    </row>
    <row r="206" spans="1:21" ht="15" customHeight="1">
      <c r="A206" s="33" t="s">
        <v>203</v>
      </c>
      <c r="B206" s="52">
        <f>'Расчет субсидий'!AD206</f>
        <v>-31.481818181818184</v>
      </c>
      <c r="C206" s="54">
        <f>'Расчет субсидий'!D206-1</f>
        <v>-1</v>
      </c>
      <c r="D206" s="54">
        <f>C206*'Расчет субсидий'!E206</f>
        <v>-10</v>
      </c>
      <c r="E206" s="55">
        <f t="shared" ref="E206:E218" si="66">$B206*D206/$U206</f>
        <v>-10.278801684268657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4">
        <f>'Расчет субсидий'!P206-1</f>
        <v>-1</v>
      </c>
      <c r="M206" s="54">
        <f>L206*'Расчет субсидий'!Q206</f>
        <v>-20</v>
      </c>
      <c r="N206" s="55">
        <f t="shared" ref="N206:N218" si="67">$B206*M206/$U206</f>
        <v>-20.557603368537315</v>
      </c>
      <c r="O206" s="54">
        <f>'Расчет субсидий'!T206-1</f>
        <v>-4.1860465116279055E-2</v>
      </c>
      <c r="P206" s="54">
        <f>O206*'Расчет субсидий'!U206</f>
        <v>-0.62790697674418583</v>
      </c>
      <c r="Q206" s="55">
        <f t="shared" ref="Q206:Q218" si="68">$B206*P206/$U206</f>
        <v>-0.64541312901221759</v>
      </c>
      <c r="R206" s="54">
        <f>'Расчет субсидий'!X206-1</f>
        <v>0</v>
      </c>
      <c r="S206" s="54">
        <f>R206*'Расчет субсидий'!Y206</f>
        <v>0</v>
      </c>
      <c r="T206" s="55">
        <f t="shared" ref="T206:T218" si="69">$B206*S206/$U206</f>
        <v>0</v>
      </c>
      <c r="U206" s="54">
        <f t="shared" si="57"/>
        <v>-30.627906976744185</v>
      </c>
    </row>
    <row r="207" spans="1:21" ht="15" customHeight="1">
      <c r="A207" s="33" t="s">
        <v>204</v>
      </c>
      <c r="B207" s="52">
        <f>'Расчет субсидий'!AD207</f>
        <v>-6.1272727272727252</v>
      </c>
      <c r="C207" s="54">
        <f>'Расчет субсидий'!D207-1</f>
        <v>-1</v>
      </c>
      <c r="D207" s="54">
        <f>C207*'Расчет субсидий'!E207</f>
        <v>0</v>
      </c>
      <c r="E207" s="55">
        <f t="shared" si="66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4">
        <f>'Расчет субсидий'!P207-1</f>
        <v>-0.30651340996168586</v>
      </c>
      <c r="M207" s="54">
        <f>L207*'Расчет субсидий'!Q207</f>
        <v>-6.1302681992337167</v>
      </c>
      <c r="N207" s="55">
        <f t="shared" si="67"/>
        <v>-14.84499752216289</v>
      </c>
      <c r="O207" s="54">
        <f>'Расчет субсидий'!T207-1</f>
        <v>0.18000000000000016</v>
      </c>
      <c r="P207" s="54">
        <f>O207*'Расчет субсидий'!U207</f>
        <v>3.6000000000000032</v>
      </c>
      <c r="Q207" s="55">
        <f t="shared" si="68"/>
        <v>8.7177247948901631</v>
      </c>
      <c r="R207" s="54">
        <f>'Расчет субсидий'!X207-1</f>
        <v>0</v>
      </c>
      <c r="S207" s="54">
        <f>R207*'Расчет субсидий'!Y207</f>
        <v>0</v>
      </c>
      <c r="T207" s="55">
        <f t="shared" si="69"/>
        <v>0</v>
      </c>
      <c r="U207" s="54">
        <f t="shared" si="57"/>
        <v>-2.5302681992337135</v>
      </c>
    </row>
    <row r="208" spans="1:21" ht="15" customHeight="1">
      <c r="A208" s="33" t="s">
        <v>205</v>
      </c>
      <c r="B208" s="52">
        <f>'Расчет субсидий'!AD208</f>
        <v>9.0909090909092605E-3</v>
      </c>
      <c r="C208" s="54">
        <f>'Расчет субсидий'!D208-1</f>
        <v>0.30000000000000004</v>
      </c>
      <c r="D208" s="54">
        <f>C208*'Расчет субсидий'!E208</f>
        <v>3.0000000000000004</v>
      </c>
      <c r="E208" s="55">
        <f t="shared" si="66"/>
        <v>4.5949466006773354E-2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4">
        <f>'Расчет субсидий'!P208-1</f>
        <v>-0.12032312925170063</v>
      </c>
      <c r="M208" s="54">
        <f>L208*'Расчет субсидий'!Q208</f>
        <v>-2.4064625850340127</v>
      </c>
      <c r="N208" s="55">
        <f t="shared" si="67"/>
        <v>-3.6858556915864094E-2</v>
      </c>
      <c r="O208" s="54">
        <f>'Расчет субсидий'!T208-1</f>
        <v>0</v>
      </c>
      <c r="P208" s="54">
        <f>O208*'Расчет субсидий'!U208</f>
        <v>0</v>
      </c>
      <c r="Q208" s="55">
        <f t="shared" si="68"/>
        <v>0</v>
      </c>
      <c r="R208" s="54">
        <f>'Расчет субсидий'!X208-1</f>
        <v>0</v>
      </c>
      <c r="S208" s="54">
        <f>R208*'Расчет субсидий'!Y208</f>
        <v>0</v>
      </c>
      <c r="T208" s="55">
        <f t="shared" si="69"/>
        <v>0</v>
      </c>
      <c r="U208" s="54">
        <f t="shared" si="57"/>
        <v>0.59353741496598778</v>
      </c>
    </row>
    <row r="209" spans="1:21" ht="15" customHeight="1">
      <c r="A209" s="33" t="s">
        <v>206</v>
      </c>
      <c r="B209" s="52">
        <f>'Расчет субсидий'!AD209</f>
        <v>16.190909090909088</v>
      </c>
      <c r="C209" s="54">
        <f>'Расчет субсидий'!D209-1</f>
        <v>-1.7345399698340924E-2</v>
      </c>
      <c r="D209" s="54">
        <f>C209*'Расчет субсидий'!E209</f>
        <v>-0.17345399698340924</v>
      </c>
      <c r="E209" s="55">
        <f t="shared" si="66"/>
        <v>-0.2408329761291971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4">
        <f>'Расчет субсидий'!P209-1</f>
        <v>0.25101351351351342</v>
      </c>
      <c r="M209" s="54">
        <f>L209*'Расчет субсидий'!Q209</f>
        <v>5.0202702702702684</v>
      </c>
      <c r="N209" s="55">
        <f t="shared" si="67"/>
        <v>6.9704166591085359</v>
      </c>
      <c r="O209" s="54">
        <f>'Расчет субсидий'!T209-1</f>
        <v>0.22714285714285709</v>
      </c>
      <c r="P209" s="54">
        <f>O209*'Расчет субсидий'!U209</f>
        <v>6.8142857142857132</v>
      </c>
      <c r="Q209" s="55">
        <f t="shared" si="68"/>
        <v>9.4613254079297509</v>
      </c>
      <c r="R209" s="54">
        <f>'Расчет субсидий'!X209-1</f>
        <v>0</v>
      </c>
      <c r="S209" s="54">
        <f>R209*'Расчет субсидий'!Y209</f>
        <v>0</v>
      </c>
      <c r="T209" s="55">
        <f t="shared" si="69"/>
        <v>0</v>
      </c>
      <c r="U209" s="54">
        <f t="shared" si="57"/>
        <v>11.661101987572572</v>
      </c>
    </row>
    <row r="210" spans="1:21" ht="15" customHeight="1">
      <c r="A210" s="33" t="s">
        <v>207</v>
      </c>
      <c r="B210" s="52">
        <f>'Расчет субсидий'!AD210</f>
        <v>-42.518181818181802</v>
      </c>
      <c r="C210" s="54">
        <f>'Расчет субсидий'!D210-1</f>
        <v>-0.44407556960406347</v>
      </c>
      <c r="D210" s="54">
        <f>C210*'Расчет субсидий'!E210</f>
        <v>-4.4407556960406342</v>
      </c>
      <c r="E210" s="55">
        <f t="shared" si="66"/>
        <v>-10.749440726098261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4">
        <f>'Расчет субсидий'!P210-1</f>
        <v>-0.5817317218149396</v>
      </c>
      <c r="M210" s="54">
        <f>L210*'Расчет субсидий'!Q210</f>
        <v>-11.634634436298793</v>
      </c>
      <c r="N210" s="55">
        <f t="shared" si="67"/>
        <v>-28.1631825309201</v>
      </c>
      <c r="O210" s="54">
        <f>'Расчет субсидий'!T210-1</f>
        <v>-5.7692307692307709E-2</v>
      </c>
      <c r="P210" s="54">
        <f>O210*'Расчет субсидий'!U210</f>
        <v>-2.3076923076923084</v>
      </c>
      <c r="Q210" s="55">
        <f t="shared" si="68"/>
        <v>-5.5860766440560319</v>
      </c>
      <c r="R210" s="54">
        <f>'Расчет субсидий'!X210-1</f>
        <v>8.181818181818179E-2</v>
      </c>
      <c r="S210" s="54">
        <f>R210*'Расчет субсидий'!Y210</f>
        <v>0.8181818181818179</v>
      </c>
      <c r="T210" s="55">
        <f t="shared" si="69"/>
        <v>1.9805180828925919</v>
      </c>
      <c r="U210" s="54">
        <f t="shared" si="57"/>
        <v>-17.564900621849919</v>
      </c>
    </row>
    <row r="211" spans="1:21" ht="15" customHeight="1">
      <c r="A211" s="33" t="s">
        <v>208</v>
      </c>
      <c r="B211" s="52">
        <f>'Расчет субсидий'!AD211</f>
        <v>-7.163636363636364</v>
      </c>
      <c r="C211" s="54">
        <f>'Расчет субсидий'!D211-1</f>
        <v>-0.42736993872401774</v>
      </c>
      <c r="D211" s="54">
        <f>C211*'Расчет субсидий'!E211</f>
        <v>-4.2736993872401774</v>
      </c>
      <c r="E211" s="55">
        <f t="shared" si="66"/>
        <v>-2.5750183391867889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4">
        <f>'Расчет субсидий'!P211-1</f>
        <v>-0.38078124999999996</v>
      </c>
      <c r="M211" s="54">
        <f>L211*'Расчет субсидий'!Q211</f>
        <v>-7.6156249999999996</v>
      </c>
      <c r="N211" s="55">
        <f t="shared" si="67"/>
        <v>-4.588618024449576</v>
      </c>
      <c r="O211" s="54">
        <f>'Расчет субсидий'!T211-1</f>
        <v>0</v>
      </c>
      <c r="P211" s="54">
        <f>O211*'Расчет субсидий'!U211</f>
        <v>0</v>
      </c>
      <c r="Q211" s="55">
        <f t="shared" si="68"/>
        <v>0</v>
      </c>
      <c r="R211" s="54">
        <f>'Расчет субсидий'!X211-1</f>
        <v>0</v>
      </c>
      <c r="S211" s="54">
        <f>R211*'Расчет субсидий'!Y211</f>
        <v>0</v>
      </c>
      <c r="T211" s="55">
        <f t="shared" si="69"/>
        <v>0</v>
      </c>
      <c r="U211" s="54">
        <f t="shared" si="57"/>
        <v>-11.889324387240176</v>
      </c>
    </row>
    <row r="212" spans="1:21" ht="15" customHeight="1">
      <c r="A212" s="33" t="s">
        <v>209</v>
      </c>
      <c r="B212" s="52">
        <f>'Расчет субсидий'!AD212</f>
        <v>0.32727272727272716</v>
      </c>
      <c r="C212" s="54">
        <f>'Расчет субсидий'!D212-1</f>
        <v>8.6005346130369809E-2</v>
      </c>
      <c r="D212" s="54">
        <f>C212*'Расчет субсидий'!E212</f>
        <v>0.86005346130369809</v>
      </c>
      <c r="E212" s="55">
        <f t="shared" si="66"/>
        <v>4.4217827130670274E-2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4">
        <f>'Расчет субсидий'!P212-1</f>
        <v>-4.9723756906077332E-2</v>
      </c>
      <c r="M212" s="54">
        <f>L212*'Расчет субсидий'!Q212</f>
        <v>-0.99447513812154664</v>
      </c>
      <c r="N212" s="55">
        <f t="shared" si="67"/>
        <v>-5.1128832940863275E-2</v>
      </c>
      <c r="O212" s="54">
        <f>'Расчет субсидий'!T212-1</f>
        <v>0.19999999999999996</v>
      </c>
      <c r="P212" s="54">
        <f>O212*'Расчет субсидий'!U212</f>
        <v>5.9999999999999982</v>
      </c>
      <c r="Q212" s="55">
        <f t="shared" si="68"/>
        <v>0.30847729207654173</v>
      </c>
      <c r="R212" s="54">
        <f>'Расчет субсидий'!X212-1</f>
        <v>2.4999999999999911E-2</v>
      </c>
      <c r="S212" s="54">
        <f>R212*'Расчет субсидий'!Y212</f>
        <v>0.49999999999999822</v>
      </c>
      <c r="T212" s="55">
        <f t="shared" si="69"/>
        <v>2.5706441006378398E-2</v>
      </c>
      <c r="U212" s="54">
        <f t="shared" si="57"/>
        <v>6.3655783231821479</v>
      </c>
    </row>
    <row r="213" spans="1:21" ht="15" customHeight="1">
      <c r="A213" s="33" t="s">
        <v>210</v>
      </c>
      <c r="B213" s="52">
        <f>'Расчет субсидий'!AD213</f>
        <v>8.9272727272727082</v>
      </c>
      <c r="C213" s="54">
        <f>'Расчет субсидий'!D213-1</f>
        <v>-0.43903429213094924</v>
      </c>
      <c r="D213" s="54">
        <f>C213*'Расчет субсидий'!E213</f>
        <v>-4.3903429213094922</v>
      </c>
      <c r="E213" s="55">
        <f t="shared" si="66"/>
        <v>-13.895766378086126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4">
        <f>'Расчет субсидий'!P213-1</f>
        <v>-0.20081868528774383</v>
      </c>
      <c r="M213" s="54">
        <f>L213*'Расчет субсидий'!Q213</f>
        <v>-4.0163737057548765</v>
      </c>
      <c r="N213" s="55">
        <f t="shared" si="67"/>
        <v>-12.71212561355261</v>
      </c>
      <c r="O213" s="54">
        <f>'Расчет субсидий'!T213-1</f>
        <v>0.24090909090909096</v>
      </c>
      <c r="P213" s="54">
        <f>O213*'Расчет субсидий'!U213</f>
        <v>7.2272727272727284</v>
      </c>
      <c r="Q213" s="55">
        <f t="shared" si="68"/>
        <v>22.874863118651504</v>
      </c>
      <c r="R213" s="54">
        <f>'Расчет субсидий'!X213-1</f>
        <v>0.19999999999999996</v>
      </c>
      <c r="S213" s="54">
        <f>R213*'Расчет субсидий'!Y213</f>
        <v>3.9999999999999991</v>
      </c>
      <c r="T213" s="55">
        <f t="shared" si="69"/>
        <v>12.660301600259945</v>
      </c>
      <c r="U213" s="54">
        <f t="shared" si="57"/>
        <v>2.8205561002083579</v>
      </c>
    </row>
    <row r="214" spans="1:21" ht="15" customHeight="1">
      <c r="A214" s="33" t="s">
        <v>211</v>
      </c>
      <c r="B214" s="52">
        <f>'Расчет субсидий'!AD214</f>
        <v>-1.163636363636364</v>
      </c>
      <c r="C214" s="54">
        <f>'Расчет субсидий'!D214-1</f>
        <v>0.21326542209857591</v>
      </c>
      <c r="D214" s="54">
        <f>C214*'Расчет субсидий'!E214</f>
        <v>2.1326542209857591</v>
      </c>
      <c r="E214" s="55">
        <f t="shared" si="66"/>
        <v>0.345854854220355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4">
        <f>'Расчет субсидий'!P214-1</f>
        <v>0.24504291008386958</v>
      </c>
      <c r="M214" s="54">
        <f>L214*'Расчет субсидий'!Q214</f>
        <v>4.9008582016773916</v>
      </c>
      <c r="N214" s="55">
        <f t="shared" si="67"/>
        <v>0.79477750411518011</v>
      </c>
      <c r="O214" s="54">
        <f>'Расчет субсидий'!T214-1</f>
        <v>-0.39137931034482754</v>
      </c>
      <c r="P214" s="54">
        <f>O214*'Расчет субсидий'!U214</f>
        <v>-3.9137931034482754</v>
      </c>
      <c r="Q214" s="55">
        <f t="shared" si="68"/>
        <v>-0.63470408372908604</v>
      </c>
      <c r="R214" s="54">
        <f>'Расчет субсидий'!X214-1</f>
        <v>-0.25737704918032789</v>
      </c>
      <c r="S214" s="54">
        <f>R214*'Расчет субсидий'!Y214</f>
        <v>-10.295081967213115</v>
      </c>
      <c r="T214" s="55">
        <f t="shared" si="69"/>
        <v>-1.6695646382428129</v>
      </c>
      <c r="U214" s="54">
        <f t="shared" si="57"/>
        <v>-7.1753626479982398</v>
      </c>
    </row>
    <row r="215" spans="1:21" ht="15" customHeight="1">
      <c r="A215" s="33" t="s">
        <v>212</v>
      </c>
      <c r="B215" s="52">
        <f>'Расчет субсидий'!AD215</f>
        <v>9.6090909090909093</v>
      </c>
      <c r="C215" s="54">
        <f>'Расчет субсидий'!D215-1</f>
        <v>-1</v>
      </c>
      <c r="D215" s="54">
        <f>C215*'Расчет субсидий'!E215</f>
        <v>0</v>
      </c>
      <c r="E215" s="55">
        <f t="shared" si="66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4">
        <f>'Расчет субсидий'!P215-1</f>
        <v>0.29829787234042549</v>
      </c>
      <c r="M215" s="54">
        <f>L215*'Расчет субсидий'!Q215</f>
        <v>5.9659574468085097</v>
      </c>
      <c r="N215" s="55">
        <f t="shared" si="67"/>
        <v>7.6785098059535208</v>
      </c>
      <c r="O215" s="54">
        <f>'Расчет субсидий'!T215-1</f>
        <v>6.0000000000000053E-2</v>
      </c>
      <c r="P215" s="54">
        <f>O215*'Расчет субсидий'!U215</f>
        <v>1.5000000000000013</v>
      </c>
      <c r="Q215" s="55">
        <f t="shared" si="68"/>
        <v>1.9305811031373885</v>
      </c>
      <c r="R215" s="54">
        <f>'Расчет субсидий'!X215-1</f>
        <v>0</v>
      </c>
      <c r="S215" s="54">
        <f>R215*'Расчет субсидий'!Y215</f>
        <v>0</v>
      </c>
      <c r="T215" s="55">
        <f t="shared" si="69"/>
        <v>0</v>
      </c>
      <c r="U215" s="54">
        <f t="shared" si="57"/>
        <v>7.4659574468085115</v>
      </c>
    </row>
    <row r="216" spans="1:21" ht="15" customHeight="1">
      <c r="A216" s="33" t="s">
        <v>213</v>
      </c>
      <c r="B216" s="52">
        <f>'Расчет субсидий'!AD216</f>
        <v>21.76363636363638</v>
      </c>
      <c r="C216" s="54">
        <f>'Расчет субсидий'!D216-1</f>
        <v>-0.17689898198903686</v>
      </c>
      <c r="D216" s="54">
        <f>C216*'Расчет субсидий'!E216</f>
        <v>-1.7689898198903686</v>
      </c>
      <c r="E216" s="55">
        <f t="shared" si="66"/>
        <v>-4.4338646290689541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4">
        <f>'Расчет субсидий'!P216-1</f>
        <v>0.19588202559821943</v>
      </c>
      <c r="M216" s="54">
        <f>L216*'Расчет субсидий'!Q216</f>
        <v>3.9176405119643887</v>
      </c>
      <c r="N216" s="55">
        <f t="shared" si="67"/>
        <v>9.8193259792094203</v>
      </c>
      <c r="O216" s="54">
        <f>'Расчет субсидий'!T216-1</f>
        <v>-1.6666666666667052E-3</v>
      </c>
      <c r="P216" s="54">
        <f>O216*'Расчет субсидий'!U216</f>
        <v>-2.5000000000000577E-2</v>
      </c>
      <c r="Q216" s="55">
        <f t="shared" si="68"/>
        <v>-6.2660968695453553E-2</v>
      </c>
      <c r="R216" s="54">
        <f>'Расчет субсидий'!X216-1</f>
        <v>0.18741258741258759</v>
      </c>
      <c r="S216" s="54">
        <f>R216*'Расчет субсидий'!Y216</f>
        <v>6.5594405594405654</v>
      </c>
      <c r="T216" s="55">
        <f t="shared" si="69"/>
        <v>16.440835982191363</v>
      </c>
      <c r="U216" s="54">
        <f t="shared" si="57"/>
        <v>8.6830912515145862</v>
      </c>
    </row>
    <row r="217" spans="1:21" ht="15" customHeight="1">
      <c r="A217" s="33" t="s">
        <v>214</v>
      </c>
      <c r="B217" s="52">
        <f>'Расчет субсидий'!AD217</f>
        <v>-2.7727272727272734</v>
      </c>
      <c r="C217" s="54">
        <f>'Расчет субсидий'!D217-1</f>
        <v>0.30000000000000004</v>
      </c>
      <c r="D217" s="54">
        <f>C217*'Расчет субсидий'!E217</f>
        <v>3.0000000000000004</v>
      </c>
      <c r="E217" s="55">
        <f t="shared" si="66"/>
        <v>2.2064188868168988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4">
        <f>'Расчет субсидий'!P217-1</f>
        <v>-0.48801573506541029</v>
      </c>
      <c r="M217" s="54">
        <f>L217*'Расчет субсидий'!Q217</f>
        <v>-9.7603147013082054</v>
      </c>
      <c r="N217" s="55">
        <f t="shared" si="67"/>
        <v>-7.1784475660810196</v>
      </c>
      <c r="O217" s="54">
        <f>'Расчет субсидий'!T217-1</f>
        <v>5.9677419354838834E-2</v>
      </c>
      <c r="P217" s="54">
        <f>O217*'Расчет субсидий'!U217</f>
        <v>1.790322580645165</v>
      </c>
      <c r="Q217" s="55">
        <f t="shared" si="68"/>
        <v>1.3167338518100873</v>
      </c>
      <c r="R217" s="54">
        <f>'Расчет субсидий'!X217-1</f>
        <v>6.0000000000000053E-2</v>
      </c>
      <c r="S217" s="54">
        <f>R217*'Расчет субсидий'!Y217</f>
        <v>1.2000000000000011</v>
      </c>
      <c r="T217" s="55">
        <f t="shared" si="69"/>
        <v>0.88256755472676018</v>
      </c>
      <c r="U217" s="54">
        <f t="shared" si="57"/>
        <v>-3.7699921206630389</v>
      </c>
    </row>
    <row r="218" spans="1:21" ht="15" customHeight="1">
      <c r="A218" s="33" t="s">
        <v>215</v>
      </c>
      <c r="B218" s="52">
        <f>'Расчет субсидий'!AD218</f>
        <v>-9.7636363636363583</v>
      </c>
      <c r="C218" s="54">
        <f>'Расчет субсидий'!D218-1</f>
        <v>-1</v>
      </c>
      <c r="D218" s="54">
        <f>C218*'Расчет субсидий'!E218</f>
        <v>0</v>
      </c>
      <c r="E218" s="55">
        <f t="shared" si="66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4">
        <f>'Расчет субсидий'!P218-1</f>
        <v>-0.20059880239520955</v>
      </c>
      <c r="M218" s="54">
        <f>L218*'Расчет субсидий'!Q218</f>
        <v>-4.0119760479041915</v>
      </c>
      <c r="N218" s="55">
        <f t="shared" si="67"/>
        <v>-3.8049047669881499</v>
      </c>
      <c r="O218" s="54">
        <f>'Расчет субсидий'!T218-1</f>
        <v>-0.23207547169811316</v>
      </c>
      <c r="P218" s="54">
        <f>O218*'Расчет субсидий'!U218</f>
        <v>-9.2830188679245254</v>
      </c>
      <c r="Q218" s="55">
        <f t="shared" si="68"/>
        <v>-8.8038917283811386</v>
      </c>
      <c r="R218" s="54">
        <f>'Расчет субсидий'!X218-1</f>
        <v>0.30000000000000004</v>
      </c>
      <c r="S218" s="54">
        <f>R218*'Расчет субсидий'!Y218</f>
        <v>3.0000000000000004</v>
      </c>
      <c r="T218" s="55">
        <f t="shared" si="69"/>
        <v>2.8451601317329303</v>
      </c>
      <c r="U218" s="54">
        <f t="shared" si="57"/>
        <v>-10.294994915828717</v>
      </c>
    </row>
    <row r="219" spans="1:21" ht="15" customHeight="1">
      <c r="A219" s="32" t="s">
        <v>216</v>
      </c>
      <c r="B219" s="56"/>
      <c r="C219" s="57"/>
      <c r="D219" s="57"/>
      <c r="E219" s="58"/>
      <c r="F219" s="57"/>
      <c r="G219" s="57"/>
      <c r="H219" s="58"/>
      <c r="I219" s="58"/>
      <c r="J219" s="58"/>
      <c r="K219" s="58"/>
      <c r="L219" s="57"/>
      <c r="M219" s="57"/>
      <c r="N219" s="58"/>
      <c r="O219" s="57"/>
      <c r="P219" s="57"/>
      <c r="Q219" s="58"/>
      <c r="R219" s="57"/>
      <c r="S219" s="57"/>
      <c r="T219" s="58"/>
      <c r="U219" s="58"/>
    </row>
    <row r="220" spans="1:21" ht="15" customHeight="1">
      <c r="A220" s="33" t="s">
        <v>217</v>
      </c>
      <c r="B220" s="52">
        <f>'Расчет субсидий'!AD220</f>
        <v>-3.4545454545454533</v>
      </c>
      <c r="C220" s="54">
        <f>'Расчет субсидий'!D220-1</f>
        <v>-1</v>
      </c>
      <c r="D220" s="54">
        <f>C220*'Расчет субсидий'!E220</f>
        <v>0</v>
      </c>
      <c r="E220" s="55">
        <f t="shared" ref="E220:E228" si="70">$B220*D220/$U220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4">
        <f>'Расчет субсидий'!P220-1</f>
        <v>-0.15287769784172667</v>
      </c>
      <c r="M220" s="54">
        <f>L220*'Расчет субсидий'!Q220</f>
        <v>-3.0575539568345333</v>
      </c>
      <c r="N220" s="55">
        <f t="shared" ref="N220:N228" si="71">$B220*M220/$U220</f>
        <v>-3.4545454545454533</v>
      </c>
      <c r="O220" s="54">
        <f>'Расчет субсидий'!T220-1</f>
        <v>0</v>
      </c>
      <c r="P220" s="54">
        <f>O220*'Расчет субсидий'!U220</f>
        <v>0</v>
      </c>
      <c r="Q220" s="55">
        <f t="shared" ref="Q220:Q228" si="72">$B220*P220/$U220</f>
        <v>0</v>
      </c>
      <c r="R220" s="54">
        <f>'Расчет субсидий'!X220-1</f>
        <v>0</v>
      </c>
      <c r="S220" s="54">
        <f>R220*'Расчет субсидий'!Y220</f>
        <v>0</v>
      </c>
      <c r="T220" s="55">
        <f t="shared" ref="T220:T228" si="73">$B220*S220/$U220</f>
        <v>0</v>
      </c>
      <c r="U220" s="54">
        <f t="shared" si="57"/>
        <v>-3.0575539568345333</v>
      </c>
    </row>
    <row r="221" spans="1:21" ht="15" customHeight="1">
      <c r="A221" s="33" t="s">
        <v>146</v>
      </c>
      <c r="B221" s="52">
        <f>'Расчет субсидий'!AD221</f>
        <v>-1.2272727272727266</v>
      </c>
      <c r="C221" s="54">
        <f>'Расчет субсидий'!D221-1</f>
        <v>-1</v>
      </c>
      <c r="D221" s="54">
        <f>C221*'Расчет субсидий'!E221</f>
        <v>0</v>
      </c>
      <c r="E221" s="55">
        <f t="shared" si="70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4">
        <f>'Расчет субсидий'!P221-1</f>
        <v>-0.50871080139372826</v>
      </c>
      <c r="M221" s="54">
        <f>L221*'Расчет субсидий'!Q221</f>
        <v>-10.174216027874564</v>
      </c>
      <c r="N221" s="55">
        <f t="shared" si="71"/>
        <v>-8.1194644696189417</v>
      </c>
      <c r="O221" s="54">
        <f>'Расчет субсидий'!T221-1</f>
        <v>0.15454545454545454</v>
      </c>
      <c r="P221" s="54">
        <f>O221*'Расчет субсидий'!U221</f>
        <v>4.6363636363636367</v>
      </c>
      <c r="Q221" s="55">
        <f t="shared" si="72"/>
        <v>3.7000187248384959</v>
      </c>
      <c r="R221" s="54">
        <f>'Расчет субсидий'!X221-1</f>
        <v>0.19999999999999996</v>
      </c>
      <c r="S221" s="54">
        <f>R221*'Расчет субсидий'!Y221</f>
        <v>3.9999999999999991</v>
      </c>
      <c r="T221" s="55">
        <f t="shared" si="73"/>
        <v>3.192173017507721</v>
      </c>
      <c r="U221" s="54">
        <f t="shared" si="57"/>
        <v>-1.5378523915109286</v>
      </c>
    </row>
    <row r="222" spans="1:21" ht="15" customHeight="1">
      <c r="A222" s="33" t="s">
        <v>218</v>
      </c>
      <c r="B222" s="52">
        <f>'Расчет субсидий'!AD222</f>
        <v>2.0363636363636459</v>
      </c>
      <c r="C222" s="54">
        <f>'Расчет субсидий'!D222-1</f>
        <v>-1</v>
      </c>
      <c r="D222" s="54">
        <f>C222*'Расчет субсидий'!E222</f>
        <v>0</v>
      </c>
      <c r="E222" s="55">
        <f t="shared" si="70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4">
        <f>'Расчет субсидий'!P222-1</f>
        <v>-1.039501039501034E-2</v>
      </c>
      <c r="M222" s="54">
        <f>L222*'Расчет субсидий'!Q222</f>
        <v>-0.2079002079002068</v>
      </c>
      <c r="N222" s="55">
        <f t="shared" si="71"/>
        <v>-0.25939616278961986</v>
      </c>
      <c r="O222" s="54">
        <f>'Расчет субсидий'!T222-1</f>
        <v>6.0000000000000053E-3</v>
      </c>
      <c r="P222" s="54">
        <f>O222*'Расчет субсидий'!U222</f>
        <v>9.000000000000008E-2</v>
      </c>
      <c r="Q222" s="55">
        <f t="shared" si="72"/>
        <v>0.11229259887162714</v>
      </c>
      <c r="R222" s="54">
        <f>'Расчет субсидий'!X222-1</f>
        <v>5.0000000000000044E-2</v>
      </c>
      <c r="S222" s="54">
        <f>R222*'Расчет субсидий'!Y222</f>
        <v>1.7500000000000016</v>
      </c>
      <c r="T222" s="55">
        <f t="shared" si="73"/>
        <v>2.1834672002816387</v>
      </c>
      <c r="U222" s="54">
        <f t="shared" si="57"/>
        <v>1.6320997920997948</v>
      </c>
    </row>
    <row r="223" spans="1:21" ht="15" customHeight="1">
      <c r="A223" s="33" t="s">
        <v>219</v>
      </c>
      <c r="B223" s="52">
        <f>'Расчет субсидий'!AD223</f>
        <v>6.7454545454545496</v>
      </c>
      <c r="C223" s="54">
        <f>'Расчет субсидий'!D223-1</f>
        <v>-1</v>
      </c>
      <c r="D223" s="54">
        <f>C223*'Расчет субсидий'!E223</f>
        <v>0</v>
      </c>
      <c r="E223" s="55">
        <f t="shared" si="70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4">
        <f>'Расчет субсидий'!P223-1</f>
        <v>0.29412803532008835</v>
      </c>
      <c r="M223" s="54">
        <f>L223*'Расчет субсидий'!Q223</f>
        <v>5.8825607064017671</v>
      </c>
      <c r="N223" s="55">
        <f t="shared" si="71"/>
        <v>6.7454545454545496</v>
      </c>
      <c r="O223" s="54">
        <f>'Расчет субсидий'!T223-1</f>
        <v>0</v>
      </c>
      <c r="P223" s="54">
        <f>O223*'Расчет субсидий'!U223</f>
        <v>0</v>
      </c>
      <c r="Q223" s="55">
        <f t="shared" si="72"/>
        <v>0</v>
      </c>
      <c r="R223" s="54">
        <f>'Расчет субсидий'!X223-1</f>
        <v>0</v>
      </c>
      <c r="S223" s="54">
        <f>R223*'Расчет субсидий'!Y223</f>
        <v>0</v>
      </c>
      <c r="T223" s="55">
        <f t="shared" si="73"/>
        <v>0</v>
      </c>
      <c r="U223" s="54">
        <f t="shared" si="57"/>
        <v>5.8825607064017671</v>
      </c>
    </row>
    <row r="224" spans="1:21" ht="15" customHeight="1">
      <c r="A224" s="33" t="s">
        <v>220</v>
      </c>
      <c r="B224" s="52">
        <f>'Расчет субсидий'!AD224</f>
        <v>-14.50909090909091</v>
      </c>
      <c r="C224" s="54">
        <f>'Расчет субсидий'!D224-1</f>
        <v>-2.8571428571428914E-3</v>
      </c>
      <c r="D224" s="54">
        <f>C224*'Расчет субсидий'!E224</f>
        <v>-2.8571428571428914E-2</v>
      </c>
      <c r="E224" s="55">
        <f t="shared" si="70"/>
        <v>-8.5405064909823344E-3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4">
        <f>'Расчет субсидий'!P224-1</f>
        <v>-0.82550860719874808</v>
      </c>
      <c r="M224" s="54">
        <f>L224*'Расчет субсидий'!Q224</f>
        <v>-16.510172143974962</v>
      </c>
      <c r="N224" s="55">
        <f t="shared" si="71"/>
        <v>-4.9351831326998274</v>
      </c>
      <c r="O224" s="54">
        <f>'Расчет субсидий'!T224-1</f>
        <v>0.19999999999999996</v>
      </c>
      <c r="P224" s="54">
        <f>O224*'Расчет субсидий'!U224</f>
        <v>2.9999999999999991</v>
      </c>
      <c r="Q224" s="55">
        <f t="shared" si="72"/>
        <v>0.8967531815531341</v>
      </c>
      <c r="R224" s="54">
        <f>'Расчет субсидий'!X224-1</f>
        <v>-1</v>
      </c>
      <c r="S224" s="54">
        <f>R224*'Расчет субсидий'!Y224</f>
        <v>-35</v>
      </c>
      <c r="T224" s="55">
        <f t="shared" si="73"/>
        <v>-10.462120451453233</v>
      </c>
      <c r="U224" s="54">
        <f t="shared" si="57"/>
        <v>-48.538743572546394</v>
      </c>
    </row>
    <row r="225" spans="1:21" ht="15" customHeight="1">
      <c r="A225" s="33" t="s">
        <v>221</v>
      </c>
      <c r="B225" s="52">
        <f>'Расчет субсидий'!AD225</f>
        <v>0</v>
      </c>
      <c r="C225" s="54">
        <f>'Расчет субсидий'!D225-1</f>
        <v>-0.23357419999999995</v>
      </c>
      <c r="D225" s="54">
        <f>C225*'Расчет субсидий'!E225</f>
        <v>-2.3357419999999998</v>
      </c>
      <c r="E225" s="55">
        <f t="shared" si="70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4">
        <f>'Расчет субсидий'!P225-1</f>
        <v>0.13162913972901347</v>
      </c>
      <c r="M225" s="54">
        <f>L225*'Расчет субсидий'!Q225</f>
        <v>2.6325827945802693</v>
      </c>
      <c r="N225" s="55">
        <f t="shared" si="71"/>
        <v>0</v>
      </c>
      <c r="O225" s="54">
        <f>'Расчет субсидий'!T225-1</f>
        <v>0</v>
      </c>
      <c r="P225" s="54">
        <f>O225*'Расчет субсидий'!U225</f>
        <v>0</v>
      </c>
      <c r="Q225" s="55">
        <f t="shared" si="72"/>
        <v>0</v>
      </c>
      <c r="R225" s="54">
        <f>'Расчет субсидий'!X225-1</f>
        <v>0</v>
      </c>
      <c r="S225" s="54">
        <f>R225*'Расчет субсидий'!Y225</f>
        <v>0</v>
      </c>
      <c r="T225" s="55">
        <f t="shared" si="73"/>
        <v>0</v>
      </c>
      <c r="U225" s="54">
        <f t="shared" si="57"/>
        <v>0.29684079458026957</v>
      </c>
    </row>
    <row r="226" spans="1:21" ht="15" customHeight="1">
      <c r="A226" s="33" t="s">
        <v>222</v>
      </c>
      <c r="B226" s="52">
        <f>'Расчет субсидий'!AD226</f>
        <v>-47.590909090909093</v>
      </c>
      <c r="C226" s="54">
        <f>'Расчет субсидий'!D226-1</f>
        <v>-1</v>
      </c>
      <c r="D226" s="54">
        <f>C226*'Расчет субсидий'!E226</f>
        <v>0</v>
      </c>
      <c r="E226" s="55">
        <f t="shared" si="70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4">
        <f>'Расчет субсидий'!P226-1</f>
        <v>-0.42435424354243545</v>
      </c>
      <c r="M226" s="54">
        <f>L226*'Расчет субсидий'!Q226</f>
        <v>-8.4870848708487081</v>
      </c>
      <c r="N226" s="55">
        <f t="shared" si="71"/>
        <v>-13.240355041761674</v>
      </c>
      <c r="O226" s="54">
        <f>'Расчет субсидий'!T226-1</f>
        <v>-0.140625</v>
      </c>
      <c r="P226" s="54">
        <f>O226*'Расчет субсидий'!U226</f>
        <v>-4.21875</v>
      </c>
      <c r="Q226" s="55">
        <f t="shared" si="72"/>
        <v>-6.5814998532996052</v>
      </c>
      <c r="R226" s="54">
        <f>'Расчет субсидий'!X226-1</f>
        <v>-0.89</v>
      </c>
      <c r="S226" s="54">
        <f>R226*'Расчет субсидий'!Y226</f>
        <v>-17.8</v>
      </c>
      <c r="T226" s="55">
        <f t="shared" si="73"/>
        <v>-27.769054195847815</v>
      </c>
      <c r="U226" s="54">
        <f t="shared" si="57"/>
        <v>-30.505834870848709</v>
      </c>
    </row>
    <row r="227" spans="1:21" ht="15" customHeight="1">
      <c r="A227" s="33" t="s">
        <v>223</v>
      </c>
      <c r="B227" s="52">
        <f>'Расчет субсидий'!AD227</f>
        <v>3.4454545454545382</v>
      </c>
      <c r="C227" s="54">
        <f>'Расчет субсидий'!D227-1</f>
        <v>-1</v>
      </c>
      <c r="D227" s="54">
        <f>C227*'Расчет субсидий'!E227</f>
        <v>0</v>
      </c>
      <c r="E227" s="55">
        <f t="shared" si="70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4">
        <f>'Расчет субсидий'!P227-1</f>
        <v>-0.20938215102974833</v>
      </c>
      <c r="M227" s="54">
        <f>L227*'Расчет субсидий'!Q227</f>
        <v>-4.1876430205949671</v>
      </c>
      <c r="N227" s="55">
        <f t="shared" si="71"/>
        <v>-7.9610881542699641</v>
      </c>
      <c r="O227" s="54">
        <f>'Расчет субсидий'!T227-1</f>
        <v>0.24</v>
      </c>
      <c r="P227" s="54">
        <f>O227*'Расчет субсидий'!U227</f>
        <v>6</v>
      </c>
      <c r="Q227" s="55">
        <f t="shared" si="72"/>
        <v>11.406542699724502</v>
      </c>
      <c r="R227" s="54">
        <f>'Расчет субсидий'!X227-1</f>
        <v>0</v>
      </c>
      <c r="S227" s="54">
        <f>R227*'Расчет субсидий'!Y227</f>
        <v>0</v>
      </c>
      <c r="T227" s="55">
        <f t="shared" si="73"/>
        <v>0</v>
      </c>
      <c r="U227" s="54">
        <f t="shared" si="57"/>
        <v>1.8123569794050329</v>
      </c>
    </row>
    <row r="228" spans="1:21" ht="15" customHeight="1">
      <c r="A228" s="33" t="s">
        <v>224</v>
      </c>
      <c r="B228" s="52">
        <f>'Расчет субсидий'!AD228</f>
        <v>-8.4818181818181984</v>
      </c>
      <c r="C228" s="54">
        <f>'Расчет субсидий'!D228-1</f>
        <v>-2.4840304182509487E-2</v>
      </c>
      <c r="D228" s="54">
        <f>C228*'Расчет субсидий'!E228</f>
        <v>-0.24840304182509487</v>
      </c>
      <c r="E228" s="55">
        <f t="shared" si="70"/>
        <v>-0.49097355117501718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4">
        <f>'Расчет субсидий'!P228-1</f>
        <v>-0.49797763502260295</v>
      </c>
      <c r="M228" s="54">
        <f>L228*'Расчет субсидий'!Q228</f>
        <v>-9.9595527004520594</v>
      </c>
      <c r="N228" s="55">
        <f t="shared" si="71"/>
        <v>-19.685253938632247</v>
      </c>
      <c r="O228" s="54">
        <f>'Расчет субсидий'!T228-1</f>
        <v>3.3333333333333437E-2</v>
      </c>
      <c r="P228" s="54">
        <f>O228*'Расчет субсидий'!U228</f>
        <v>0.66666666666666874</v>
      </c>
      <c r="Q228" s="55">
        <f t="shared" si="72"/>
        <v>1.3176799220269402</v>
      </c>
      <c r="R228" s="54">
        <f>'Расчет субсидий'!X228-1</f>
        <v>0.17500000000000004</v>
      </c>
      <c r="S228" s="54">
        <f>R228*'Расчет субсидий'!Y228</f>
        <v>5.2500000000000018</v>
      </c>
      <c r="T228" s="55">
        <f t="shared" si="73"/>
        <v>10.376729385962125</v>
      </c>
      <c r="U228" s="54">
        <f t="shared" si="57"/>
        <v>-4.291289075610484</v>
      </c>
    </row>
    <row r="229" spans="1:21" ht="15" customHeight="1">
      <c r="A229" s="32" t="s">
        <v>225</v>
      </c>
      <c r="B229" s="56"/>
      <c r="C229" s="57"/>
      <c r="D229" s="57"/>
      <c r="E229" s="58"/>
      <c r="F229" s="57"/>
      <c r="G229" s="57"/>
      <c r="H229" s="58"/>
      <c r="I229" s="58"/>
      <c r="J229" s="58"/>
      <c r="K229" s="58"/>
      <c r="L229" s="57"/>
      <c r="M229" s="57"/>
      <c r="N229" s="58"/>
      <c r="O229" s="57"/>
      <c r="P229" s="57"/>
      <c r="Q229" s="58"/>
      <c r="R229" s="57"/>
      <c r="S229" s="57"/>
      <c r="T229" s="58"/>
      <c r="U229" s="58"/>
    </row>
    <row r="230" spans="1:21" ht="15" customHeight="1">
      <c r="A230" s="33" t="s">
        <v>226</v>
      </c>
      <c r="B230" s="52">
        <f>'Расчет субсидий'!AD230</f>
        <v>-63.390909090909091</v>
      </c>
      <c r="C230" s="54">
        <f>'Расчет субсидий'!D230-1</f>
        <v>-1</v>
      </c>
      <c r="D230" s="54">
        <f>C230*'Расчет субсидий'!E230</f>
        <v>0</v>
      </c>
      <c r="E230" s="55">
        <f t="shared" ref="E230:E237" si="74">$B230*D230/$U230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4">
        <f>'Расчет субсидий'!P230-1</f>
        <v>5.5671175858480915E-2</v>
      </c>
      <c r="M230" s="54">
        <f>L230*'Расчет субсидий'!Q230</f>
        <v>1.1134235171696183</v>
      </c>
      <c r="N230" s="55">
        <f t="shared" ref="N230:N237" si="75">$B230*M230/$U230</f>
        <v>2.7531339453163644</v>
      </c>
      <c r="O230" s="54">
        <f>'Расчет субсидий'!T230-1</f>
        <v>0.16250000000000009</v>
      </c>
      <c r="P230" s="54">
        <f>O230*'Расчет субсидий'!U230</f>
        <v>3.2500000000000018</v>
      </c>
      <c r="Q230" s="55">
        <f t="shared" ref="Q230:Q237" si="76">$B230*P230/$U230</f>
        <v>8.0361921445881457</v>
      </c>
      <c r="R230" s="54">
        <f>'Расчет субсидий'!X230-1</f>
        <v>-1</v>
      </c>
      <c r="S230" s="54">
        <f>R230*'Расчет субсидий'!Y230</f>
        <v>-30</v>
      </c>
      <c r="T230" s="55">
        <f t="shared" ref="T230:T237" si="77">$B230*S230/$U230</f>
        <v>-74.180235180813611</v>
      </c>
      <c r="U230" s="54">
        <f t="shared" si="57"/>
        <v>-25.636576482830378</v>
      </c>
    </row>
    <row r="231" spans="1:21" ht="15" customHeight="1">
      <c r="A231" s="33" t="s">
        <v>227</v>
      </c>
      <c r="B231" s="52">
        <f>'Расчет субсидий'!AD231</f>
        <v>-14.345454545454544</v>
      </c>
      <c r="C231" s="54">
        <f>'Расчет субсидий'!D231-1</f>
        <v>-1</v>
      </c>
      <c r="D231" s="54">
        <f>C231*'Расчет субсидий'!E231</f>
        <v>0</v>
      </c>
      <c r="E231" s="55">
        <f t="shared" si="74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4">
        <f>'Расчет субсидий'!P231-1</f>
        <v>-0.81789802289281999</v>
      </c>
      <c r="M231" s="54">
        <f>L231*'Расчет субсидий'!Q231</f>
        <v>-16.3579604578564</v>
      </c>
      <c r="N231" s="55">
        <f t="shared" si="75"/>
        <v>-25.764536340526739</v>
      </c>
      <c r="O231" s="54">
        <f>'Расчет субсидий'!T231-1</f>
        <v>0</v>
      </c>
      <c r="P231" s="54">
        <f>O231*'Расчет субсидий'!U231</f>
        <v>0</v>
      </c>
      <c r="Q231" s="55">
        <f t="shared" si="76"/>
        <v>0</v>
      </c>
      <c r="R231" s="54">
        <f>'Расчет субсидий'!X231-1</f>
        <v>0.29000000000000004</v>
      </c>
      <c r="S231" s="54">
        <f>R231*'Расчет субсидий'!Y231</f>
        <v>7.2500000000000009</v>
      </c>
      <c r="T231" s="55">
        <f t="shared" si="77"/>
        <v>11.419081795072197</v>
      </c>
      <c r="U231" s="54">
        <f t="shared" si="57"/>
        <v>-9.1079604578564002</v>
      </c>
    </row>
    <row r="232" spans="1:21" ht="15" customHeight="1">
      <c r="A232" s="33" t="s">
        <v>228</v>
      </c>
      <c r="B232" s="52">
        <f>'Расчет субсидий'!AD232</f>
        <v>-25.263636363636351</v>
      </c>
      <c r="C232" s="54">
        <f>'Расчет субсидий'!D232-1</f>
        <v>-1</v>
      </c>
      <c r="D232" s="54">
        <f>C232*'Расчет субсидий'!E232</f>
        <v>0</v>
      </c>
      <c r="E232" s="55">
        <f t="shared" si="74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4">
        <f>'Расчет субсидий'!P232-1</f>
        <v>-0.58903736023997821</v>
      </c>
      <c r="M232" s="54">
        <f>L232*'Расчет субсидий'!Q232</f>
        <v>-11.780747204799564</v>
      </c>
      <c r="N232" s="55">
        <f t="shared" si="75"/>
        <v>-47.678771748454743</v>
      </c>
      <c r="O232" s="54">
        <f>'Расчет субсидий'!T232-1</f>
        <v>0.20256410256410251</v>
      </c>
      <c r="P232" s="54">
        <f>O232*'Расчет субсидий'!U232</f>
        <v>3.0384615384615374</v>
      </c>
      <c r="Q232" s="55">
        <f t="shared" si="76"/>
        <v>12.297192329171203</v>
      </c>
      <c r="R232" s="54">
        <f>'Расчет субсидий'!X232-1</f>
        <v>7.1428571428571397E-2</v>
      </c>
      <c r="S232" s="54">
        <f>R232*'Расчет субсидий'!Y232</f>
        <v>2.4999999999999991</v>
      </c>
      <c r="T232" s="55">
        <f t="shared" si="77"/>
        <v>10.117943055647192</v>
      </c>
      <c r="U232" s="54">
        <f t="shared" si="57"/>
        <v>-6.2422856663380282</v>
      </c>
    </row>
    <row r="233" spans="1:21" ht="15" customHeight="1">
      <c r="A233" s="33" t="s">
        <v>229</v>
      </c>
      <c r="B233" s="52">
        <f>'Расчет субсидий'!AD233</f>
        <v>-28.099999999999994</v>
      </c>
      <c r="C233" s="54">
        <f>'Расчет субсидий'!D233-1</f>
        <v>-0.89195979899497491</v>
      </c>
      <c r="D233" s="54">
        <f>C233*'Расчет субсидий'!E233</f>
        <v>-8.9195979899497484</v>
      </c>
      <c r="E233" s="55">
        <f t="shared" si="74"/>
        <v>-22.328708342859766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4">
        <f>'Расчет субсидий'!P233-1</f>
        <v>-0.49777223311352703</v>
      </c>
      <c r="M233" s="54">
        <f>L233*'Расчет субсидий'!Q233</f>
        <v>-9.9554446622705406</v>
      </c>
      <c r="N233" s="55">
        <f t="shared" si="75"/>
        <v>-24.921775682916323</v>
      </c>
      <c r="O233" s="54">
        <f>'Расчет субсидий'!T233-1</f>
        <v>2.0000000000000018E-2</v>
      </c>
      <c r="P233" s="54">
        <f>O233*'Расчет субсидий'!U233</f>
        <v>0.30000000000000027</v>
      </c>
      <c r="Q233" s="55">
        <f t="shared" si="76"/>
        <v>0.75099937355984747</v>
      </c>
      <c r="R233" s="54">
        <f>'Расчет субсидий'!X233-1</f>
        <v>0.20999999999999996</v>
      </c>
      <c r="S233" s="54">
        <f>R233*'Расчет субсидий'!Y233</f>
        <v>7.3499999999999988</v>
      </c>
      <c r="T233" s="55">
        <f t="shared" si="77"/>
        <v>18.399484652216245</v>
      </c>
      <c r="U233" s="54">
        <f t="shared" ref="U233:U296" si="78">D233+M233+P233+S233</f>
        <v>-11.225042652220289</v>
      </c>
    </row>
    <row r="234" spans="1:21" ht="15" customHeight="1">
      <c r="A234" s="33" t="s">
        <v>230</v>
      </c>
      <c r="B234" s="52">
        <f>'Расчет субсидий'!AD234</f>
        <v>-42.890909090909091</v>
      </c>
      <c r="C234" s="54">
        <f>'Расчет субсидий'!D234-1</f>
        <v>-1</v>
      </c>
      <c r="D234" s="54">
        <f>C234*'Расчет субсидий'!E234</f>
        <v>0</v>
      </c>
      <c r="E234" s="55">
        <f t="shared" si="74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4">
        <f>'Расчет субсидий'!P234-1</f>
        <v>-0.62864963503649629</v>
      </c>
      <c r="M234" s="54">
        <f>L234*'Расчет субсидий'!Q234</f>
        <v>-12.572992700729927</v>
      </c>
      <c r="N234" s="55">
        <f t="shared" si="75"/>
        <v>-14.201332277856125</v>
      </c>
      <c r="O234" s="54">
        <f>'Расчет субсидий'!T234-1</f>
        <v>0.22999999999999998</v>
      </c>
      <c r="P234" s="54">
        <f>O234*'Расчет субсидий'!U234</f>
        <v>4.5999999999999996</v>
      </c>
      <c r="Q234" s="55">
        <f t="shared" si="76"/>
        <v>5.195750131497781</v>
      </c>
      <c r="R234" s="54">
        <f>'Расчет субсидий'!X234-1</f>
        <v>-1</v>
      </c>
      <c r="S234" s="54">
        <f>R234*'Расчет субсидий'!Y234</f>
        <v>-30</v>
      </c>
      <c r="T234" s="55">
        <f t="shared" si="77"/>
        <v>-33.885326944550755</v>
      </c>
      <c r="U234" s="54">
        <f t="shared" si="78"/>
        <v>-37.972992700729925</v>
      </c>
    </row>
    <row r="235" spans="1:21" ht="15" customHeight="1">
      <c r="A235" s="33" t="s">
        <v>231</v>
      </c>
      <c r="B235" s="52">
        <f>'Расчет субсидий'!AD235</f>
        <v>-16.827272727272714</v>
      </c>
      <c r="C235" s="54">
        <f>'Расчет субсидий'!D235-1</f>
        <v>-1</v>
      </c>
      <c r="D235" s="54">
        <f>C235*'Расчет субсидий'!E235</f>
        <v>0</v>
      </c>
      <c r="E235" s="55">
        <f t="shared" si="74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4">
        <f>'Расчет субсидий'!P235-1</f>
        <v>-0.63857374392220423</v>
      </c>
      <c r="M235" s="54">
        <f>L235*'Расчет субсидий'!Q235</f>
        <v>-12.771474878444085</v>
      </c>
      <c r="N235" s="55">
        <f t="shared" si="75"/>
        <v>-34.822971030755028</v>
      </c>
      <c r="O235" s="54">
        <f>'Расчет субсидий'!T235-1</f>
        <v>-0.12</v>
      </c>
      <c r="P235" s="54">
        <f>O235*'Расчет субсидий'!U235</f>
        <v>-2.4</v>
      </c>
      <c r="Q235" s="55">
        <f t="shared" si="76"/>
        <v>-6.5438902921753872</v>
      </c>
      <c r="R235" s="54">
        <f>'Расчет субсидий'!X235-1</f>
        <v>0.30000000000000004</v>
      </c>
      <c r="S235" s="54">
        <f>R235*'Расчет субсидий'!Y235</f>
        <v>9.0000000000000018</v>
      </c>
      <c r="T235" s="55">
        <f t="shared" si="77"/>
        <v>24.539588595657705</v>
      </c>
      <c r="U235" s="54">
        <f t="shared" si="78"/>
        <v>-6.1714748784440836</v>
      </c>
    </row>
    <row r="236" spans="1:21" ht="15" customHeight="1">
      <c r="A236" s="33" t="s">
        <v>232</v>
      </c>
      <c r="B236" s="52">
        <f>'Расчет субсидий'!AD236</f>
        <v>41.672727272727229</v>
      </c>
      <c r="C236" s="54">
        <f>'Расчет субсидий'!D236-1</f>
        <v>-0.42922374429223742</v>
      </c>
      <c r="D236" s="54">
        <f>C236*'Расчет субсидий'!E236</f>
        <v>-4.2922374429223744</v>
      </c>
      <c r="E236" s="55">
        <f t="shared" si="74"/>
        <v>-23.89086833910763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4">
        <f>'Расчет субсидий'!P236-1</f>
        <v>0.30000000000000004</v>
      </c>
      <c r="M236" s="54">
        <f>L236*'Расчет субсидий'!Q236</f>
        <v>6.0000000000000009</v>
      </c>
      <c r="N236" s="55">
        <f t="shared" si="75"/>
        <v>33.396384039986629</v>
      </c>
      <c r="O236" s="54">
        <f>'Расчет субсидий'!T236-1</f>
        <v>-0.11250000000000004</v>
      </c>
      <c r="P236" s="54">
        <f>O236*'Расчет субсидий'!U236</f>
        <v>-1.6875000000000007</v>
      </c>
      <c r="Q236" s="55">
        <f t="shared" si="76"/>
        <v>-9.392733011246241</v>
      </c>
      <c r="R236" s="54">
        <f>'Расчет субсидий'!X236-1</f>
        <v>0.21333333333333337</v>
      </c>
      <c r="S236" s="54">
        <f>R236*'Расчет субсидий'!Y236</f>
        <v>7.4666666666666686</v>
      </c>
      <c r="T236" s="55">
        <f t="shared" si="77"/>
        <v>41.55994458309447</v>
      </c>
      <c r="U236" s="54">
        <f t="shared" si="78"/>
        <v>7.4869292237442941</v>
      </c>
    </row>
    <row r="237" spans="1:21" ht="15" customHeight="1">
      <c r="A237" s="33" t="s">
        <v>233</v>
      </c>
      <c r="B237" s="52">
        <f>'Расчет субсидий'!AD237</f>
        <v>12.463636363636368</v>
      </c>
      <c r="C237" s="54">
        <f>'Расчет субсидий'!D237-1</f>
        <v>3.7709991158267897E-3</v>
      </c>
      <c r="D237" s="54">
        <f>C237*'Расчет субсидий'!E237</f>
        <v>3.7709991158267897E-2</v>
      </c>
      <c r="E237" s="55">
        <f t="shared" si="74"/>
        <v>9.4965796793766391E-2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4">
        <f>'Расчет субсидий'!P237-1</f>
        <v>-0.21359274770715153</v>
      </c>
      <c r="M237" s="54">
        <f>L237*'Расчет субсидий'!Q237</f>
        <v>-4.2718549541430306</v>
      </c>
      <c r="N237" s="55">
        <f t="shared" si="75"/>
        <v>-10.757894580376906</v>
      </c>
      <c r="O237" s="54">
        <f>'Расчет субсидий'!T237-1</f>
        <v>5.8333333333333348E-2</v>
      </c>
      <c r="P237" s="54">
        <f>O237*'Расчет субсидий'!U237</f>
        <v>0.58333333333333348</v>
      </c>
      <c r="Q237" s="55">
        <f t="shared" si="76"/>
        <v>1.4690195647054145</v>
      </c>
      <c r="R237" s="54">
        <f>'Расчет субсидий'!X237-1</f>
        <v>0.21499999999999986</v>
      </c>
      <c r="S237" s="54">
        <f>R237*'Расчет субсидий'!Y237</f>
        <v>8.5999999999999943</v>
      </c>
      <c r="T237" s="55">
        <f t="shared" si="77"/>
        <v>21.657545582514093</v>
      </c>
      <c r="U237" s="54">
        <f t="shared" si="78"/>
        <v>4.9491883703485655</v>
      </c>
    </row>
    <row r="238" spans="1:21" ht="15" customHeight="1">
      <c r="A238" s="32" t="s">
        <v>234</v>
      </c>
      <c r="B238" s="56"/>
      <c r="C238" s="57"/>
      <c r="D238" s="57"/>
      <c r="E238" s="58"/>
      <c r="F238" s="57"/>
      <c r="G238" s="57"/>
      <c r="H238" s="58"/>
      <c r="I238" s="58"/>
      <c r="J238" s="58"/>
      <c r="K238" s="58"/>
      <c r="L238" s="57"/>
      <c r="M238" s="57"/>
      <c r="N238" s="58"/>
      <c r="O238" s="57"/>
      <c r="P238" s="57"/>
      <c r="Q238" s="58"/>
      <c r="R238" s="57"/>
      <c r="S238" s="57"/>
      <c r="T238" s="58"/>
      <c r="U238" s="58"/>
    </row>
    <row r="239" spans="1:21" ht="15" customHeight="1">
      <c r="A239" s="33" t="s">
        <v>235</v>
      </c>
      <c r="B239" s="52">
        <f>'Расчет субсидий'!AD239</f>
        <v>19.054545454545448</v>
      </c>
      <c r="C239" s="54">
        <f>'Расчет субсидий'!D239-1</f>
        <v>1.9351717464924922E-2</v>
      </c>
      <c r="D239" s="54">
        <f>C239*'Расчет субсидий'!E239</f>
        <v>0.19351717464924922</v>
      </c>
      <c r="E239" s="55">
        <f t="shared" ref="E239:E253" si="79">$B239*D239/$U239</f>
        <v>0.21673054955057344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4">
        <f>'Расчет субсидий'!P239-1</f>
        <v>0.30000000000000004</v>
      </c>
      <c r="M239" s="54">
        <f>L239*'Расчет субсидий'!Q239</f>
        <v>6.0000000000000009</v>
      </c>
      <c r="N239" s="55">
        <f t="shared" ref="N239:N253" si="80">$B239*M239/$U239</f>
        <v>6.7197306888155612</v>
      </c>
      <c r="O239" s="54">
        <f>'Расчет субсидий'!T239-1</f>
        <v>9.1007583965330596E-2</v>
      </c>
      <c r="P239" s="54">
        <f>O239*'Расчет субсидий'!U239</f>
        <v>1.8201516793066119</v>
      </c>
      <c r="Q239" s="55">
        <f t="shared" ref="Q239:Q253" si="81">$B239*P239/$U239</f>
        <v>2.0384881829559696</v>
      </c>
      <c r="R239" s="54">
        <f>'Расчет субсидий'!X239-1</f>
        <v>0.30000000000000004</v>
      </c>
      <c r="S239" s="54">
        <f>R239*'Расчет субсидий'!Y239</f>
        <v>9.0000000000000018</v>
      </c>
      <c r="T239" s="55">
        <f t="shared" ref="T239:T253" si="82">$B239*S239/$U239</f>
        <v>10.079596033223343</v>
      </c>
      <c r="U239" s="54">
        <f t="shared" si="78"/>
        <v>17.013668853955863</v>
      </c>
    </row>
    <row r="240" spans="1:21" ht="15" customHeight="1">
      <c r="A240" s="33" t="s">
        <v>236</v>
      </c>
      <c r="B240" s="52">
        <f>'Расчет субсидий'!AD240</f>
        <v>30.845454545454544</v>
      </c>
      <c r="C240" s="54">
        <f>'Расчет субсидий'!D240-1</f>
        <v>-1</v>
      </c>
      <c r="D240" s="54">
        <f>C240*'Расчет субсидий'!E240</f>
        <v>0</v>
      </c>
      <c r="E240" s="55">
        <f t="shared" si="79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4">
        <f>'Расчет субсидий'!P240-1</f>
        <v>0.2325455688246385</v>
      </c>
      <c r="M240" s="54">
        <f>L240*'Расчет субсидий'!Q240</f>
        <v>4.6509113764927701</v>
      </c>
      <c r="N240" s="55">
        <f t="shared" si="80"/>
        <v>8.5356159939770588</v>
      </c>
      <c r="O240" s="54">
        <f>'Расчет субсидий'!T240-1</f>
        <v>1.5625E-2</v>
      </c>
      <c r="P240" s="54">
        <f>O240*'Расчет субсидий'!U240</f>
        <v>0.15625</v>
      </c>
      <c r="Q240" s="55">
        <f t="shared" si="81"/>
        <v>0.28675885027606018</v>
      </c>
      <c r="R240" s="54">
        <f>'Расчет субсидий'!X240-1</f>
        <v>0.30000000000000004</v>
      </c>
      <c r="S240" s="54">
        <f>R240*'Расчет субсидий'!Y240</f>
        <v>12.000000000000002</v>
      </c>
      <c r="T240" s="55">
        <f t="shared" si="82"/>
        <v>22.023079701201425</v>
      </c>
      <c r="U240" s="54">
        <f t="shared" si="78"/>
        <v>16.807161376492772</v>
      </c>
    </row>
    <row r="241" spans="1:21" ht="15" customHeight="1">
      <c r="A241" s="33" t="s">
        <v>237</v>
      </c>
      <c r="B241" s="52">
        <f>'Расчет субсидий'!AD241</f>
        <v>-10.181818181818187</v>
      </c>
      <c r="C241" s="54">
        <f>'Расчет субсидий'!D241-1</f>
        <v>-8.5536547433903598E-2</v>
      </c>
      <c r="D241" s="54">
        <f>C241*'Расчет субсидий'!E241</f>
        <v>-0.85536547433903598</v>
      </c>
      <c r="E241" s="55">
        <f t="shared" si="79"/>
        <v>-1.0575212873030202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4">
        <f>'Расчет субсидий'!P241-1</f>
        <v>-0.4</v>
      </c>
      <c r="M241" s="54">
        <f>L241*'Расчет субсидий'!Q241</f>
        <v>-8</v>
      </c>
      <c r="N241" s="55">
        <f t="shared" si="80"/>
        <v>-9.8907081852486076</v>
      </c>
      <c r="O241" s="54">
        <f>'Расчет субсидий'!T241-1</f>
        <v>4.7961630695443347E-3</v>
      </c>
      <c r="P241" s="54">
        <f>O241*'Расчет субсидий'!U241</f>
        <v>0.11990407673860837</v>
      </c>
      <c r="Q241" s="55">
        <f t="shared" si="81"/>
        <v>0.14824202915540388</v>
      </c>
      <c r="R241" s="54">
        <f>'Расчет субсидий'!X241-1</f>
        <v>2.0000000000000018E-2</v>
      </c>
      <c r="S241" s="54">
        <f>R241*'Расчет субсидий'!Y241</f>
        <v>0.50000000000000044</v>
      </c>
      <c r="T241" s="55">
        <f t="shared" si="82"/>
        <v>0.61816926157803853</v>
      </c>
      <c r="U241" s="54">
        <f t="shared" si="78"/>
        <v>-8.2354613976004281</v>
      </c>
    </row>
    <row r="242" spans="1:21" ht="15" customHeight="1">
      <c r="A242" s="33" t="s">
        <v>238</v>
      </c>
      <c r="B242" s="52">
        <f>'Расчет субсидий'!AD242</f>
        <v>-4.6454545454545411</v>
      </c>
      <c r="C242" s="54">
        <f>'Расчет субсидий'!D242-1</f>
        <v>-1</v>
      </c>
      <c r="D242" s="54">
        <f>C242*'Расчет субсидий'!E242</f>
        <v>0</v>
      </c>
      <c r="E242" s="55">
        <f t="shared" si="79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4">
        <f>'Расчет субсидий'!P242-1</f>
        <v>-0.41735052754982405</v>
      </c>
      <c r="M242" s="54">
        <f>L242*'Расчет субсидий'!Q242</f>
        <v>-8.3470105509964814</v>
      </c>
      <c r="N242" s="55">
        <f t="shared" si="80"/>
        <v>-14.64884909147278</v>
      </c>
      <c r="O242" s="54">
        <f>'Расчет субсидий'!T242-1</f>
        <v>-3.499999999999992E-2</v>
      </c>
      <c r="P242" s="54">
        <f>O242*'Расчет субсидий'!U242</f>
        <v>-0.6999999999999984</v>
      </c>
      <c r="Q242" s="55">
        <f t="shared" si="81"/>
        <v>-1.2284870495110083</v>
      </c>
      <c r="R242" s="54">
        <f>'Расчет субсидий'!X242-1</f>
        <v>0.21333333333333337</v>
      </c>
      <c r="S242" s="54">
        <f>R242*'Расчет субсидий'!Y242</f>
        <v>6.4000000000000012</v>
      </c>
      <c r="T242" s="55">
        <f t="shared" si="82"/>
        <v>11.231881595529247</v>
      </c>
      <c r="U242" s="54">
        <f t="shared" si="78"/>
        <v>-2.6470105509964776</v>
      </c>
    </row>
    <row r="243" spans="1:21" ht="15" customHeight="1">
      <c r="A243" s="33" t="s">
        <v>239</v>
      </c>
      <c r="B243" s="52">
        <f>'Расчет субсидий'!AD243</f>
        <v>-10.454545454545453</v>
      </c>
      <c r="C243" s="54">
        <f>'Расчет субсидий'!D243-1</f>
        <v>-1</v>
      </c>
      <c r="D243" s="54">
        <f>C243*'Расчет субсидий'!E243</f>
        <v>0</v>
      </c>
      <c r="E243" s="55">
        <f t="shared" si="79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4">
        <f>'Расчет субсидий'!P243-1</f>
        <v>-0.57072570725707261</v>
      </c>
      <c r="M243" s="54">
        <f>L243*'Расчет субсидий'!Q243</f>
        <v>-11.414514145141453</v>
      </c>
      <c r="N243" s="55">
        <f t="shared" si="80"/>
        <v>-12.174892265569508</v>
      </c>
      <c r="O243" s="54">
        <f>'Расчет субсидий'!T243-1</f>
        <v>6.4516129032258007E-2</v>
      </c>
      <c r="P243" s="54">
        <f>O243*'Расчет субсидий'!U243</f>
        <v>1.6129032258064502</v>
      </c>
      <c r="Q243" s="55">
        <f t="shared" si="81"/>
        <v>1.7203468110240545</v>
      </c>
      <c r="R243" s="54">
        <f>'Расчет субсидий'!X243-1</f>
        <v>0</v>
      </c>
      <c r="S243" s="54">
        <f>R243*'Расчет субсидий'!Y243</f>
        <v>0</v>
      </c>
      <c r="T243" s="55">
        <f t="shared" si="82"/>
        <v>0</v>
      </c>
      <c r="U243" s="54">
        <f t="shared" si="78"/>
        <v>-9.8016109193350029</v>
      </c>
    </row>
    <row r="244" spans="1:21" ht="15" customHeight="1">
      <c r="A244" s="33" t="s">
        <v>240</v>
      </c>
      <c r="B244" s="52">
        <f>'Расчет субсидий'!AD244</f>
        <v>-19.018181818181816</v>
      </c>
      <c r="C244" s="54">
        <f>'Расчет субсидий'!D244-1</f>
        <v>-1</v>
      </c>
      <c r="D244" s="54">
        <f>C244*'Расчет субсидий'!E244</f>
        <v>0</v>
      </c>
      <c r="E244" s="55">
        <f t="shared" si="79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4">
        <f>'Расчет субсидий'!P244-1</f>
        <v>-0.64966949952785646</v>
      </c>
      <c r="M244" s="54">
        <f>L244*'Расчет субсидий'!Q244</f>
        <v>-12.99338999055713</v>
      </c>
      <c r="N244" s="55">
        <f t="shared" si="80"/>
        <v>-18.504511518187218</v>
      </c>
      <c r="O244" s="54">
        <f>'Расчет субсидий'!T244-1</f>
        <v>-7.6517150395778333E-2</v>
      </c>
      <c r="P244" s="54">
        <f>O244*'Расчет субсидий'!U244</f>
        <v>-3.0606860158311333</v>
      </c>
      <c r="Q244" s="55">
        <f t="shared" si="81"/>
        <v>-4.3588701389446474</v>
      </c>
      <c r="R244" s="54">
        <f>'Расчет субсидий'!X244-1</f>
        <v>0.27</v>
      </c>
      <c r="S244" s="54">
        <f>R244*'Расчет субсидий'!Y244</f>
        <v>2.7</v>
      </c>
      <c r="T244" s="55">
        <f t="shared" si="82"/>
        <v>3.8451998389500517</v>
      </c>
      <c r="U244" s="54">
        <f t="shared" si="78"/>
        <v>-13.354076006388265</v>
      </c>
    </row>
    <row r="245" spans="1:21" ht="15" customHeight="1">
      <c r="A245" s="33" t="s">
        <v>241</v>
      </c>
      <c r="B245" s="52">
        <f>'Расчет субсидий'!AD245</f>
        <v>31.745454545454535</v>
      </c>
      <c r="C245" s="54">
        <f>'Расчет субсидий'!D245-1</f>
        <v>-1</v>
      </c>
      <c r="D245" s="54">
        <f>C245*'Расчет субсидий'!E245</f>
        <v>0</v>
      </c>
      <c r="E245" s="55">
        <f t="shared" si="79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4">
        <f>'Расчет субсидий'!P245-1</f>
        <v>0.30000000000000004</v>
      </c>
      <c r="M245" s="54">
        <f>L245*'Расчет субсидий'!Q245</f>
        <v>6.0000000000000009</v>
      </c>
      <c r="N245" s="55">
        <f t="shared" si="80"/>
        <v>10.411463190497257</v>
      </c>
      <c r="O245" s="54">
        <f>'Расчет субсидий'!T245-1</f>
        <v>0.19178082191780832</v>
      </c>
      <c r="P245" s="54">
        <f>O245*'Расчет субсидий'!U245</f>
        <v>4.7945205479452078</v>
      </c>
      <c r="Q245" s="55">
        <f t="shared" si="81"/>
        <v>8.3196623668357113</v>
      </c>
      <c r="R245" s="54">
        <f>'Расчет субсидий'!X245-1</f>
        <v>0.30000000000000004</v>
      </c>
      <c r="S245" s="54">
        <f>R245*'Расчет субсидий'!Y245</f>
        <v>7.5000000000000009</v>
      </c>
      <c r="T245" s="55">
        <f t="shared" si="82"/>
        <v>13.014328988121571</v>
      </c>
      <c r="U245" s="54">
        <f t="shared" si="78"/>
        <v>18.294520547945208</v>
      </c>
    </row>
    <row r="246" spans="1:21" ht="15" customHeight="1">
      <c r="A246" s="33" t="s">
        <v>242</v>
      </c>
      <c r="B246" s="52">
        <f>'Расчет субсидий'!AD246</f>
        <v>3.8545454545454589</v>
      </c>
      <c r="C246" s="54">
        <f>'Расчет субсидий'!D246-1</f>
        <v>-1</v>
      </c>
      <c r="D246" s="54">
        <f>C246*'Расчет субсидий'!E246</f>
        <v>0</v>
      </c>
      <c r="E246" s="55">
        <f t="shared" si="79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4">
        <f>'Расчет субсидий'!P246-1</f>
        <v>-0.44542974079126874</v>
      </c>
      <c r="M246" s="54">
        <f>L246*'Расчет субсидий'!Q246</f>
        <v>-8.9085948158253743</v>
      </c>
      <c r="N246" s="55">
        <f t="shared" si="80"/>
        <v>-13.984347775337056</v>
      </c>
      <c r="O246" s="54">
        <f>'Расчет субсидий'!T246-1</f>
        <v>0.11820480404551215</v>
      </c>
      <c r="P246" s="54">
        <f>O246*'Расчет субсидий'!U246</f>
        <v>2.3640960809102429</v>
      </c>
      <c r="Q246" s="55">
        <f t="shared" si="81"/>
        <v>3.7110613349516441</v>
      </c>
      <c r="R246" s="54">
        <f>'Расчет субсидий'!X246-1</f>
        <v>0.30000000000000004</v>
      </c>
      <c r="S246" s="54">
        <f>R246*'Расчет субсидий'!Y246</f>
        <v>9.0000000000000018</v>
      </c>
      <c r="T246" s="55">
        <f t="shared" si="82"/>
        <v>14.127831894930871</v>
      </c>
      <c r="U246" s="54">
        <f t="shared" si="78"/>
        <v>2.4555012650848704</v>
      </c>
    </row>
    <row r="247" spans="1:21" ht="15" customHeight="1">
      <c r="A247" s="33" t="s">
        <v>243</v>
      </c>
      <c r="B247" s="52">
        <f>'Расчет субсидий'!AD247</f>
        <v>-8.3545454545454589</v>
      </c>
      <c r="C247" s="54">
        <f>'Расчет субсидий'!D247-1</f>
        <v>-0.50093849263644241</v>
      </c>
      <c r="D247" s="54">
        <f>C247*'Расчет субсидий'!E247</f>
        <v>-5.0093849263644241</v>
      </c>
      <c r="E247" s="55">
        <f t="shared" si="79"/>
        <v>-7.559917145890628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4">
        <f>'Расчет субсидий'!P247-1</f>
        <v>0.24414083429008793</v>
      </c>
      <c r="M247" s="54">
        <f>L247*'Расчет субсидий'!Q247</f>
        <v>4.8828166858017585</v>
      </c>
      <c r="N247" s="55">
        <f t="shared" si="80"/>
        <v>7.3689065875047026</v>
      </c>
      <c r="O247" s="54">
        <f>'Расчет субсидий'!T247-1</f>
        <v>-0.216374269005848</v>
      </c>
      <c r="P247" s="54">
        <f>O247*'Расчет субсидий'!U247</f>
        <v>-5.4093567251461998</v>
      </c>
      <c r="Q247" s="55">
        <f t="shared" si="81"/>
        <v>-8.1635348961595344</v>
      </c>
      <c r="R247" s="54">
        <f>'Расчет субсидий'!X247-1</f>
        <v>0</v>
      </c>
      <c r="S247" s="54">
        <f>R247*'Расчет субсидий'!Y247</f>
        <v>0</v>
      </c>
      <c r="T247" s="55">
        <f t="shared" si="82"/>
        <v>0</v>
      </c>
      <c r="U247" s="54">
        <f t="shared" si="78"/>
        <v>-5.5359249657088654</v>
      </c>
    </row>
    <row r="248" spans="1:21" ht="15" customHeight="1">
      <c r="A248" s="33" t="s">
        <v>244</v>
      </c>
      <c r="B248" s="52">
        <f>'Расчет субсидий'!AD248</f>
        <v>-9.6181818181818102</v>
      </c>
      <c r="C248" s="54">
        <f>'Расчет субсидий'!D248-1</f>
        <v>-1</v>
      </c>
      <c r="D248" s="54">
        <f>C248*'Расчет субсидий'!E248</f>
        <v>0</v>
      </c>
      <c r="E248" s="55">
        <f t="shared" si="79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4">
        <f>'Расчет субсидий'!P248-1</f>
        <v>-0.724404761904762</v>
      </c>
      <c r="M248" s="54">
        <f>L248*'Расчет субсидий'!Q248</f>
        <v>-14.488095238095241</v>
      </c>
      <c r="N248" s="55">
        <f t="shared" si="80"/>
        <v>-18.14325227917158</v>
      </c>
      <c r="O248" s="54">
        <f>'Расчет субсидий'!T248-1</f>
        <v>2.7522935779816349E-2</v>
      </c>
      <c r="P248" s="54">
        <f>O248*'Расчет субсидий'!U248</f>
        <v>0.55045871559632698</v>
      </c>
      <c r="Q248" s="55">
        <f t="shared" si="81"/>
        <v>0.68933225397860731</v>
      </c>
      <c r="R248" s="54">
        <f>'Расчет субсидий'!X248-1</f>
        <v>0.20857142857142863</v>
      </c>
      <c r="S248" s="54">
        <f>R248*'Расчет субсидий'!Y248</f>
        <v>6.2571428571428589</v>
      </c>
      <c r="T248" s="55">
        <f t="shared" si="82"/>
        <v>7.8357382070111612</v>
      </c>
      <c r="U248" s="54">
        <f t="shared" si="78"/>
        <v>-7.680493665356054</v>
      </c>
    </row>
    <row r="249" spans="1:21" ht="15" customHeight="1">
      <c r="A249" s="33" t="s">
        <v>245</v>
      </c>
      <c r="B249" s="52">
        <f>'Расчет субсидий'!AD249</f>
        <v>19.536363636363632</v>
      </c>
      <c r="C249" s="54">
        <f>'Расчет субсидий'!D249-1</f>
        <v>-2.0221787345075071E-2</v>
      </c>
      <c r="D249" s="54">
        <f>C249*'Расчет субсидий'!E249</f>
        <v>-0.20221787345075071</v>
      </c>
      <c r="E249" s="55">
        <f t="shared" si="79"/>
        <v>-0.34895380033361983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4">
        <f>'Расчет субсидий'!P249-1</f>
        <v>0.18421740266527298</v>
      </c>
      <c r="M249" s="54">
        <f>L249*'Расчет субсидий'!Q249</f>
        <v>3.6843480533054596</v>
      </c>
      <c r="N249" s="55">
        <f t="shared" si="80"/>
        <v>6.3578319414274374</v>
      </c>
      <c r="O249" s="54">
        <f>'Расчет субсидий'!T249-1</f>
        <v>-3.9145106861642298E-2</v>
      </c>
      <c r="P249" s="54">
        <f>O249*'Расчет субсидий'!U249</f>
        <v>-0.39145106861642298</v>
      </c>
      <c r="Q249" s="55">
        <f t="shared" si="81"/>
        <v>-0.67550081358968161</v>
      </c>
      <c r="R249" s="54">
        <f>'Расчет субсидий'!X249-1</f>
        <v>0.20576489533011277</v>
      </c>
      <c r="S249" s="54">
        <f>R249*'Расчет субсидий'!Y249</f>
        <v>8.2305958132045109</v>
      </c>
      <c r="T249" s="55">
        <f t="shared" si="82"/>
        <v>14.202986308859494</v>
      </c>
      <c r="U249" s="54">
        <f t="shared" si="78"/>
        <v>11.321274924442797</v>
      </c>
    </row>
    <row r="250" spans="1:21" ht="15" customHeight="1">
      <c r="A250" s="33" t="s">
        <v>246</v>
      </c>
      <c r="B250" s="52">
        <f>'Расчет субсидий'!AD250</f>
        <v>14.445454545454538</v>
      </c>
      <c r="C250" s="54">
        <f>'Расчет субсидий'!D250-1</f>
        <v>-1</v>
      </c>
      <c r="D250" s="54">
        <f>C250*'Расчет субсидий'!E250</f>
        <v>0</v>
      </c>
      <c r="E250" s="55">
        <f t="shared" si="79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4">
        <f>'Расчет субсидий'!P250-1</f>
        <v>0.17502850627137967</v>
      </c>
      <c r="M250" s="54">
        <f>L250*'Расчет субсидий'!Q250</f>
        <v>3.5005701254275934</v>
      </c>
      <c r="N250" s="55">
        <f t="shared" si="80"/>
        <v>8.0744424944430584</v>
      </c>
      <c r="O250" s="54">
        <f>'Расчет субсидий'!T250-1</f>
        <v>5.1124744376278564E-3</v>
      </c>
      <c r="P250" s="54">
        <f>O250*'Расчет субсидий'!U250</f>
        <v>0.15337423312883569</v>
      </c>
      <c r="Q250" s="55">
        <f t="shared" si="81"/>
        <v>0.35377420853033636</v>
      </c>
      <c r="R250" s="54">
        <f>'Расчет субсидий'!X250-1</f>
        <v>0.13043478260869557</v>
      </c>
      <c r="S250" s="54">
        <f>R250*'Расчет субсидий'!Y250</f>
        <v>2.6086956521739113</v>
      </c>
      <c r="T250" s="55">
        <f t="shared" si="82"/>
        <v>6.0172378424811441</v>
      </c>
      <c r="U250" s="54">
        <f t="shared" si="78"/>
        <v>6.2626400107303404</v>
      </c>
    </row>
    <row r="251" spans="1:21" ht="15" customHeight="1">
      <c r="A251" s="33" t="s">
        <v>247</v>
      </c>
      <c r="B251" s="52">
        <f>'Расчет субсидий'!AD251</f>
        <v>-6.4000000000000057</v>
      </c>
      <c r="C251" s="54">
        <f>'Расчет субсидий'!D251-1</f>
        <v>-1</v>
      </c>
      <c r="D251" s="54">
        <f>C251*'Расчет субсидий'!E251</f>
        <v>0</v>
      </c>
      <c r="E251" s="55">
        <f t="shared" si="79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4">
        <f>'Расчет субсидий'!P251-1</f>
        <v>9.0301003344481545E-2</v>
      </c>
      <c r="M251" s="54">
        <f>L251*'Расчет субсидий'!Q251</f>
        <v>1.8060200668896309</v>
      </c>
      <c r="N251" s="55">
        <f t="shared" si="80"/>
        <v>2.029955947136564</v>
      </c>
      <c r="O251" s="54">
        <f>'Расчет субсидий'!T251-1</f>
        <v>-0.375</v>
      </c>
      <c r="P251" s="54">
        <f>O251*'Расчет субсидий'!U251</f>
        <v>-7.5</v>
      </c>
      <c r="Q251" s="55">
        <f t="shared" si="81"/>
        <v>-8.4299559471365697</v>
      </c>
      <c r="R251" s="54">
        <f>'Расчет субсидий'!X251-1</f>
        <v>0</v>
      </c>
      <c r="S251" s="54">
        <f>R251*'Расчет субсидий'!Y251</f>
        <v>0</v>
      </c>
      <c r="T251" s="55">
        <f t="shared" si="82"/>
        <v>0</v>
      </c>
      <c r="U251" s="54">
        <f t="shared" si="78"/>
        <v>-5.6939799331103691</v>
      </c>
    </row>
    <row r="252" spans="1:21" ht="15" customHeight="1">
      <c r="A252" s="33" t="s">
        <v>248</v>
      </c>
      <c r="B252" s="52">
        <f>'Расчет субсидий'!AD252</f>
        <v>13.74545454545455</v>
      </c>
      <c r="C252" s="54">
        <f>'Расчет субсидий'!D252-1</f>
        <v>-1</v>
      </c>
      <c r="D252" s="54">
        <f>C252*'Расчет субсидий'!E252</f>
        <v>0</v>
      </c>
      <c r="E252" s="55">
        <f t="shared" si="79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4">
        <f>'Расчет субсидий'!P252-1</f>
        <v>0.16884008236101589</v>
      </c>
      <c r="M252" s="54">
        <f>L252*'Расчет субсидий'!Q252</f>
        <v>3.3768016472203177</v>
      </c>
      <c r="N252" s="55">
        <f t="shared" si="80"/>
        <v>3.7841875607605551</v>
      </c>
      <c r="O252" s="54">
        <f>'Расчет субсидий'!T252-1</f>
        <v>5.555555555555558E-2</v>
      </c>
      <c r="P252" s="54">
        <f>O252*'Расчет субсидий'!U252</f>
        <v>1.3888888888888895</v>
      </c>
      <c r="Q252" s="55">
        <f t="shared" si="81"/>
        <v>1.556447966358437</v>
      </c>
      <c r="R252" s="54">
        <f>'Расчет субсидий'!X252-1</f>
        <v>0.30000000000000004</v>
      </c>
      <c r="S252" s="54">
        <f>R252*'Расчет субсидий'!Y252</f>
        <v>7.5000000000000009</v>
      </c>
      <c r="T252" s="55">
        <f t="shared" si="82"/>
        <v>8.4048190183355587</v>
      </c>
      <c r="U252" s="54">
        <f t="shared" si="78"/>
        <v>12.265690536109208</v>
      </c>
    </row>
    <row r="253" spans="1:21" ht="15" customHeight="1">
      <c r="A253" s="33" t="s">
        <v>249</v>
      </c>
      <c r="B253" s="52">
        <f>'Расчет субсидий'!AD253</f>
        <v>20.427272727272737</v>
      </c>
      <c r="C253" s="54">
        <f>'Расчет субсидий'!D253-1</f>
        <v>-5.3316162266580758E-2</v>
      </c>
      <c r="D253" s="54">
        <f>C253*'Расчет субсидий'!E253</f>
        <v>-0.53316162266580758</v>
      </c>
      <c r="E253" s="55">
        <f t="shared" si="79"/>
        <v>-0.69347406192346606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4">
        <f>'Расчет субсидий'!P253-1</f>
        <v>0.30000000000000004</v>
      </c>
      <c r="M253" s="54">
        <f>L253*'Расчет субсидий'!Q253</f>
        <v>6.0000000000000009</v>
      </c>
      <c r="N253" s="55">
        <f t="shared" si="80"/>
        <v>7.8040957838198839</v>
      </c>
      <c r="O253" s="54">
        <f>'Расчет субсидий'!T253-1</f>
        <v>0.17884914463452573</v>
      </c>
      <c r="P253" s="54">
        <f>O253*'Расчет субсидий'!U253</f>
        <v>5.3654743390357718</v>
      </c>
      <c r="Q253" s="55">
        <f t="shared" si="81"/>
        <v>6.9787792779104727</v>
      </c>
      <c r="R253" s="54">
        <f>'Расчет субсидий'!X253-1</f>
        <v>0.24363636363636365</v>
      </c>
      <c r="S253" s="54">
        <f>R253*'Расчет субсидий'!Y253</f>
        <v>4.872727272727273</v>
      </c>
      <c r="T253" s="55">
        <f t="shared" si="82"/>
        <v>6.3378717274658447</v>
      </c>
      <c r="U253" s="54">
        <f t="shared" si="78"/>
        <v>15.705039989097239</v>
      </c>
    </row>
    <row r="254" spans="1:21" ht="15" customHeight="1">
      <c r="A254" s="32" t="s">
        <v>250</v>
      </c>
      <c r="B254" s="56"/>
      <c r="C254" s="57"/>
      <c r="D254" s="57"/>
      <c r="E254" s="58"/>
      <c r="F254" s="57"/>
      <c r="G254" s="57"/>
      <c r="H254" s="58"/>
      <c r="I254" s="58"/>
      <c r="J254" s="58"/>
      <c r="K254" s="58"/>
      <c r="L254" s="57"/>
      <c r="M254" s="57"/>
      <c r="N254" s="58"/>
      <c r="O254" s="57"/>
      <c r="P254" s="57"/>
      <c r="Q254" s="58"/>
      <c r="R254" s="57"/>
      <c r="S254" s="57"/>
      <c r="T254" s="58"/>
      <c r="U254" s="58"/>
    </row>
    <row r="255" spans="1:21" ht="15" customHeight="1">
      <c r="A255" s="33" t="s">
        <v>251</v>
      </c>
      <c r="B255" s="52">
        <f>'Расчет субсидий'!AD255</f>
        <v>10.054545454545448</v>
      </c>
      <c r="C255" s="54">
        <f>'Расчет субсидий'!D255-1</f>
        <v>-1</v>
      </c>
      <c r="D255" s="54">
        <f>C255*'Расчет субсидий'!E255</f>
        <v>0</v>
      </c>
      <c r="E255" s="55">
        <f t="shared" ref="E255:E261" si="83">$B255*D255/$U255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4">
        <f>'Расчет субсидий'!P255-1</f>
        <v>0.20719220549158535</v>
      </c>
      <c r="M255" s="54">
        <f>L255*'Расчет субсидий'!Q255</f>
        <v>4.1438441098317069</v>
      </c>
      <c r="N255" s="55">
        <f t="shared" ref="N255:N261" si="84">$B255*M255/$U255</f>
        <v>7.0265719939868916</v>
      </c>
      <c r="O255" s="54">
        <f>'Расчет субсидий'!T255-1</f>
        <v>7.1428571428571397E-2</v>
      </c>
      <c r="P255" s="54">
        <f>O255*'Расчет субсидий'!U255</f>
        <v>1.7857142857142849</v>
      </c>
      <c r="Q255" s="55">
        <f t="shared" ref="Q255:Q261" si="85">$B255*P255/$U255</f>
        <v>3.027973460558556</v>
      </c>
      <c r="R255" s="54">
        <f>'Расчет субсидий'!X255-1</f>
        <v>0</v>
      </c>
      <c r="S255" s="54">
        <f>R255*'Расчет субсидий'!Y255</f>
        <v>0</v>
      </c>
      <c r="T255" s="55">
        <f t="shared" ref="T255:T261" si="86">$B255*S255/$U255</f>
        <v>0</v>
      </c>
      <c r="U255" s="54">
        <f t="shared" si="78"/>
        <v>5.9295583955459916</v>
      </c>
    </row>
    <row r="256" spans="1:21" ht="15" customHeight="1">
      <c r="A256" s="33" t="s">
        <v>252</v>
      </c>
      <c r="B256" s="52">
        <f>'Расчет субсидий'!AD256</f>
        <v>-13.536363636363632</v>
      </c>
      <c r="C256" s="54">
        <f>'Расчет субсидий'!D256-1</f>
        <v>-1</v>
      </c>
      <c r="D256" s="54">
        <f>C256*'Расчет субсидий'!E256</f>
        <v>0</v>
      </c>
      <c r="E256" s="55">
        <f t="shared" si="83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4">
        <f>'Расчет субсидий'!P256-1</f>
        <v>-0.80732700135685209</v>
      </c>
      <c r="M256" s="54">
        <f>L256*'Расчет субсидий'!Q256</f>
        <v>-16.146540027137043</v>
      </c>
      <c r="N256" s="55">
        <f t="shared" si="84"/>
        <v>-13.536363636363632</v>
      </c>
      <c r="O256" s="54">
        <f>'Расчет субсидий'!T256-1</f>
        <v>0</v>
      </c>
      <c r="P256" s="54">
        <f>O256*'Расчет субсидий'!U256</f>
        <v>0</v>
      </c>
      <c r="Q256" s="55">
        <f t="shared" si="85"/>
        <v>0</v>
      </c>
      <c r="R256" s="54">
        <f>'Расчет субсидий'!X256-1</f>
        <v>0</v>
      </c>
      <c r="S256" s="54">
        <f>R256*'Расчет субсидий'!Y256</f>
        <v>0</v>
      </c>
      <c r="T256" s="55">
        <f t="shared" si="86"/>
        <v>0</v>
      </c>
      <c r="U256" s="54">
        <f t="shared" si="78"/>
        <v>-16.146540027137043</v>
      </c>
    </row>
    <row r="257" spans="1:21" ht="15" customHeight="1">
      <c r="A257" s="33" t="s">
        <v>253</v>
      </c>
      <c r="B257" s="52">
        <f>'Расчет субсидий'!AD257</f>
        <v>-14.263636363636365</v>
      </c>
      <c r="C257" s="54">
        <f>'Расчет субсидий'!D257-1</f>
        <v>-1</v>
      </c>
      <c r="D257" s="54">
        <f>C257*'Расчет субсидий'!E257</f>
        <v>0</v>
      </c>
      <c r="E257" s="55">
        <f t="shared" si="83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4">
        <f>'Расчет субсидий'!P257-1</f>
        <v>-0.54426840633737184</v>
      </c>
      <c r="M257" s="54">
        <f>L257*'Расчет субсидий'!Q257</f>
        <v>-10.885368126747437</v>
      </c>
      <c r="N257" s="55">
        <f t="shared" si="84"/>
        <v>-17.023427519165935</v>
      </c>
      <c r="O257" s="54">
        <f>'Расчет субсидий'!T257-1</f>
        <v>7.0588235294117618E-2</v>
      </c>
      <c r="P257" s="54">
        <f>O257*'Расчет субсидий'!U257</f>
        <v>1.7647058823529405</v>
      </c>
      <c r="Q257" s="55">
        <f t="shared" si="85"/>
        <v>2.7597911555295691</v>
      </c>
      <c r="R257" s="54">
        <f>'Расчет субсидий'!X257-1</f>
        <v>0</v>
      </c>
      <c r="S257" s="54">
        <f>R257*'Расчет субсидий'!Y257</f>
        <v>0</v>
      </c>
      <c r="T257" s="55">
        <f t="shared" si="86"/>
        <v>0</v>
      </c>
      <c r="U257" s="54">
        <f t="shared" si="78"/>
        <v>-9.1206622443944969</v>
      </c>
    </row>
    <row r="258" spans="1:21" ht="15" customHeight="1">
      <c r="A258" s="33" t="s">
        <v>254</v>
      </c>
      <c r="B258" s="52">
        <f>'Расчет субсидий'!AD258</f>
        <v>-1.327272727272728</v>
      </c>
      <c r="C258" s="54">
        <f>'Расчет субсидий'!D258-1</f>
        <v>0</v>
      </c>
      <c r="D258" s="54">
        <f>C258*'Расчет субсидий'!E258</f>
        <v>0</v>
      </c>
      <c r="E258" s="55">
        <f t="shared" si="83"/>
        <v>0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4">
        <f>'Расчет субсидий'!P258-1</f>
        <v>-0.59357344632768361</v>
      </c>
      <c r="M258" s="54">
        <f>L258*'Расчет субсидий'!Q258</f>
        <v>-11.871468926553671</v>
      </c>
      <c r="N258" s="55">
        <f t="shared" si="84"/>
        <v>-4.5043949052538821</v>
      </c>
      <c r="O258" s="54">
        <f>'Расчет субсидий'!T258-1</f>
        <v>0.17647058823529416</v>
      </c>
      <c r="P258" s="54">
        <f>O258*'Расчет субсидий'!U258</f>
        <v>1.7647058823529416</v>
      </c>
      <c r="Q258" s="55">
        <f t="shared" si="85"/>
        <v>0.66958286585430582</v>
      </c>
      <c r="R258" s="54">
        <f>'Расчет субсидий'!X258-1</f>
        <v>0.16521739130434776</v>
      </c>
      <c r="S258" s="54">
        <f>R258*'Расчет субсидий'!Y258</f>
        <v>6.6086956521739104</v>
      </c>
      <c r="T258" s="55">
        <f t="shared" si="86"/>
        <v>2.5075393121268479</v>
      </c>
      <c r="U258" s="54">
        <f t="shared" si="78"/>
        <v>-3.4980673920268188</v>
      </c>
    </row>
    <row r="259" spans="1:21" ht="15" customHeight="1">
      <c r="A259" s="33" t="s">
        <v>255</v>
      </c>
      <c r="B259" s="52">
        <f>'Расчет субсидий'!AD259</f>
        <v>25.127272727272725</v>
      </c>
      <c r="C259" s="54">
        <f>'Расчет субсидий'!D259-1</f>
        <v>0.21379923761118169</v>
      </c>
      <c r="D259" s="54">
        <f>C259*'Расчет субсидий'!E259</f>
        <v>2.1379923761118169</v>
      </c>
      <c r="E259" s="55">
        <f t="shared" si="83"/>
        <v>5.4528656714661414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4">
        <f>'Расчет субсидий'!P259-1</f>
        <v>0.23100453661697995</v>
      </c>
      <c r="M259" s="54">
        <f>L259*'Расчет субсидий'!Q259</f>
        <v>4.620090732339599</v>
      </c>
      <c r="N259" s="55">
        <f t="shared" si="84"/>
        <v>11.783360144272041</v>
      </c>
      <c r="O259" s="54">
        <f>'Расчет субсидий'!T259-1</f>
        <v>0.13548387096774195</v>
      </c>
      <c r="P259" s="54">
        <f>O259*'Расчет субсидий'!U259</f>
        <v>1.3548387096774195</v>
      </c>
      <c r="Q259" s="55">
        <f t="shared" si="85"/>
        <v>3.455462972140694</v>
      </c>
      <c r="R259" s="54">
        <f>'Расчет субсидий'!X259-1</f>
        <v>4.3478260869565188E-2</v>
      </c>
      <c r="S259" s="54">
        <f>R259*'Расчет субсидий'!Y259</f>
        <v>1.7391304347826075</v>
      </c>
      <c r="T259" s="55">
        <f t="shared" si="86"/>
        <v>4.4355839393938474</v>
      </c>
      <c r="U259" s="54">
        <f t="shared" si="78"/>
        <v>9.8520522529114434</v>
      </c>
    </row>
    <row r="260" spans="1:21" ht="15" customHeight="1">
      <c r="A260" s="33" t="s">
        <v>256</v>
      </c>
      <c r="B260" s="52">
        <f>'Расчет субсидий'!AD260</f>
        <v>1.7181818181818187</v>
      </c>
      <c r="C260" s="54">
        <f>'Расчет субсидий'!D260-1</f>
        <v>8.6226771340554675E-2</v>
      </c>
      <c r="D260" s="54">
        <f>C260*'Расчет субсидий'!E260</f>
        <v>0.86226771340554675</v>
      </c>
      <c r="E260" s="55">
        <f t="shared" si="83"/>
        <v>1.4833814329974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4">
        <f>'Расчет субсидий'!P260-1</f>
        <v>-0.13008046214153091</v>
      </c>
      <c r="M260" s="54">
        <f>L260*'Расчет субсидий'!Q260</f>
        <v>-2.6016092428306181</v>
      </c>
      <c r="N260" s="55">
        <f t="shared" si="84"/>
        <v>-4.4756156199881874</v>
      </c>
      <c r="O260" s="54">
        <f>'Расчет субсидий'!T260-1</f>
        <v>9.52380952380949E-3</v>
      </c>
      <c r="P260" s="54">
        <f>O260*'Расчет субсидий'!U260</f>
        <v>0.23809523809523725</v>
      </c>
      <c r="Q260" s="55">
        <f t="shared" si="85"/>
        <v>0.40960139175413807</v>
      </c>
      <c r="R260" s="54">
        <f>'Расчет субсидий'!X260-1</f>
        <v>0.10000000000000009</v>
      </c>
      <c r="S260" s="54">
        <f>R260*'Расчет субсидий'!Y260</f>
        <v>2.5000000000000022</v>
      </c>
      <c r="T260" s="55">
        <f t="shared" si="86"/>
        <v>4.3008146134184679</v>
      </c>
      <c r="U260" s="54">
        <f t="shared" si="78"/>
        <v>0.99875370867016811</v>
      </c>
    </row>
    <row r="261" spans="1:21" ht="15" customHeight="1">
      <c r="A261" s="33" t="s">
        <v>257</v>
      </c>
      <c r="B261" s="52">
        <f>'Расчет субсидий'!AD261</f>
        <v>3.7090909090909037</v>
      </c>
      <c r="C261" s="54">
        <f>'Расчет субсидий'!D261-1</f>
        <v>0.19432654828930263</v>
      </c>
      <c r="D261" s="54">
        <f>C261*'Расчет субсидий'!E261</f>
        <v>1.9432654828930263</v>
      </c>
      <c r="E261" s="55">
        <f t="shared" si="83"/>
        <v>0.82647776431214093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4">
        <f>'Расчет субсидий'!P261-1</f>
        <v>0.30000000000000004</v>
      </c>
      <c r="M261" s="54">
        <f>L261*'Расчет субсидий'!Q261</f>
        <v>6.0000000000000009</v>
      </c>
      <c r="N261" s="55">
        <f t="shared" si="84"/>
        <v>2.5518214724271027</v>
      </c>
      <c r="O261" s="54">
        <f>'Расчет субсидий'!T261-1</f>
        <v>0</v>
      </c>
      <c r="P261" s="54">
        <f>O261*'Расчет субсидий'!U261</f>
        <v>0</v>
      </c>
      <c r="Q261" s="55">
        <f t="shared" si="85"/>
        <v>0</v>
      </c>
      <c r="R261" s="54">
        <f>'Расчет субсидий'!X261-1</f>
        <v>2.2222222222222143E-2</v>
      </c>
      <c r="S261" s="54">
        <f>R261*'Расчет субсидий'!Y261</f>
        <v>0.77777777777777501</v>
      </c>
      <c r="T261" s="55">
        <f t="shared" si="86"/>
        <v>0.33079167235166024</v>
      </c>
      <c r="U261" s="54">
        <f t="shared" si="78"/>
        <v>8.7210432606708022</v>
      </c>
    </row>
    <row r="262" spans="1:21" ht="15" customHeight="1">
      <c r="A262" s="32" t="s">
        <v>258</v>
      </c>
      <c r="B262" s="56"/>
      <c r="C262" s="57"/>
      <c r="D262" s="57"/>
      <c r="E262" s="58"/>
      <c r="F262" s="57"/>
      <c r="G262" s="57"/>
      <c r="H262" s="58"/>
      <c r="I262" s="58"/>
      <c r="J262" s="58"/>
      <c r="K262" s="58"/>
      <c r="L262" s="57"/>
      <c r="M262" s="57"/>
      <c r="N262" s="58"/>
      <c r="O262" s="57"/>
      <c r="P262" s="57"/>
      <c r="Q262" s="58"/>
      <c r="R262" s="57"/>
      <c r="S262" s="57"/>
      <c r="T262" s="58"/>
      <c r="U262" s="58"/>
    </row>
    <row r="263" spans="1:21" ht="15" customHeight="1">
      <c r="A263" s="33" t="s">
        <v>259</v>
      </c>
      <c r="B263" s="52">
        <f>'Расчет субсидий'!AD263</f>
        <v>2.4818181818181841</v>
      </c>
      <c r="C263" s="54">
        <f>'Расчет субсидий'!D263-1</f>
        <v>-1</v>
      </c>
      <c r="D263" s="54">
        <f>C263*'Расчет субсидий'!E263</f>
        <v>0</v>
      </c>
      <c r="E263" s="55">
        <f t="shared" ref="E263:E279" si="87">$B263*D263/$U263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4">
        <f>'Расчет субсидий'!P263-1</f>
        <v>0.30000000000000004</v>
      </c>
      <c r="M263" s="54">
        <f>L263*'Расчет субсидий'!Q263</f>
        <v>6.0000000000000009</v>
      </c>
      <c r="N263" s="55">
        <f t="shared" ref="N263:N279" si="88">$B263*M263/$U263</f>
        <v>2.4818181818181841</v>
      </c>
      <c r="O263" s="54">
        <f>'Расчет субсидий'!T263-1</f>
        <v>0</v>
      </c>
      <c r="P263" s="54">
        <f>O263*'Расчет субсидий'!U263</f>
        <v>0</v>
      </c>
      <c r="Q263" s="55">
        <f t="shared" ref="Q263:Q279" si="89">$B263*P263/$U263</f>
        <v>0</v>
      </c>
      <c r="R263" s="54">
        <f>'Расчет субсидий'!X263-1</f>
        <v>0</v>
      </c>
      <c r="S263" s="54">
        <f>R263*'Расчет субсидий'!Y263</f>
        <v>0</v>
      </c>
      <c r="T263" s="55">
        <f t="shared" ref="T263:T279" si="90">$B263*S263/$U263</f>
        <v>0</v>
      </c>
      <c r="U263" s="54">
        <f t="shared" si="78"/>
        <v>6.0000000000000009</v>
      </c>
    </row>
    <row r="264" spans="1:21" ht="15" customHeight="1">
      <c r="A264" s="33" t="s">
        <v>260</v>
      </c>
      <c r="B264" s="52">
        <f>'Расчет субсидий'!AD264</f>
        <v>3.1090909090909093</v>
      </c>
      <c r="C264" s="54">
        <f>'Расчет субсидий'!D264-1</f>
        <v>-1</v>
      </c>
      <c r="D264" s="54">
        <f>C264*'Расчет субсидий'!E264</f>
        <v>0</v>
      </c>
      <c r="E264" s="55">
        <f t="shared" si="87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4">
        <f>'Расчет субсидий'!P264-1</f>
        <v>0.22940119760479027</v>
      </c>
      <c r="M264" s="54">
        <f>L264*'Расчет субсидий'!Q264</f>
        <v>4.5880239520958055</v>
      </c>
      <c r="N264" s="55">
        <f t="shared" si="88"/>
        <v>3.1090909090909093</v>
      </c>
      <c r="O264" s="54">
        <f>'Расчет субсидий'!T264-1</f>
        <v>0</v>
      </c>
      <c r="P264" s="54">
        <f>O264*'Расчет субсидий'!U264</f>
        <v>0</v>
      </c>
      <c r="Q264" s="55">
        <f t="shared" si="89"/>
        <v>0</v>
      </c>
      <c r="R264" s="54">
        <f>'Расчет субсидий'!X264-1</f>
        <v>0</v>
      </c>
      <c r="S264" s="54">
        <f>R264*'Расчет субсидий'!Y264</f>
        <v>0</v>
      </c>
      <c r="T264" s="55">
        <f t="shared" si="90"/>
        <v>0</v>
      </c>
      <c r="U264" s="54">
        <f t="shared" si="78"/>
        <v>4.5880239520958055</v>
      </c>
    </row>
    <row r="265" spans="1:21" ht="15" customHeight="1">
      <c r="A265" s="33" t="s">
        <v>261</v>
      </c>
      <c r="B265" s="52">
        <f>'Расчет субсидий'!AD265</f>
        <v>-0.44545454545454533</v>
      </c>
      <c r="C265" s="54">
        <f>'Расчет субсидий'!D265-1</f>
        <v>-1</v>
      </c>
      <c r="D265" s="54">
        <f>C265*'Расчет субсидий'!E265</f>
        <v>0</v>
      </c>
      <c r="E265" s="55">
        <f t="shared" si="87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4">
        <f>'Расчет субсидий'!P265-1</f>
        <v>-3.6653091447612085E-2</v>
      </c>
      <c r="M265" s="54">
        <f>L265*'Расчет субсидий'!Q265</f>
        <v>-0.7330618289522417</v>
      </c>
      <c r="N265" s="55">
        <f t="shared" si="88"/>
        <v>-0.44545454545454533</v>
      </c>
      <c r="O265" s="54">
        <f>'Расчет субсидий'!T265-1</f>
        <v>0</v>
      </c>
      <c r="P265" s="54">
        <f>O265*'Расчет субсидий'!U265</f>
        <v>0</v>
      </c>
      <c r="Q265" s="55">
        <f t="shared" si="89"/>
        <v>0</v>
      </c>
      <c r="R265" s="54">
        <f>'Расчет субсидий'!X265-1</f>
        <v>0</v>
      </c>
      <c r="S265" s="54">
        <f>R265*'Расчет субсидий'!Y265</f>
        <v>0</v>
      </c>
      <c r="T265" s="55">
        <f t="shared" si="90"/>
        <v>0</v>
      </c>
      <c r="U265" s="54">
        <f t="shared" si="78"/>
        <v>-0.7330618289522417</v>
      </c>
    </row>
    <row r="266" spans="1:21" ht="15" customHeight="1">
      <c r="A266" s="33" t="s">
        <v>262</v>
      </c>
      <c r="B266" s="52">
        <f>'Расчет субсидий'!AD266</f>
        <v>10.354545454545459</v>
      </c>
      <c r="C266" s="54">
        <f>'Расчет субсидий'!D266-1</f>
        <v>-1</v>
      </c>
      <c r="D266" s="54">
        <f>C266*'Расчет субсидий'!E266</f>
        <v>0</v>
      </c>
      <c r="E266" s="55">
        <f t="shared" si="87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4">
        <f>'Расчет субсидий'!P266-1</f>
        <v>0.24632653061224485</v>
      </c>
      <c r="M266" s="54">
        <f>L266*'Расчет субсидий'!Q266</f>
        <v>4.9265306122448971</v>
      </c>
      <c r="N266" s="55">
        <f t="shared" si="88"/>
        <v>7.0729690795904734</v>
      </c>
      <c r="O266" s="54">
        <f>'Расчет субсидий'!T266-1</f>
        <v>0.11428571428571432</v>
      </c>
      <c r="P266" s="54">
        <f>O266*'Расчет субсидий'!U266</f>
        <v>2.2857142857142865</v>
      </c>
      <c r="Q266" s="55">
        <f t="shared" si="89"/>
        <v>3.2815763749549851</v>
      </c>
      <c r="R266" s="54">
        <f>'Расчет субсидий'!X266-1</f>
        <v>0</v>
      </c>
      <c r="S266" s="54">
        <f>R266*'Расчет субсидий'!Y266</f>
        <v>0</v>
      </c>
      <c r="T266" s="55">
        <f t="shared" si="90"/>
        <v>0</v>
      </c>
      <c r="U266" s="54">
        <f t="shared" si="78"/>
        <v>7.2122448979591836</v>
      </c>
    </row>
    <row r="267" spans="1:21" ht="15" customHeight="1">
      <c r="A267" s="33" t="s">
        <v>263</v>
      </c>
      <c r="B267" s="52">
        <f>'Расчет субсидий'!AD267</f>
        <v>5.6090909090909093</v>
      </c>
      <c r="C267" s="54">
        <f>'Расчет субсидий'!D267-1</f>
        <v>0.22830508474576261</v>
      </c>
      <c r="D267" s="54">
        <f>C267*'Расчет субсидий'!E267</f>
        <v>2.2830508474576261</v>
      </c>
      <c r="E267" s="55">
        <f t="shared" si="87"/>
        <v>1.5460293543166466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4">
        <f>'Расчет субсидий'!P267-1</f>
        <v>0.30000000000000004</v>
      </c>
      <c r="M267" s="54">
        <f>L267*'Расчет субсидий'!Q267</f>
        <v>6.0000000000000009</v>
      </c>
      <c r="N267" s="55">
        <f t="shared" si="88"/>
        <v>4.0630615547742632</v>
      </c>
      <c r="O267" s="54">
        <f>'Расчет субсидий'!T267-1</f>
        <v>0</v>
      </c>
      <c r="P267" s="54">
        <f>O267*'Расчет субсидий'!U267</f>
        <v>0</v>
      </c>
      <c r="Q267" s="55">
        <f t="shared" si="89"/>
        <v>0</v>
      </c>
      <c r="R267" s="54">
        <f>'Расчет субсидий'!X267-1</f>
        <v>0</v>
      </c>
      <c r="S267" s="54">
        <f>R267*'Расчет субсидий'!Y267</f>
        <v>0</v>
      </c>
      <c r="T267" s="55">
        <f t="shared" si="90"/>
        <v>0</v>
      </c>
      <c r="U267" s="54">
        <f t="shared" si="78"/>
        <v>8.283050847457627</v>
      </c>
    </row>
    <row r="268" spans="1:21" ht="15" customHeight="1">
      <c r="A268" s="33" t="s">
        <v>264</v>
      </c>
      <c r="B268" s="52">
        <f>'Расчет субсидий'!AD268</f>
        <v>2.4181818181818144</v>
      </c>
      <c r="C268" s="54">
        <f>'Расчет субсидий'!D268-1</f>
        <v>-1</v>
      </c>
      <c r="D268" s="54">
        <f>C268*'Расчет субсидий'!E268</f>
        <v>0</v>
      </c>
      <c r="E268" s="55">
        <f t="shared" si="87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4">
        <f>'Расчет субсидий'!P268-1</f>
        <v>0.12152070604209086</v>
      </c>
      <c r="M268" s="54">
        <f>L268*'Расчет субсидий'!Q268</f>
        <v>2.4304141208418173</v>
      </c>
      <c r="N268" s="55">
        <f t="shared" si="88"/>
        <v>2.1524878562597016</v>
      </c>
      <c r="O268" s="54">
        <f>'Расчет субсидий'!T268-1</f>
        <v>2.0000000000000018E-2</v>
      </c>
      <c r="P268" s="54">
        <f>O268*'Расчет субсидий'!U268</f>
        <v>0.30000000000000027</v>
      </c>
      <c r="Q268" s="55">
        <f t="shared" si="89"/>
        <v>0.26569396192211281</v>
      </c>
      <c r="R268" s="54">
        <f>'Расчет субсидий'!X268-1</f>
        <v>0</v>
      </c>
      <c r="S268" s="54">
        <f>R268*'Расчет субсидий'!Y268</f>
        <v>0</v>
      </c>
      <c r="T268" s="55">
        <f t="shared" si="90"/>
        <v>0</v>
      </c>
      <c r="U268" s="54">
        <f t="shared" si="78"/>
        <v>2.7304141208418176</v>
      </c>
    </row>
    <row r="269" spans="1:21" ht="15" customHeight="1">
      <c r="A269" s="33" t="s">
        <v>265</v>
      </c>
      <c r="B269" s="52">
        <f>'Расчет субсидий'!AD269</f>
        <v>10.563636363636363</v>
      </c>
      <c r="C269" s="54">
        <f>'Расчет субсидий'!D269-1</f>
        <v>-1</v>
      </c>
      <c r="D269" s="54">
        <f>C269*'Расчет субсидий'!E269</f>
        <v>0</v>
      </c>
      <c r="E269" s="55">
        <f t="shared" si="87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4">
        <f>'Расчет субсидий'!P269-1</f>
        <v>0.30000000000000004</v>
      </c>
      <c r="M269" s="54">
        <f>L269*'Расчет субсидий'!Q269</f>
        <v>6.0000000000000009</v>
      </c>
      <c r="N269" s="55">
        <f t="shared" si="88"/>
        <v>6.2383679312813172</v>
      </c>
      <c r="O269" s="54">
        <f>'Расчет субсидий'!T269-1</f>
        <v>0.20799999999999996</v>
      </c>
      <c r="P269" s="54">
        <f>O269*'Расчет субсидий'!U269</f>
        <v>4.1599999999999993</v>
      </c>
      <c r="Q269" s="55">
        <f t="shared" si="89"/>
        <v>4.3252684323550454</v>
      </c>
      <c r="R269" s="54">
        <f>'Расчет субсидий'!X269-1</f>
        <v>0</v>
      </c>
      <c r="S269" s="54">
        <f>R269*'Расчет субсидий'!Y269</f>
        <v>0</v>
      </c>
      <c r="T269" s="55">
        <f t="shared" si="90"/>
        <v>0</v>
      </c>
      <c r="U269" s="54">
        <f t="shared" si="78"/>
        <v>10.16</v>
      </c>
    </row>
    <row r="270" spans="1:21" ht="15" customHeight="1">
      <c r="A270" s="33" t="s">
        <v>266</v>
      </c>
      <c r="B270" s="52">
        <f>'Расчет субсидий'!AD270</f>
        <v>-9.2000000000000028</v>
      </c>
      <c r="C270" s="54">
        <f>'Расчет субсидий'!D270-1</f>
        <v>-1</v>
      </c>
      <c r="D270" s="54">
        <f>C270*'Расчет субсидий'!E270</f>
        <v>0</v>
      </c>
      <c r="E270" s="55">
        <f t="shared" si="87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4">
        <f>'Расчет субсидий'!P270-1</f>
        <v>-0.42172523961661335</v>
      </c>
      <c r="M270" s="54">
        <f>L270*'Расчет субсидий'!Q270</f>
        <v>-8.434504792332266</v>
      </c>
      <c r="N270" s="55">
        <f t="shared" si="88"/>
        <v>-9.2000000000000028</v>
      </c>
      <c r="O270" s="54">
        <f>'Расчет субсидий'!T270-1</f>
        <v>0</v>
      </c>
      <c r="P270" s="54">
        <f>O270*'Расчет субсидий'!U270</f>
        <v>0</v>
      </c>
      <c r="Q270" s="55">
        <f t="shared" si="89"/>
        <v>0</v>
      </c>
      <c r="R270" s="54">
        <f>'Расчет субсидий'!X270-1</f>
        <v>0</v>
      </c>
      <c r="S270" s="54">
        <f>R270*'Расчет субсидий'!Y270</f>
        <v>0</v>
      </c>
      <c r="T270" s="55">
        <f t="shared" si="90"/>
        <v>0</v>
      </c>
      <c r="U270" s="54">
        <f t="shared" si="78"/>
        <v>-8.434504792332266</v>
      </c>
    </row>
    <row r="271" spans="1:21" ht="15" customHeight="1">
      <c r="A271" s="33" t="s">
        <v>267</v>
      </c>
      <c r="B271" s="52">
        <f>'Расчет субсидий'!AD271</f>
        <v>7.2999999999999972</v>
      </c>
      <c r="C271" s="54">
        <f>'Расчет субсидий'!D271-1</f>
        <v>-1</v>
      </c>
      <c r="D271" s="54">
        <f>C271*'Расчет субсидий'!E271</f>
        <v>0</v>
      </c>
      <c r="E271" s="55">
        <f t="shared" si="87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4">
        <f>'Расчет субсидий'!P271-1</f>
        <v>0.30000000000000004</v>
      </c>
      <c r="M271" s="54">
        <f>L271*'Расчет субсидий'!Q271</f>
        <v>6.0000000000000009</v>
      </c>
      <c r="N271" s="55">
        <f t="shared" si="88"/>
        <v>4.8666666666666636</v>
      </c>
      <c r="O271" s="54">
        <f>'Расчет субсидий'!T271-1</f>
        <v>0</v>
      </c>
      <c r="P271" s="54">
        <f>O271*'Расчет субсидий'!U271</f>
        <v>0</v>
      </c>
      <c r="Q271" s="55">
        <f t="shared" si="89"/>
        <v>0</v>
      </c>
      <c r="R271" s="54">
        <f>'Расчет субсидий'!X271-1</f>
        <v>0.10000000000000009</v>
      </c>
      <c r="S271" s="54">
        <f>R271*'Расчет субсидий'!Y271</f>
        <v>3.0000000000000027</v>
      </c>
      <c r="T271" s="55">
        <f t="shared" si="90"/>
        <v>2.4333333333333336</v>
      </c>
      <c r="U271" s="54">
        <f t="shared" si="78"/>
        <v>9.0000000000000036</v>
      </c>
    </row>
    <row r="272" spans="1:21" ht="15" customHeight="1">
      <c r="A272" s="33" t="s">
        <v>268</v>
      </c>
      <c r="B272" s="52">
        <f>'Расчет субсидий'!AD272</f>
        <v>4.5545454545454476</v>
      </c>
      <c r="C272" s="54">
        <f>'Расчет субсидий'!D272-1</f>
        <v>-1</v>
      </c>
      <c r="D272" s="54">
        <f>C272*'Расчет субсидий'!E272</f>
        <v>0</v>
      </c>
      <c r="E272" s="55">
        <f t="shared" si="87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4">
        <f>'Расчет субсидий'!P272-1</f>
        <v>0.21909830007390974</v>
      </c>
      <c r="M272" s="54">
        <f>L272*'Расчет субсидий'!Q272</f>
        <v>4.3819660014781947</v>
      </c>
      <c r="N272" s="55">
        <f t="shared" si="88"/>
        <v>4.1955026224285463</v>
      </c>
      <c r="O272" s="54">
        <f>'Расчет субсидий'!T272-1</f>
        <v>2.4999999999999911E-2</v>
      </c>
      <c r="P272" s="54">
        <f>O272*'Расчет субсидий'!U272</f>
        <v>0.37499999999999867</v>
      </c>
      <c r="Q272" s="55">
        <f t="shared" si="89"/>
        <v>0.35904283211690013</v>
      </c>
      <c r="R272" s="54">
        <f>'Расчет субсидий'!X272-1</f>
        <v>0</v>
      </c>
      <c r="S272" s="54">
        <f>R272*'Расчет субсидий'!Y272</f>
        <v>0</v>
      </c>
      <c r="T272" s="55">
        <f t="shared" si="90"/>
        <v>0</v>
      </c>
      <c r="U272" s="54">
        <f t="shared" si="78"/>
        <v>4.7569660014781938</v>
      </c>
    </row>
    <row r="273" spans="1:21" ht="15" customHeight="1">
      <c r="A273" s="33" t="s">
        <v>269</v>
      </c>
      <c r="B273" s="52">
        <f>'Расчет субсидий'!AD273</f>
        <v>6.5272727272727309</v>
      </c>
      <c r="C273" s="54">
        <f>'Расчет субсидий'!D273-1</f>
        <v>-1</v>
      </c>
      <c r="D273" s="54">
        <f>C273*'Расчет субсидий'!E273</f>
        <v>0</v>
      </c>
      <c r="E273" s="55">
        <f t="shared" si="87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4">
        <f>'Расчет субсидий'!P273-1</f>
        <v>0.30000000000000004</v>
      </c>
      <c r="M273" s="54">
        <f>L273*'Расчет субсидий'!Q273</f>
        <v>6.0000000000000009</v>
      </c>
      <c r="N273" s="55">
        <f t="shared" si="88"/>
        <v>5.7752827817343979</v>
      </c>
      <c r="O273" s="54">
        <f>'Расчет субсидий'!T273-1</f>
        <v>3.125E-2</v>
      </c>
      <c r="P273" s="54">
        <f>O273*'Расчет субсидий'!U273</f>
        <v>0.78125</v>
      </c>
      <c r="Q273" s="55">
        <f t="shared" si="89"/>
        <v>0.75198994553833298</v>
      </c>
      <c r="R273" s="54">
        <f>'Расчет субсидий'!X273-1</f>
        <v>0</v>
      </c>
      <c r="S273" s="54">
        <f>R273*'Расчет субсидий'!Y273</f>
        <v>0</v>
      </c>
      <c r="T273" s="55">
        <f t="shared" si="90"/>
        <v>0</v>
      </c>
      <c r="U273" s="54">
        <f t="shared" si="78"/>
        <v>6.7812500000000009</v>
      </c>
    </row>
    <row r="274" spans="1:21" ht="15" customHeight="1">
      <c r="A274" s="33" t="s">
        <v>270</v>
      </c>
      <c r="B274" s="52">
        <f>'Расчет субсидий'!AD274</f>
        <v>7</v>
      </c>
      <c r="C274" s="54">
        <f>'Расчет субсидий'!D274-1</f>
        <v>-1</v>
      </c>
      <c r="D274" s="54">
        <f>C274*'Расчет субсидий'!E274</f>
        <v>0</v>
      </c>
      <c r="E274" s="55">
        <f t="shared" si="87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4">
        <f>'Расчет субсидий'!P274-1</f>
        <v>0.26012048192771076</v>
      </c>
      <c r="M274" s="54">
        <f>L274*'Расчет субсидий'!Q274</f>
        <v>5.2024096385542151</v>
      </c>
      <c r="N274" s="55">
        <f t="shared" si="88"/>
        <v>5.9785064392773926</v>
      </c>
      <c r="O274" s="54">
        <f>'Расчет субсидий'!T274-1</f>
        <v>4.4444444444444509E-2</v>
      </c>
      <c r="P274" s="54">
        <f>O274*'Расчет субсидий'!U274</f>
        <v>0.88888888888889017</v>
      </c>
      <c r="Q274" s="55">
        <f t="shared" si="89"/>
        <v>1.0214935607226072</v>
      </c>
      <c r="R274" s="54">
        <f>'Расчет субсидий'!X274-1</f>
        <v>0</v>
      </c>
      <c r="S274" s="54">
        <f>R274*'Расчет субсидий'!Y274</f>
        <v>0</v>
      </c>
      <c r="T274" s="55">
        <f t="shared" si="90"/>
        <v>0</v>
      </c>
      <c r="U274" s="54">
        <f t="shared" si="78"/>
        <v>6.0912985274431053</v>
      </c>
    </row>
    <row r="275" spans="1:21" ht="15" customHeight="1">
      <c r="A275" s="33" t="s">
        <v>271</v>
      </c>
      <c r="B275" s="52">
        <f>'Расчет субсидий'!AD275</f>
        <v>3.4090909090909065</v>
      </c>
      <c r="C275" s="54">
        <f>'Расчет субсидий'!D275-1</f>
        <v>0.21005391158500064</v>
      </c>
      <c r="D275" s="54">
        <f>C275*'Расчет субсидий'!E275</f>
        <v>2.1005391158500064</v>
      </c>
      <c r="E275" s="55">
        <f t="shared" si="87"/>
        <v>2.2508795260653836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4">
        <f>'Расчет субсидий'!P275-1</f>
        <v>7.279261503770007E-2</v>
      </c>
      <c r="M275" s="54">
        <f>L275*'Расчет субсидий'!Q275</f>
        <v>1.4558523007540014</v>
      </c>
      <c r="N275" s="55">
        <f t="shared" si="88"/>
        <v>1.5600509945354251</v>
      </c>
      <c r="O275" s="54">
        <f>'Расчет субсидий'!T275-1</f>
        <v>-2.5000000000000022E-2</v>
      </c>
      <c r="P275" s="54">
        <f>O275*'Расчет субсидий'!U275</f>
        <v>-0.37500000000000033</v>
      </c>
      <c r="Q275" s="55">
        <f t="shared" si="89"/>
        <v>-0.40183961150990199</v>
      </c>
      <c r="R275" s="54">
        <f>'Расчет субсидий'!X275-1</f>
        <v>0</v>
      </c>
      <c r="S275" s="54">
        <f>R275*'Расчет субсидий'!Y275</f>
        <v>0</v>
      </c>
      <c r="T275" s="55">
        <f t="shared" si="90"/>
        <v>0</v>
      </c>
      <c r="U275" s="54">
        <f t="shared" si="78"/>
        <v>3.1813914166040074</v>
      </c>
    </row>
    <row r="276" spans="1:21" ht="15" customHeight="1">
      <c r="A276" s="33" t="s">
        <v>272</v>
      </c>
      <c r="B276" s="52">
        <f>'Расчет субсидий'!AD276</f>
        <v>-24.918181818181822</v>
      </c>
      <c r="C276" s="54">
        <f>'Расчет субсидий'!D276-1</f>
        <v>-0.32949424136204308</v>
      </c>
      <c r="D276" s="54">
        <f>C276*'Расчет субсидий'!E276</f>
        <v>-3.2949424136204311</v>
      </c>
      <c r="E276" s="55">
        <f t="shared" si="87"/>
        <v>-2.1337228522172911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4">
        <f>'Расчет субсидий'!P276-1</f>
        <v>-0.5092134831460674</v>
      </c>
      <c r="M276" s="54">
        <f>L276*'Расчет субсидий'!Q276</f>
        <v>-10.184269662921348</v>
      </c>
      <c r="N276" s="55">
        <f t="shared" si="88"/>
        <v>-6.5950800302581118</v>
      </c>
      <c r="O276" s="54">
        <f>'Расчет субсидий'!T276-1</f>
        <v>0</v>
      </c>
      <c r="P276" s="54">
        <f>O276*'Расчет субсидий'!U276</f>
        <v>0</v>
      </c>
      <c r="Q276" s="55">
        <f t="shared" si="89"/>
        <v>0</v>
      </c>
      <c r="R276" s="54">
        <f>'Расчет субсидий'!X276-1</f>
        <v>-1</v>
      </c>
      <c r="S276" s="54">
        <f>R276*'Расчет субсидий'!Y276</f>
        <v>-25</v>
      </c>
      <c r="T276" s="55">
        <f t="shared" si="90"/>
        <v>-16.189378935706419</v>
      </c>
      <c r="U276" s="54">
        <f t="shared" si="78"/>
        <v>-38.479212076541778</v>
      </c>
    </row>
    <row r="277" spans="1:21" ht="15" customHeight="1">
      <c r="A277" s="33" t="s">
        <v>273</v>
      </c>
      <c r="B277" s="52">
        <f>'Расчет субсидий'!AD277</f>
        <v>-5.818181818181813</v>
      </c>
      <c r="C277" s="54">
        <f>'Расчет субсидий'!D277-1</f>
        <v>-0.32831574347942993</v>
      </c>
      <c r="D277" s="54">
        <f>C277*'Расчет субсидий'!E277</f>
        <v>-3.2831574347942993</v>
      </c>
      <c r="E277" s="55">
        <f t="shared" si="87"/>
        <v>-3.2587916084887554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4">
        <f>'Расчет субсидий'!P277-1</f>
        <v>-0.25642633228840128</v>
      </c>
      <c r="M277" s="54">
        <f>L277*'Расчет субсидий'!Q277</f>
        <v>-5.1285266457680256</v>
      </c>
      <c r="N277" s="55">
        <f t="shared" si="88"/>
        <v>-5.0904654830196829</v>
      </c>
      <c r="O277" s="54">
        <f>'Расчет субсидий'!T277-1</f>
        <v>-9.000000000000008E-2</v>
      </c>
      <c r="P277" s="54">
        <f>O277*'Расчет субсидий'!U277</f>
        <v>-0.4500000000000004</v>
      </c>
      <c r="Q277" s="55">
        <f t="shared" si="89"/>
        <v>-0.44666034235175794</v>
      </c>
      <c r="R277" s="54">
        <f>'Расчет субсидий'!X277-1</f>
        <v>6.6666666666666652E-2</v>
      </c>
      <c r="S277" s="54">
        <f>R277*'Расчет субсидий'!Y277</f>
        <v>2.9999999999999991</v>
      </c>
      <c r="T277" s="55">
        <f t="shared" si="90"/>
        <v>2.9777356156783834</v>
      </c>
      <c r="U277" s="54">
        <f t="shared" si="78"/>
        <v>-5.861684080562326</v>
      </c>
    </row>
    <row r="278" spans="1:21" ht="15" customHeight="1">
      <c r="A278" s="33" t="s">
        <v>274</v>
      </c>
      <c r="B278" s="52">
        <f>'Расчет субсидий'!AD278</f>
        <v>0</v>
      </c>
      <c r="C278" s="54">
        <f>'Расчет субсидий'!D278-1</f>
        <v>-7.3418288412995691E-2</v>
      </c>
      <c r="D278" s="54">
        <f>C278*'Расчет субсидий'!E278</f>
        <v>-0.73418288412995691</v>
      </c>
      <c r="E278" s="55">
        <f t="shared" si="87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4">
        <f>'Расчет субсидий'!P278-1</f>
        <v>-0.11061946902654862</v>
      </c>
      <c r="M278" s="54">
        <f>L278*'Расчет субсидий'!Q278</f>
        <v>-2.2123893805309724</v>
      </c>
      <c r="N278" s="55">
        <f t="shared" si="88"/>
        <v>0</v>
      </c>
      <c r="O278" s="54">
        <f>'Расчет субсидий'!T278-1</f>
        <v>0</v>
      </c>
      <c r="P278" s="54">
        <f>O278*'Расчет субсидий'!U278</f>
        <v>0</v>
      </c>
      <c r="Q278" s="55">
        <f t="shared" si="89"/>
        <v>0</v>
      </c>
      <c r="R278" s="54">
        <f>'Расчет субсидий'!X278-1</f>
        <v>-1</v>
      </c>
      <c r="S278" s="54">
        <f>R278*'Расчет субсидий'!Y278</f>
        <v>-40</v>
      </c>
      <c r="T278" s="55">
        <f t="shared" si="90"/>
        <v>0</v>
      </c>
      <c r="U278" s="54">
        <f t="shared" si="78"/>
        <v>-42.946572264660929</v>
      </c>
    </row>
    <row r="279" spans="1:21" ht="15" customHeight="1">
      <c r="A279" s="33" t="s">
        <v>167</v>
      </c>
      <c r="B279" s="52">
        <f>'Расчет субсидий'!AD279</f>
        <v>7.9909090909090992</v>
      </c>
      <c r="C279" s="54">
        <f>'Расчет субсидий'!D279-1</f>
        <v>-1</v>
      </c>
      <c r="D279" s="54">
        <f>C279*'Расчет субсидий'!E279</f>
        <v>0</v>
      </c>
      <c r="E279" s="55">
        <f t="shared" si="87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4">
        <f>'Расчет субсидий'!P279-1</f>
        <v>0.30000000000000004</v>
      </c>
      <c r="M279" s="54">
        <f>L279*'Расчет субсидий'!Q279</f>
        <v>6.0000000000000009</v>
      </c>
      <c r="N279" s="55">
        <f t="shared" si="88"/>
        <v>6.6755092623112988</v>
      </c>
      <c r="O279" s="54">
        <f>'Расчет субсидий'!T279-1</f>
        <v>7.2916666666666963E-3</v>
      </c>
      <c r="P279" s="54">
        <f>O279*'Расчет субсидий'!U279</f>
        <v>0.18229166666666741</v>
      </c>
      <c r="Q279" s="55">
        <f t="shared" si="89"/>
        <v>0.202814951545917</v>
      </c>
      <c r="R279" s="54">
        <f>'Расчет субсидий'!X279-1</f>
        <v>4.0000000000000036E-2</v>
      </c>
      <c r="S279" s="54">
        <f>R279*'Расчет субсидий'!Y279</f>
        <v>1.0000000000000009</v>
      </c>
      <c r="T279" s="55">
        <f t="shared" si="90"/>
        <v>1.112584877051884</v>
      </c>
      <c r="U279" s="54">
        <f t="shared" si="78"/>
        <v>7.1822916666666687</v>
      </c>
    </row>
    <row r="280" spans="1:21" ht="15" customHeight="1">
      <c r="A280" s="32" t="s">
        <v>275</v>
      </c>
      <c r="B280" s="56"/>
      <c r="C280" s="57"/>
      <c r="D280" s="57"/>
      <c r="E280" s="58"/>
      <c r="F280" s="57"/>
      <c r="G280" s="57"/>
      <c r="H280" s="58"/>
      <c r="I280" s="58"/>
      <c r="J280" s="58"/>
      <c r="K280" s="58"/>
      <c r="L280" s="57"/>
      <c r="M280" s="57"/>
      <c r="N280" s="58"/>
      <c r="O280" s="57"/>
      <c r="P280" s="57"/>
      <c r="Q280" s="58"/>
      <c r="R280" s="57"/>
      <c r="S280" s="57"/>
      <c r="T280" s="58"/>
      <c r="U280" s="58"/>
    </row>
    <row r="281" spans="1:21" ht="15" customHeight="1">
      <c r="A281" s="33" t="s">
        <v>71</v>
      </c>
      <c r="B281" s="52">
        <f>'Расчет субсидий'!AD281</f>
        <v>-11.036363636363632</v>
      </c>
      <c r="C281" s="54">
        <f>'Расчет субсидий'!D281-1</f>
        <v>-0.21847243034291053</v>
      </c>
      <c r="D281" s="54">
        <f>C281*'Расчет субсидий'!E281</f>
        <v>-2.1847243034291051</v>
      </c>
      <c r="E281" s="55">
        <f t="shared" ref="E281:E304" si="91">$B281*D281/$U281</f>
        <v>-1.4354966251128782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4">
        <f>'Расчет субсидий'!P281-1</f>
        <v>-0.2493288590604027</v>
      </c>
      <c r="M281" s="54">
        <f>L281*'Расчет субсидий'!Q281</f>
        <v>-4.9865771812080535</v>
      </c>
      <c r="N281" s="55">
        <f t="shared" ref="N281:N304" si="92">$B281*M281/$U281</f>
        <v>-3.2764842242353613</v>
      </c>
      <c r="O281" s="54">
        <f>'Расчет субсидий'!T281-1</f>
        <v>0</v>
      </c>
      <c r="P281" s="54">
        <f>O281*'Расчет субсидий'!U281</f>
        <v>0</v>
      </c>
      <c r="Q281" s="55">
        <f t="shared" ref="Q281:Q304" si="93">$B281*P281/$U281</f>
        <v>0</v>
      </c>
      <c r="R281" s="54">
        <f>'Расчет субсидий'!X281-1</f>
        <v>-0.21389473684210536</v>
      </c>
      <c r="S281" s="54">
        <f>R281*'Расчет субсидий'!Y281</f>
        <v>-9.6252631578947412</v>
      </c>
      <c r="T281" s="55">
        <f t="shared" ref="T281:T304" si="94">$B281*S281/$U281</f>
        <v>-6.3243827870153932</v>
      </c>
      <c r="U281" s="54">
        <f t="shared" si="78"/>
        <v>-16.796564642531898</v>
      </c>
    </row>
    <row r="282" spans="1:21" ht="15" customHeight="1">
      <c r="A282" s="33" t="s">
        <v>276</v>
      </c>
      <c r="B282" s="52">
        <f>'Расчет субсидий'!AD282</f>
        <v>3</v>
      </c>
      <c r="C282" s="54">
        <f>'Расчет субсидий'!D282-1</f>
        <v>0</v>
      </c>
      <c r="D282" s="54">
        <f>C282*'Расчет субсидий'!E282</f>
        <v>0</v>
      </c>
      <c r="E282" s="55">
        <f t="shared" si="91"/>
        <v>0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4">
        <f>'Расчет субсидий'!P282-1</f>
        <v>0.23779220779220767</v>
      </c>
      <c r="M282" s="54">
        <f>L282*'Расчет субсидий'!Q282</f>
        <v>4.7558441558441533</v>
      </c>
      <c r="N282" s="55">
        <f t="shared" si="92"/>
        <v>3</v>
      </c>
      <c r="O282" s="54">
        <f>'Расчет субсидий'!T282-1</f>
        <v>0</v>
      </c>
      <c r="P282" s="54">
        <f>O282*'Расчет субсидий'!U282</f>
        <v>0</v>
      </c>
      <c r="Q282" s="55">
        <f t="shared" si="93"/>
        <v>0</v>
      </c>
      <c r="R282" s="54">
        <f>'Расчет субсидий'!X282-1</f>
        <v>0</v>
      </c>
      <c r="S282" s="54">
        <f>R282*'Расчет субсидий'!Y282</f>
        <v>0</v>
      </c>
      <c r="T282" s="55">
        <f t="shared" si="94"/>
        <v>0</v>
      </c>
      <c r="U282" s="54">
        <f t="shared" si="78"/>
        <v>4.7558441558441533</v>
      </c>
    </row>
    <row r="283" spans="1:21" ht="15" customHeight="1">
      <c r="A283" s="33" t="s">
        <v>277</v>
      </c>
      <c r="B283" s="52">
        <f>'Расчет субсидий'!AD283</f>
        <v>-5.0636363636363697</v>
      </c>
      <c r="C283" s="54">
        <f>'Расчет субсидий'!D283-1</f>
        <v>-1</v>
      </c>
      <c r="D283" s="54">
        <f>C283*'Расчет субсидий'!E283</f>
        <v>0</v>
      </c>
      <c r="E283" s="55">
        <f t="shared" si="91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4">
        <f>'Расчет субсидий'!P283-1</f>
        <v>-0.41226215644820285</v>
      </c>
      <c r="M283" s="54">
        <f>L283*'Расчет субсидий'!Q283</f>
        <v>-8.2452431289640575</v>
      </c>
      <c r="N283" s="55">
        <f t="shared" si="92"/>
        <v>-5.0636363636363697</v>
      </c>
      <c r="O283" s="54">
        <f>'Расчет субсидий'!T283-1</f>
        <v>0</v>
      </c>
      <c r="P283" s="54">
        <f>O283*'Расчет субсидий'!U283</f>
        <v>0</v>
      </c>
      <c r="Q283" s="55">
        <f t="shared" si="93"/>
        <v>0</v>
      </c>
      <c r="R283" s="54">
        <f>'Расчет субсидий'!X283-1</f>
        <v>0</v>
      </c>
      <c r="S283" s="54">
        <f>R283*'Расчет субсидий'!Y283</f>
        <v>0</v>
      </c>
      <c r="T283" s="55">
        <f t="shared" si="94"/>
        <v>0</v>
      </c>
      <c r="U283" s="54">
        <f t="shared" si="78"/>
        <v>-8.2452431289640575</v>
      </c>
    </row>
    <row r="284" spans="1:21" ht="15" customHeight="1">
      <c r="A284" s="33" t="s">
        <v>53</v>
      </c>
      <c r="B284" s="52">
        <f>'Расчет субсидий'!AD284</f>
        <v>-3.6363636363637042E-2</v>
      </c>
      <c r="C284" s="54">
        <f>'Расчет субсидий'!D284-1</f>
        <v>0.10003519743721867</v>
      </c>
      <c r="D284" s="54">
        <f>C284*'Расчет субсидий'!E284</f>
        <v>1.0003519743721867</v>
      </c>
      <c r="E284" s="55">
        <f t="shared" si="91"/>
        <v>4.5959193415641683E-2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4">
        <f>'Расчет субсидий'!P284-1</f>
        <v>6.2907690839087538E-2</v>
      </c>
      <c r="M284" s="54">
        <f>L284*'Расчет субсидий'!Q284</f>
        <v>1.2581538167817508</v>
      </c>
      <c r="N284" s="55">
        <f t="shared" si="92"/>
        <v>5.7803389300441009E-2</v>
      </c>
      <c r="O284" s="54">
        <f>'Расчет субсидий'!T284-1</f>
        <v>-8.7142857142857189E-2</v>
      </c>
      <c r="P284" s="54">
        <f>O284*'Расчет субсидий'!U284</f>
        <v>-3.0500000000000016</v>
      </c>
      <c r="Q284" s="55">
        <f t="shared" si="93"/>
        <v>-0.14012621907971975</v>
      </c>
      <c r="R284" s="54">
        <f>'Расчет субсидий'!X284-1</f>
        <v>0</v>
      </c>
      <c r="S284" s="54">
        <f>R284*'Расчет субсидий'!Y284</f>
        <v>0</v>
      </c>
      <c r="T284" s="55">
        <f t="shared" si="94"/>
        <v>0</v>
      </c>
      <c r="U284" s="54">
        <f t="shared" si="78"/>
        <v>-0.79149420884606414</v>
      </c>
    </row>
    <row r="285" spans="1:21" ht="15" customHeight="1">
      <c r="A285" s="33" t="s">
        <v>278</v>
      </c>
      <c r="B285" s="52">
        <f>'Расчет субсидий'!AD285</f>
        <v>-27.81818181818182</v>
      </c>
      <c r="C285" s="54">
        <f>'Расчет субсидий'!D285-1</f>
        <v>0.11581027667984189</v>
      </c>
      <c r="D285" s="54">
        <f>C285*'Расчет субсидий'!E285</f>
        <v>1.1581027667984189</v>
      </c>
      <c r="E285" s="55">
        <f t="shared" si="91"/>
        <v>0.76418678378448512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4">
        <f>'Расчет субсидий'!P285-1</f>
        <v>-0.82412060301507539</v>
      </c>
      <c r="M285" s="54">
        <f>L285*'Расчет субсидий'!Q285</f>
        <v>-16.482412060301506</v>
      </c>
      <c r="N285" s="55">
        <f t="shared" si="92"/>
        <v>-10.876099964939323</v>
      </c>
      <c r="O285" s="54">
        <f>'Расчет субсидий'!T285-1</f>
        <v>-0.76666666666666672</v>
      </c>
      <c r="P285" s="54">
        <f>O285*'Расчет субсидий'!U285</f>
        <v>-26.833333333333336</v>
      </c>
      <c r="Q285" s="55">
        <f t="shared" si="93"/>
        <v>-17.706268637026984</v>
      </c>
      <c r="R285" s="54">
        <f>'Расчет субсидий'!X285-1</f>
        <v>0</v>
      </c>
      <c r="S285" s="54">
        <f>R285*'Расчет субсидий'!Y285</f>
        <v>0</v>
      </c>
      <c r="T285" s="55">
        <f t="shared" si="94"/>
        <v>0</v>
      </c>
      <c r="U285" s="54">
        <f t="shared" si="78"/>
        <v>-42.15764262683642</v>
      </c>
    </row>
    <row r="286" spans="1:21" ht="15" customHeight="1">
      <c r="A286" s="33" t="s">
        <v>279</v>
      </c>
      <c r="B286" s="52">
        <f>'Расчет субсидий'!AD286</f>
        <v>-35.481818181818184</v>
      </c>
      <c r="C286" s="54">
        <f>'Расчет субсидий'!D286-1</f>
        <v>-1</v>
      </c>
      <c r="D286" s="54">
        <f>C286*'Расчет субсидий'!E286</f>
        <v>0</v>
      </c>
      <c r="E286" s="55">
        <f t="shared" si="91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4">
        <f>'Расчет субсидий'!P286-1</f>
        <v>-0.78683333333333327</v>
      </c>
      <c r="M286" s="54">
        <f>L286*'Расчет субсидий'!Q286</f>
        <v>-15.736666666666665</v>
      </c>
      <c r="N286" s="55">
        <f t="shared" si="92"/>
        <v>-18.945383013225385</v>
      </c>
      <c r="O286" s="54">
        <f>'Расчет субсидий'!T286-1</f>
        <v>-0.45785714285714285</v>
      </c>
      <c r="P286" s="54">
        <f>O286*'Расчет субсидий'!U286</f>
        <v>-13.735714285714286</v>
      </c>
      <c r="Q286" s="55">
        <f t="shared" si="93"/>
        <v>-16.536435168592799</v>
      </c>
      <c r="R286" s="54">
        <f>'Расчет субсидий'!X286-1</f>
        <v>0</v>
      </c>
      <c r="S286" s="54">
        <f>R286*'Расчет субсидий'!Y286</f>
        <v>0</v>
      </c>
      <c r="T286" s="55">
        <f t="shared" si="94"/>
        <v>0</v>
      </c>
      <c r="U286" s="54">
        <f t="shared" si="78"/>
        <v>-29.472380952380952</v>
      </c>
    </row>
    <row r="287" spans="1:21" ht="15" customHeight="1">
      <c r="A287" s="33" t="s">
        <v>280</v>
      </c>
      <c r="B287" s="52">
        <f>'Расчет субсидий'!AD287</f>
        <v>0.67272727272727373</v>
      </c>
      <c r="C287" s="54">
        <f>'Расчет субсидий'!D287-1</f>
        <v>-1</v>
      </c>
      <c r="D287" s="54">
        <f>C287*'Расчет субсидий'!E287</f>
        <v>0</v>
      </c>
      <c r="E287" s="55">
        <f t="shared" si="91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4">
        <f>'Расчет субсидий'!P287-1</f>
        <v>0.20634495084897231</v>
      </c>
      <c r="M287" s="54">
        <f>L287*'Расчет субсидий'!Q287</f>
        <v>4.1268990169794462</v>
      </c>
      <c r="N287" s="55">
        <f t="shared" si="92"/>
        <v>0.67272727272727373</v>
      </c>
      <c r="O287" s="54">
        <f>'Расчет субсидий'!T287-1</f>
        <v>0</v>
      </c>
      <c r="P287" s="54">
        <f>O287*'Расчет субсидий'!U287</f>
        <v>0</v>
      </c>
      <c r="Q287" s="55">
        <f t="shared" si="93"/>
        <v>0</v>
      </c>
      <c r="R287" s="54">
        <f>'Расчет субсидий'!X287-1</f>
        <v>0</v>
      </c>
      <c r="S287" s="54">
        <f>R287*'Расчет субсидий'!Y287</f>
        <v>0</v>
      </c>
      <c r="T287" s="55">
        <f t="shared" si="94"/>
        <v>0</v>
      </c>
      <c r="U287" s="54">
        <f t="shared" si="78"/>
        <v>4.1268990169794462</v>
      </c>
    </row>
    <row r="288" spans="1:21" ht="15" customHeight="1">
      <c r="A288" s="33" t="s">
        <v>281</v>
      </c>
      <c r="B288" s="52">
        <f>'Расчет субсидий'!AD288</f>
        <v>-9.7363636363636346</v>
      </c>
      <c r="C288" s="54">
        <f>'Расчет субсидий'!D288-1</f>
        <v>-1</v>
      </c>
      <c r="D288" s="54">
        <f>C288*'Расчет субсидий'!E288</f>
        <v>0</v>
      </c>
      <c r="E288" s="55">
        <f t="shared" si="91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4">
        <f>'Расчет субсидий'!P288-1</f>
        <v>-0.20600115406809005</v>
      </c>
      <c r="M288" s="54">
        <f>L288*'Расчет субсидий'!Q288</f>
        <v>-4.1200230813618006</v>
      </c>
      <c r="N288" s="55">
        <f t="shared" si="92"/>
        <v>-6.262205365540928</v>
      </c>
      <c r="O288" s="54">
        <f>'Расчет субсидий'!T288-1</f>
        <v>-5.7142857142857162E-2</v>
      </c>
      <c r="P288" s="54">
        <f>O288*'Расчет субсидий'!U288</f>
        <v>-2.2857142857142865</v>
      </c>
      <c r="Q288" s="55">
        <f t="shared" si="93"/>
        <v>-3.474158270822707</v>
      </c>
      <c r="R288" s="54">
        <f>'Расчет субсидий'!X288-1</f>
        <v>0</v>
      </c>
      <c r="S288" s="54">
        <f>R288*'Расчет субсидий'!Y288</f>
        <v>0</v>
      </c>
      <c r="T288" s="55">
        <f t="shared" si="94"/>
        <v>0</v>
      </c>
      <c r="U288" s="54">
        <f t="shared" si="78"/>
        <v>-6.4057373670760871</v>
      </c>
    </row>
    <row r="289" spans="1:21" ht="15" customHeight="1">
      <c r="A289" s="33" t="s">
        <v>282</v>
      </c>
      <c r="B289" s="52">
        <f>'Расчет субсидий'!AD289</f>
        <v>4.018181818181823</v>
      </c>
      <c r="C289" s="54">
        <f>'Расчет субсидий'!D289-1</f>
        <v>-1</v>
      </c>
      <c r="D289" s="54">
        <f>C289*'Расчет субсидий'!E289</f>
        <v>0</v>
      </c>
      <c r="E289" s="55">
        <f t="shared" si="91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4">
        <f>'Расчет субсидий'!P289-1</f>
        <v>0.30000000000000004</v>
      </c>
      <c r="M289" s="54">
        <f>L289*'Расчет субсидий'!Q289</f>
        <v>6.0000000000000009</v>
      </c>
      <c r="N289" s="55">
        <f t="shared" si="92"/>
        <v>4.018181818181823</v>
      </c>
      <c r="O289" s="54">
        <f>'Расчет субсидий'!T289-1</f>
        <v>0</v>
      </c>
      <c r="P289" s="54">
        <f>O289*'Расчет субсидий'!U289</f>
        <v>0</v>
      </c>
      <c r="Q289" s="55">
        <f t="shared" si="93"/>
        <v>0</v>
      </c>
      <c r="R289" s="54">
        <f>'Расчет субсидий'!X289-1</f>
        <v>0</v>
      </c>
      <c r="S289" s="54">
        <f>R289*'Расчет субсидий'!Y289</f>
        <v>0</v>
      </c>
      <c r="T289" s="55">
        <f t="shared" si="94"/>
        <v>0</v>
      </c>
      <c r="U289" s="54">
        <f t="shared" si="78"/>
        <v>6.0000000000000009</v>
      </c>
    </row>
    <row r="290" spans="1:21" ht="15" customHeight="1">
      <c r="A290" s="33" t="s">
        <v>283</v>
      </c>
      <c r="B290" s="52">
        <f>'Расчет субсидий'!AD290</f>
        <v>-9.4454545454545453</v>
      </c>
      <c r="C290" s="54">
        <f>'Расчет субсидий'!D290-1</f>
        <v>-0.30210772833723654</v>
      </c>
      <c r="D290" s="54">
        <f>C290*'Расчет субсидий'!E290</f>
        <v>-3.0210772833723656</v>
      </c>
      <c r="E290" s="55">
        <f t="shared" si="91"/>
        <v>-2.0680487758942747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4">
        <f>'Расчет субсидий'!P290-1</f>
        <v>-0.7685459940652819</v>
      </c>
      <c r="M290" s="54">
        <f>L290*'Расчет субсидий'!Q290</f>
        <v>-15.370919881305639</v>
      </c>
      <c r="N290" s="55">
        <f t="shared" si="92"/>
        <v>-10.522012204010558</v>
      </c>
      <c r="O290" s="54">
        <f>'Расчет субсидий'!T290-1</f>
        <v>0.13125000000000009</v>
      </c>
      <c r="P290" s="54">
        <f>O290*'Расчет субсидий'!U290</f>
        <v>4.5937500000000036</v>
      </c>
      <c r="Q290" s="55">
        <f t="shared" si="93"/>
        <v>3.1446064344502864</v>
      </c>
      <c r="R290" s="54">
        <f>'Расчет субсидий'!X290-1</f>
        <v>0</v>
      </c>
      <c r="S290" s="54">
        <f>R290*'Расчет субсидий'!Y290</f>
        <v>0</v>
      </c>
      <c r="T290" s="55">
        <f t="shared" si="94"/>
        <v>0</v>
      </c>
      <c r="U290" s="54">
        <f t="shared" si="78"/>
        <v>-13.798247164677999</v>
      </c>
    </row>
    <row r="291" spans="1:21" ht="15" customHeight="1">
      <c r="A291" s="33" t="s">
        <v>284</v>
      </c>
      <c r="B291" s="52">
        <f>'Расчет субсидий'!AD291</f>
        <v>-65.663636363636357</v>
      </c>
      <c r="C291" s="54">
        <f>'Расчет субсидий'!D291-1</f>
        <v>-1</v>
      </c>
      <c r="D291" s="54">
        <f>C291*'Расчет субсидий'!E291</f>
        <v>0</v>
      </c>
      <c r="E291" s="55">
        <f t="shared" si="91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4">
        <f>'Расчет субсидий'!P291-1</f>
        <v>-0.15798842901646637</v>
      </c>
      <c r="M291" s="54">
        <f>L291*'Расчет субсидий'!Q291</f>
        <v>-3.1597685803293274</v>
      </c>
      <c r="N291" s="55">
        <f t="shared" si="92"/>
        <v>-5.2096526783083927</v>
      </c>
      <c r="O291" s="54">
        <f>'Расчет субсидий'!T291-1</f>
        <v>-0.91666666666666663</v>
      </c>
      <c r="P291" s="54">
        <f>O291*'Расчет субсидий'!U291</f>
        <v>-36.666666666666664</v>
      </c>
      <c r="Q291" s="55">
        <f t="shared" si="93"/>
        <v>-60.453983685327962</v>
      </c>
      <c r="R291" s="54">
        <f>'Расчет субсидий'!X291-1</f>
        <v>0</v>
      </c>
      <c r="S291" s="54">
        <f>R291*'Расчет субсидий'!Y291</f>
        <v>0</v>
      </c>
      <c r="T291" s="55">
        <f t="shared" si="94"/>
        <v>0</v>
      </c>
      <c r="U291" s="54">
        <f t="shared" si="78"/>
        <v>-39.826435246995992</v>
      </c>
    </row>
    <row r="292" spans="1:21" ht="15" customHeight="1">
      <c r="A292" s="33" t="s">
        <v>285</v>
      </c>
      <c r="B292" s="52">
        <f>'Расчет субсидий'!AD292</f>
        <v>0.67272727272727284</v>
      </c>
      <c r="C292" s="54">
        <f>'Расчет субсидий'!D292-1</f>
        <v>-1</v>
      </c>
      <c r="D292" s="54">
        <f>C292*'Расчет субсидий'!E292</f>
        <v>0</v>
      </c>
      <c r="E292" s="55">
        <f t="shared" si="91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4">
        <f>'Расчет субсидий'!P292-1</f>
        <v>0.29713940856970433</v>
      </c>
      <c r="M292" s="54">
        <f>L292*'Расчет субсидий'!Q292</f>
        <v>5.9427881713940867</v>
      </c>
      <c r="N292" s="55">
        <f t="shared" si="92"/>
        <v>0.3814068615818107</v>
      </c>
      <c r="O292" s="54">
        <f>'Расчет субсидий'!T292-1</f>
        <v>0.15130434782608693</v>
      </c>
      <c r="P292" s="54">
        <f>O292*'Расчет субсидий'!U292</f>
        <v>4.5391304347826082</v>
      </c>
      <c r="Q292" s="55">
        <f t="shared" si="93"/>
        <v>0.29132041114546214</v>
      </c>
      <c r="R292" s="54">
        <f>'Расчет субсидий'!X292-1</f>
        <v>0</v>
      </c>
      <c r="S292" s="54">
        <f>R292*'Расчет субсидий'!Y292</f>
        <v>0</v>
      </c>
      <c r="T292" s="55">
        <f t="shared" si="94"/>
        <v>0</v>
      </c>
      <c r="U292" s="54">
        <f t="shared" si="78"/>
        <v>10.481918606176695</v>
      </c>
    </row>
    <row r="293" spans="1:21" ht="15" customHeight="1">
      <c r="A293" s="33" t="s">
        <v>286</v>
      </c>
      <c r="B293" s="52">
        <f>'Расчет субсидий'!AD293</f>
        <v>-14.25454545454545</v>
      </c>
      <c r="C293" s="54">
        <f>'Расчет субсидий'!D293-1</f>
        <v>0.22353723404255321</v>
      </c>
      <c r="D293" s="54">
        <f>C293*'Расчет субсидий'!E293</f>
        <v>2.2353723404255321</v>
      </c>
      <c r="E293" s="55">
        <f t="shared" si="91"/>
        <v>1.5774192185251945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4">
        <f>'Расчет субсидий'!P293-1</f>
        <v>-3.1779661016949179E-2</v>
      </c>
      <c r="M293" s="54">
        <f>L293*'Расчет субсидий'!Q293</f>
        <v>-0.63559322033898358</v>
      </c>
      <c r="N293" s="55">
        <f t="shared" si="92"/>
        <v>-0.44851452386503715</v>
      </c>
      <c r="O293" s="54">
        <f>'Расчет субсидий'!T293-1</f>
        <v>-0.72666666666666668</v>
      </c>
      <c r="P293" s="54">
        <f>O293*'Расчет субсидий'!U293</f>
        <v>-21.8</v>
      </c>
      <c r="Q293" s="55">
        <f t="shared" si="93"/>
        <v>-15.383450149205609</v>
      </c>
      <c r="R293" s="54">
        <f>'Расчет субсидий'!X293-1</f>
        <v>0</v>
      </c>
      <c r="S293" s="54">
        <f>R293*'Расчет субсидий'!Y293</f>
        <v>0</v>
      </c>
      <c r="T293" s="55">
        <f t="shared" si="94"/>
        <v>0</v>
      </c>
      <c r="U293" s="54">
        <f t="shared" si="78"/>
        <v>-20.200220879913452</v>
      </c>
    </row>
    <row r="294" spans="1:21" ht="15" customHeight="1">
      <c r="A294" s="33" t="s">
        <v>287</v>
      </c>
      <c r="B294" s="52">
        <f>'Расчет субсидий'!AD294</f>
        <v>-0.23636363636363633</v>
      </c>
      <c r="C294" s="54">
        <f>'Расчет субсидий'!D294-1</f>
        <v>-1</v>
      </c>
      <c r="D294" s="54">
        <f>C294*'Расчет субсидий'!E294</f>
        <v>0</v>
      </c>
      <c r="E294" s="55">
        <f t="shared" si="91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4">
        <f>'Расчет субсидий'!P294-1</f>
        <v>-0.19732337379396214</v>
      </c>
      <c r="M294" s="54">
        <f>L294*'Расчет субсидий'!Q294</f>
        <v>-3.9464674758792428</v>
      </c>
      <c r="N294" s="55">
        <f t="shared" si="92"/>
        <v>-0.23636363636363633</v>
      </c>
      <c r="O294" s="54">
        <f>'Расчет субсидий'!T294-1</f>
        <v>0</v>
      </c>
      <c r="P294" s="54">
        <f>O294*'Расчет субсидий'!U294</f>
        <v>0</v>
      </c>
      <c r="Q294" s="55">
        <f t="shared" si="93"/>
        <v>0</v>
      </c>
      <c r="R294" s="54">
        <f>'Расчет субсидий'!X294-1</f>
        <v>0</v>
      </c>
      <c r="S294" s="54">
        <f>R294*'Расчет субсидий'!Y294</f>
        <v>0</v>
      </c>
      <c r="T294" s="55">
        <f t="shared" si="94"/>
        <v>0</v>
      </c>
      <c r="U294" s="54">
        <f t="shared" si="78"/>
        <v>-3.9464674758792428</v>
      </c>
    </row>
    <row r="295" spans="1:21" ht="15" customHeight="1">
      <c r="A295" s="33" t="s">
        <v>288</v>
      </c>
      <c r="B295" s="52">
        <f>'Расчет субсидий'!AD295</f>
        <v>-0.14545454545454461</v>
      </c>
      <c r="C295" s="54">
        <f>'Расчет субсидий'!D295-1</f>
        <v>-0.16531766271205228</v>
      </c>
      <c r="D295" s="54">
        <f>C295*'Расчет субсидий'!E295</f>
        <v>-1.6531766271205228</v>
      </c>
      <c r="E295" s="55">
        <f t="shared" si="91"/>
        <v>-0.21747989563441622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4">
        <f>'Расчет субсидий'!P295-1</f>
        <v>2.7375087966221123E-2</v>
      </c>
      <c r="M295" s="54">
        <f>L295*'Расчет субсидий'!Q295</f>
        <v>0.54750175932442247</v>
      </c>
      <c r="N295" s="55">
        <f t="shared" si="92"/>
        <v>7.2025350179871592E-2</v>
      </c>
      <c r="O295" s="54">
        <f>'Расчет субсидий'!T295-1</f>
        <v>0</v>
      </c>
      <c r="P295" s="54">
        <f>O295*'Расчет субсидий'!U295</f>
        <v>0</v>
      </c>
      <c r="Q295" s="55">
        <f t="shared" si="93"/>
        <v>0</v>
      </c>
      <c r="R295" s="54">
        <f>'Расчет субсидий'!X295-1</f>
        <v>0</v>
      </c>
      <c r="S295" s="54">
        <f>R295*'Расчет субсидий'!Y295</f>
        <v>0</v>
      </c>
      <c r="T295" s="55">
        <f t="shared" si="94"/>
        <v>0</v>
      </c>
      <c r="U295" s="54">
        <f t="shared" si="78"/>
        <v>-1.1056748677961004</v>
      </c>
    </row>
    <row r="296" spans="1:21" ht="15" customHeight="1">
      <c r="A296" s="33" t="s">
        <v>289</v>
      </c>
      <c r="B296" s="52">
        <f>'Расчет субсидий'!AD296</f>
        <v>0.1454545454545455</v>
      </c>
      <c r="C296" s="54">
        <f>'Расчет субсидий'!D296-1</f>
        <v>0.234049434098486</v>
      </c>
      <c r="D296" s="54">
        <f>C296*'Расчет субсидий'!E296</f>
        <v>2.34049434098486</v>
      </c>
      <c r="E296" s="55">
        <f t="shared" si="91"/>
        <v>6.9461611526543648E-2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4">
        <f>'Расчет субсидий'!P296-1</f>
        <v>0.1280282935455348</v>
      </c>
      <c r="M296" s="54">
        <f>L296*'Расчет субсидий'!Q296</f>
        <v>2.560565870910696</v>
      </c>
      <c r="N296" s="55">
        <f t="shared" si="92"/>
        <v>7.5992933928001841E-2</v>
      </c>
      <c r="O296" s="54">
        <f>'Расчет субсидий'!T296-1</f>
        <v>0</v>
      </c>
      <c r="P296" s="54">
        <f>O296*'Расчет субсидий'!U296</f>
        <v>0</v>
      </c>
      <c r="Q296" s="55">
        <f t="shared" si="93"/>
        <v>0</v>
      </c>
      <c r="R296" s="54">
        <f>'Расчет субсидий'!X296-1</f>
        <v>0</v>
      </c>
      <c r="S296" s="54">
        <f>R296*'Расчет субсидий'!Y296</f>
        <v>0</v>
      </c>
      <c r="T296" s="55">
        <f t="shared" si="94"/>
        <v>0</v>
      </c>
      <c r="U296" s="54">
        <f t="shared" si="78"/>
        <v>4.9010602118955564</v>
      </c>
    </row>
    <row r="297" spans="1:21" ht="15" customHeight="1">
      <c r="A297" s="33" t="s">
        <v>290</v>
      </c>
      <c r="B297" s="52">
        <f>'Расчет субсидий'!AD297</f>
        <v>0.20909090909090899</v>
      </c>
      <c r="C297" s="54">
        <f>'Расчет субсидий'!D297-1</f>
        <v>0.30000000000000004</v>
      </c>
      <c r="D297" s="54">
        <f>C297*'Расчет субсидий'!E297</f>
        <v>3.0000000000000004</v>
      </c>
      <c r="E297" s="55">
        <f t="shared" si="91"/>
        <v>8.2311133753574267E-2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4">
        <f>'Расчет субсидий'!P297-1</f>
        <v>0.23103759398496226</v>
      </c>
      <c r="M297" s="54">
        <f>L297*'Расчет субсидий'!Q297</f>
        <v>4.6207518796992453</v>
      </c>
      <c r="N297" s="55">
        <f t="shared" si="92"/>
        <v>0.12677977533733475</v>
      </c>
      <c r="O297" s="54">
        <f>'Расчет субсидий'!T297-1</f>
        <v>0</v>
      </c>
      <c r="P297" s="54">
        <f>O297*'Расчет субсидий'!U297</f>
        <v>0</v>
      </c>
      <c r="Q297" s="55">
        <f t="shared" si="93"/>
        <v>0</v>
      </c>
      <c r="R297" s="54">
        <f>'Расчет субсидий'!X297-1</f>
        <v>0</v>
      </c>
      <c r="S297" s="54">
        <f>R297*'Расчет субсидий'!Y297</f>
        <v>0</v>
      </c>
      <c r="T297" s="55">
        <f t="shared" si="94"/>
        <v>0</v>
      </c>
      <c r="U297" s="54">
        <f t="shared" ref="U297:U359" si="95">D297+M297+P297+S297</f>
        <v>7.6207518796992453</v>
      </c>
    </row>
    <row r="298" spans="1:21" ht="15" customHeight="1">
      <c r="A298" s="33" t="s">
        <v>291</v>
      </c>
      <c r="B298" s="52">
        <f>'Расчет субсидий'!AD298</f>
        <v>1.3090909090909051</v>
      </c>
      <c r="C298" s="54">
        <f>'Расчет субсидий'!D298-1</f>
        <v>-1</v>
      </c>
      <c r="D298" s="54">
        <f>C298*'Расчет субсидий'!E298</f>
        <v>0</v>
      </c>
      <c r="E298" s="55">
        <f t="shared" si="91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4">
        <f>'Расчет субсидий'!P298-1</f>
        <v>0.10994764397905765</v>
      </c>
      <c r="M298" s="54">
        <f>L298*'Расчет субсидий'!Q298</f>
        <v>2.198952879581153</v>
      </c>
      <c r="N298" s="55">
        <f t="shared" si="92"/>
        <v>1.3090909090909051</v>
      </c>
      <c r="O298" s="54">
        <f>'Расчет субсидий'!T298-1</f>
        <v>0</v>
      </c>
      <c r="P298" s="54">
        <f>O298*'Расчет субсидий'!U298</f>
        <v>0</v>
      </c>
      <c r="Q298" s="55">
        <f t="shared" si="93"/>
        <v>0</v>
      </c>
      <c r="R298" s="54">
        <f>'Расчет субсидий'!X298-1</f>
        <v>0</v>
      </c>
      <c r="S298" s="54">
        <f>R298*'Расчет субсидий'!Y298</f>
        <v>0</v>
      </c>
      <c r="T298" s="55">
        <f t="shared" si="94"/>
        <v>0</v>
      </c>
      <c r="U298" s="54">
        <f t="shared" si="95"/>
        <v>2.198952879581153</v>
      </c>
    </row>
    <row r="299" spans="1:21" ht="15" customHeight="1">
      <c r="A299" s="33" t="s">
        <v>292</v>
      </c>
      <c r="B299" s="52">
        <f>'Расчет субсидий'!AD299</f>
        <v>-13.290909090909096</v>
      </c>
      <c r="C299" s="54">
        <f>'Расчет субсидий'!D299-1</f>
        <v>-0.10030737704918036</v>
      </c>
      <c r="D299" s="54">
        <f>C299*'Расчет субсидий'!E299</f>
        <v>-1.0030737704918036</v>
      </c>
      <c r="E299" s="55">
        <f t="shared" si="91"/>
        <v>-0.84194909000128992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4">
        <f>'Расчет субсидий'!P299-1</f>
        <v>-0.74156652671203127</v>
      </c>
      <c r="M299" s="54">
        <f>L299*'Расчет субсидий'!Q299</f>
        <v>-14.831330534240625</v>
      </c>
      <c r="N299" s="55">
        <f t="shared" si="92"/>
        <v>-12.448960000907805</v>
      </c>
      <c r="O299" s="54">
        <f>'Расчет субсидий'!T299-1</f>
        <v>0</v>
      </c>
      <c r="P299" s="54">
        <f>O299*'Расчет субсидий'!U299</f>
        <v>0</v>
      </c>
      <c r="Q299" s="55">
        <f t="shared" si="93"/>
        <v>0</v>
      </c>
      <c r="R299" s="54">
        <f>'Расчет субсидий'!X299-1</f>
        <v>0</v>
      </c>
      <c r="S299" s="54">
        <f>R299*'Расчет субсидий'!Y299</f>
        <v>0</v>
      </c>
      <c r="T299" s="55">
        <f t="shared" si="94"/>
        <v>0</v>
      </c>
      <c r="U299" s="54">
        <f t="shared" si="95"/>
        <v>-15.834404304732429</v>
      </c>
    </row>
    <row r="300" spans="1:21" ht="15" customHeight="1">
      <c r="A300" s="33" t="s">
        <v>293</v>
      </c>
      <c r="B300" s="52">
        <f>'Расчет субсидий'!AD300</f>
        <v>-1.1181818181818102</v>
      </c>
      <c r="C300" s="54">
        <f>'Расчет субсидий'!D300-1</f>
        <v>7.0108269260944711E-2</v>
      </c>
      <c r="D300" s="54">
        <f>C300*'Расчет субсидий'!E300</f>
        <v>0.70108269260944711</v>
      </c>
      <c r="E300" s="55">
        <f t="shared" si="91"/>
        <v>0.9622332084724482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4">
        <f>'Расчет субсидий'!P300-1</f>
        <v>-0.37578947368421056</v>
      </c>
      <c r="M300" s="54">
        <f>L300*'Расчет субсидий'!Q300</f>
        <v>-7.5157894736842117</v>
      </c>
      <c r="N300" s="55">
        <f t="shared" si="92"/>
        <v>-10.315391173827361</v>
      </c>
      <c r="O300" s="54">
        <f>'Расчет субсидий'!T300-1</f>
        <v>0.30000000000000004</v>
      </c>
      <c r="P300" s="54">
        <f>O300*'Расчет субсидий'!U300</f>
        <v>6.0000000000000009</v>
      </c>
      <c r="Q300" s="55">
        <f t="shared" si="93"/>
        <v>8.2349761471731036</v>
      </c>
      <c r="R300" s="54">
        <f>'Расчет субсидий'!X300-1</f>
        <v>0</v>
      </c>
      <c r="S300" s="54">
        <f>R300*'Расчет субсидий'!Y300</f>
        <v>0</v>
      </c>
      <c r="T300" s="55">
        <f t="shared" si="94"/>
        <v>0</v>
      </c>
      <c r="U300" s="54">
        <f t="shared" si="95"/>
        <v>-0.81470678107476413</v>
      </c>
    </row>
    <row r="301" spans="1:21" ht="15" customHeight="1">
      <c r="A301" s="33" t="s">
        <v>294</v>
      </c>
      <c r="B301" s="52">
        <f>'Расчет субсидий'!AD301</f>
        <v>0.34545454545454568</v>
      </c>
      <c r="C301" s="54">
        <f>'Расчет субсидий'!D301-1</f>
        <v>0.2149672165703318</v>
      </c>
      <c r="D301" s="54">
        <f>C301*'Расчет субсидий'!E301</f>
        <v>2.149672165703318</v>
      </c>
      <c r="E301" s="55">
        <f t="shared" si="91"/>
        <v>0.14241775973115131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4">
        <f>'Расчет субсидий'!P301-1</f>
        <v>0.15323318092749827</v>
      </c>
      <c r="M301" s="54">
        <f>L301*'Расчет субсидий'!Q301</f>
        <v>3.0646636185499654</v>
      </c>
      <c r="N301" s="55">
        <f t="shared" si="92"/>
        <v>0.2030367857233944</v>
      </c>
      <c r="O301" s="54">
        <f>'Расчет субсидий'!T301-1</f>
        <v>0</v>
      </c>
      <c r="P301" s="54">
        <f>O301*'Расчет субсидий'!U301</f>
        <v>0</v>
      </c>
      <c r="Q301" s="55">
        <f t="shared" si="93"/>
        <v>0</v>
      </c>
      <c r="R301" s="54">
        <f>'Расчет субсидий'!X301-1</f>
        <v>0</v>
      </c>
      <c r="S301" s="54">
        <f>R301*'Расчет субсидий'!Y301</f>
        <v>0</v>
      </c>
      <c r="T301" s="55">
        <f t="shared" si="94"/>
        <v>0</v>
      </c>
      <c r="U301" s="54">
        <f t="shared" si="95"/>
        <v>5.2143357842532829</v>
      </c>
    </row>
    <row r="302" spans="1:21" ht="15" customHeight="1">
      <c r="A302" s="33" t="s">
        <v>295</v>
      </c>
      <c r="B302" s="52">
        <f>'Расчет субсидий'!AD302</f>
        <v>0.22727272727272663</v>
      </c>
      <c r="C302" s="54">
        <f>'Расчет субсидий'!D302-1</f>
        <v>-2.8110023760621772E-2</v>
      </c>
      <c r="D302" s="54">
        <f>C302*'Расчет субсидий'!E302</f>
        <v>-0.28110023760621772</v>
      </c>
      <c r="E302" s="55">
        <f t="shared" si="91"/>
        <v>-0.18106183491754421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4">
        <f>'Расчет субсидий'!P302-1</f>
        <v>-0.31973140495867769</v>
      </c>
      <c r="M302" s="54">
        <f>L302*'Расчет субсидий'!Q302</f>
        <v>-6.3946280991735538</v>
      </c>
      <c r="N302" s="55">
        <f t="shared" si="92"/>
        <v>-4.1188976114406586</v>
      </c>
      <c r="O302" s="54">
        <f>'Расчет субсидий'!T302-1</f>
        <v>0.23428571428571421</v>
      </c>
      <c r="P302" s="54">
        <f>O302*'Расчет субсидий'!U302</f>
        <v>7.0285714285714267</v>
      </c>
      <c r="Q302" s="55">
        <f t="shared" si="93"/>
        <v>4.5272321736309289</v>
      </c>
      <c r="R302" s="54">
        <f>'Расчет субсидий'!X302-1</f>
        <v>0</v>
      </c>
      <c r="S302" s="54">
        <f>R302*'Расчет субсидий'!Y302</f>
        <v>0</v>
      </c>
      <c r="T302" s="55">
        <f t="shared" si="94"/>
        <v>0</v>
      </c>
      <c r="U302" s="54">
        <f t="shared" si="95"/>
        <v>0.35284309179165518</v>
      </c>
    </row>
    <row r="303" spans="1:21" ht="15" customHeight="1">
      <c r="A303" s="33" t="s">
        <v>296</v>
      </c>
      <c r="B303" s="52">
        <f>'Расчет субсидий'!AD303</f>
        <v>-1.2181818181818187</v>
      </c>
      <c r="C303" s="54">
        <f>'Расчет субсидий'!D303-1</f>
        <v>-6.2107813961397862E-2</v>
      </c>
      <c r="D303" s="54">
        <f>C303*'Расчет субсидий'!E303</f>
        <v>-0.62107813961397862</v>
      </c>
      <c r="E303" s="55">
        <f t="shared" si="91"/>
        <v>-0.31813262626688765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4">
        <f>'Расчет субсидий'!P303-1</f>
        <v>0.16151842203200606</v>
      </c>
      <c r="M303" s="54">
        <f>L303*'Расчет субсидий'!Q303</f>
        <v>3.2303684406401212</v>
      </c>
      <c r="N303" s="55">
        <f t="shared" si="92"/>
        <v>1.6546800318382713</v>
      </c>
      <c r="O303" s="54">
        <f>'Расчет субсидий'!T303-1</f>
        <v>-0.16625000000000001</v>
      </c>
      <c r="P303" s="54">
        <f>O303*'Расчет субсидий'!U303</f>
        <v>-4.9875000000000007</v>
      </c>
      <c r="Q303" s="55">
        <f t="shared" si="93"/>
        <v>-2.5547292237532018</v>
      </c>
      <c r="R303" s="54">
        <f>'Расчет субсидий'!X303-1</f>
        <v>0</v>
      </c>
      <c r="S303" s="54">
        <f>R303*'Расчет субсидий'!Y303</f>
        <v>0</v>
      </c>
      <c r="T303" s="55">
        <f t="shared" si="94"/>
        <v>0</v>
      </c>
      <c r="U303" s="54">
        <f t="shared" si="95"/>
        <v>-2.3782096989738584</v>
      </c>
    </row>
    <row r="304" spans="1:21" ht="15" customHeight="1">
      <c r="A304" s="33" t="s">
        <v>297</v>
      </c>
      <c r="B304" s="52">
        <f>'Расчет субсидий'!AD304</f>
        <v>-82.209090909090904</v>
      </c>
      <c r="C304" s="54">
        <f>'Расчет субсидий'!D304-1</f>
        <v>-0.90499698211506086</v>
      </c>
      <c r="D304" s="54">
        <f>C304*'Расчет субсидий'!E304</f>
        <v>-9.0499698211506079</v>
      </c>
      <c r="E304" s="55">
        <f t="shared" si="91"/>
        <v>-14.014108088790849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4">
        <f>'Расчет субсидий'!P304-1</f>
        <v>-0.45193298270346471</v>
      </c>
      <c r="M304" s="54">
        <f>L304*'Расчет субсидий'!Q304</f>
        <v>-9.0386596540692938</v>
      </c>
      <c r="N304" s="55">
        <f t="shared" si="92"/>
        <v>-13.996594007847794</v>
      </c>
      <c r="O304" s="54">
        <f>'Расчет субсидий'!T304-1</f>
        <v>-1</v>
      </c>
      <c r="P304" s="54">
        <f>O304*'Расчет субсидий'!U304</f>
        <v>-35</v>
      </c>
      <c r="Q304" s="55">
        <f t="shared" si="93"/>
        <v>-54.198388812452258</v>
      </c>
      <c r="R304" s="54">
        <f>'Расчет субсидий'!X304-1</f>
        <v>0</v>
      </c>
      <c r="S304" s="54">
        <f>R304*'Расчет субсидий'!Y304</f>
        <v>0</v>
      </c>
      <c r="T304" s="55">
        <f t="shared" si="94"/>
        <v>0</v>
      </c>
      <c r="U304" s="54">
        <f t="shared" si="95"/>
        <v>-53.088629475219903</v>
      </c>
    </row>
    <row r="305" spans="1:21" ht="15" customHeight="1">
      <c r="A305" s="32" t="s">
        <v>298</v>
      </c>
      <c r="B305" s="56"/>
      <c r="C305" s="57"/>
      <c r="D305" s="57"/>
      <c r="E305" s="58"/>
      <c r="F305" s="57"/>
      <c r="G305" s="57"/>
      <c r="H305" s="58"/>
      <c r="I305" s="58"/>
      <c r="J305" s="58"/>
      <c r="K305" s="58"/>
      <c r="L305" s="57"/>
      <c r="M305" s="57"/>
      <c r="N305" s="58"/>
      <c r="O305" s="57"/>
      <c r="P305" s="57"/>
      <c r="Q305" s="58"/>
      <c r="R305" s="57"/>
      <c r="S305" s="57"/>
      <c r="T305" s="58"/>
      <c r="U305" s="58"/>
    </row>
    <row r="306" spans="1:21" ht="15" customHeight="1">
      <c r="A306" s="33" t="s">
        <v>299</v>
      </c>
      <c r="B306" s="52">
        <f>'Расчет субсидий'!AD306</f>
        <v>-4.5454545454545414E-2</v>
      </c>
      <c r="C306" s="54">
        <f>'Расчет субсидий'!D306-1</f>
        <v>-7.8001218769043312E-2</v>
      </c>
      <c r="D306" s="54">
        <f>C306*'Расчет субсидий'!E306</f>
        <v>-0.78001218769043312</v>
      </c>
      <c r="E306" s="55">
        <f t="shared" ref="E306:E320" si="96">$B306*D306/$U306</f>
        <v>-1.2088422018862269E-2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4">
        <f>'Расчет субсидий'!P306-1</f>
        <v>-0.10764838824788869</v>
      </c>
      <c r="M306" s="54">
        <f>L306*'Расчет субсидий'!Q306</f>
        <v>-2.1529677649577739</v>
      </c>
      <c r="N306" s="55">
        <f t="shared" ref="N306:N320" si="97">$B306*M306/$U306</f>
        <v>-3.3366123435683147E-2</v>
      </c>
      <c r="O306" s="54">
        <f>'Расчет субсидий'!T306-1</f>
        <v>0</v>
      </c>
      <c r="P306" s="54">
        <f>O306*'Расчет субсидий'!U306</f>
        <v>0</v>
      </c>
      <c r="Q306" s="55">
        <f t="shared" ref="Q306:Q320" si="98">$B306*P306/$U306</f>
        <v>0</v>
      </c>
      <c r="R306" s="54">
        <f>'Расчет субсидий'!X306-1</f>
        <v>0</v>
      </c>
      <c r="S306" s="54">
        <f>R306*'Расчет субсидий'!Y306</f>
        <v>0</v>
      </c>
      <c r="T306" s="55">
        <f t="shared" ref="T306:T320" si="99">$B306*S306/$U306</f>
        <v>0</v>
      </c>
      <c r="U306" s="54">
        <f t="shared" si="95"/>
        <v>-2.932979952648207</v>
      </c>
    </row>
    <row r="307" spans="1:21" ht="15" customHeight="1">
      <c r="A307" s="33" t="s">
        <v>300</v>
      </c>
      <c r="B307" s="52">
        <f>'Расчет субсидий'!AD307</f>
        <v>-0.41818181818181799</v>
      </c>
      <c r="C307" s="54">
        <f>'Расчет субсидий'!D307-1</f>
        <v>-0.13207562349155277</v>
      </c>
      <c r="D307" s="54">
        <f>C307*'Расчет субсидий'!E307</f>
        <v>-1.3207562349155277</v>
      </c>
      <c r="E307" s="55">
        <f t="shared" si="96"/>
        <v>-0.14622209478997319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4">
        <f>'Расчет субсидий'!P307-1</f>
        <v>-0.55001570351758788</v>
      </c>
      <c r="M307" s="54">
        <f>L307*'Расчет субсидий'!Q307</f>
        <v>-11.000314070351758</v>
      </c>
      <c r="N307" s="55">
        <f t="shared" si="97"/>
        <v>-1.2178545322690264</v>
      </c>
      <c r="O307" s="54">
        <f>'Расчет субсидий'!T307-1</f>
        <v>0.18974358974358974</v>
      </c>
      <c r="P307" s="54">
        <f>O307*'Расчет субсидий'!U307</f>
        <v>2.8461538461538458</v>
      </c>
      <c r="Q307" s="55">
        <f t="shared" si="98"/>
        <v>0.31510021794882659</v>
      </c>
      <c r="R307" s="54">
        <f>'Расчет субсидий'!X307-1</f>
        <v>0.16279069767441867</v>
      </c>
      <c r="S307" s="54">
        <f>R307*'Расчет субсидий'!Y307</f>
        <v>5.6976744186046533</v>
      </c>
      <c r="T307" s="55">
        <f t="shared" si="99"/>
        <v>0.63079459092835521</v>
      </c>
      <c r="U307" s="54">
        <f t="shared" si="95"/>
        <v>-3.7772420405087876</v>
      </c>
    </row>
    <row r="308" spans="1:21" ht="15" customHeight="1">
      <c r="A308" s="33" t="s">
        <v>301</v>
      </c>
      <c r="B308" s="52">
        <f>'Расчет субсидий'!AD308</f>
        <v>-5.6272727272727252</v>
      </c>
      <c r="C308" s="54">
        <f>'Расчет субсидий'!D308-1</f>
        <v>0</v>
      </c>
      <c r="D308" s="54">
        <f>C308*'Расчет субсидий'!E308</f>
        <v>0</v>
      </c>
      <c r="E308" s="55">
        <f t="shared" si="96"/>
        <v>0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4">
        <f>'Расчет субсидий'!P308-1</f>
        <v>-0.6332558139534884</v>
      </c>
      <c r="M308" s="54">
        <f>L308*'Расчет субсидий'!Q308</f>
        <v>-12.665116279069768</v>
      </c>
      <c r="N308" s="55">
        <f t="shared" si="97"/>
        <v>-9.1523623543683872</v>
      </c>
      <c r="O308" s="54">
        <f>'Расчет субсидий'!T308-1</f>
        <v>0</v>
      </c>
      <c r="P308" s="54">
        <f>O308*'Расчет субсидий'!U308</f>
        <v>0</v>
      </c>
      <c r="Q308" s="55">
        <f t="shared" si="98"/>
        <v>0</v>
      </c>
      <c r="R308" s="54">
        <f>'Расчет субсидий'!X308-1</f>
        <v>0.12195121951219523</v>
      </c>
      <c r="S308" s="54">
        <f>R308*'Расчет субсидий'!Y308</f>
        <v>4.8780487804878092</v>
      </c>
      <c r="T308" s="55">
        <f t="shared" si="99"/>
        <v>3.525089627095662</v>
      </c>
      <c r="U308" s="54">
        <f t="shared" si="95"/>
        <v>-7.7870674985819583</v>
      </c>
    </row>
    <row r="309" spans="1:21" ht="15" customHeight="1">
      <c r="A309" s="33" t="s">
        <v>302</v>
      </c>
      <c r="B309" s="52">
        <f>'Расчет субсидий'!AD309</f>
        <v>-4.1909090909090878</v>
      </c>
      <c r="C309" s="54">
        <f>'Расчет субсидий'!D309-1</f>
        <v>-0.32407407407407407</v>
      </c>
      <c r="D309" s="54">
        <f>C309*'Расчет субсидий'!E309</f>
        <v>-3.2407407407407405</v>
      </c>
      <c r="E309" s="55">
        <f t="shared" si="96"/>
        <v>-3.3111871743860442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4">
        <f>'Расчет субсидий'!P309-1</f>
        <v>-0.22905027932960886</v>
      </c>
      <c r="M309" s="54">
        <f>L309*'Расчет субсидий'!Q309</f>
        <v>-4.5810055865921768</v>
      </c>
      <c r="N309" s="55">
        <f t="shared" si="97"/>
        <v>-4.6805863713268634</v>
      </c>
      <c r="O309" s="54">
        <f>'Расчет субсидий'!T309-1</f>
        <v>0.18599999999999994</v>
      </c>
      <c r="P309" s="54">
        <f>O309*'Расчет субсидий'!U309</f>
        <v>3.7199999999999989</v>
      </c>
      <c r="Q309" s="55">
        <f t="shared" si="98"/>
        <v>3.8008644548038197</v>
      </c>
      <c r="R309" s="54">
        <f>'Расчет субсидий'!X309-1</f>
        <v>0</v>
      </c>
      <c r="S309" s="54">
        <f>R309*'Расчет субсидий'!Y309</f>
        <v>0</v>
      </c>
      <c r="T309" s="55">
        <f t="shared" si="99"/>
        <v>0</v>
      </c>
      <c r="U309" s="54">
        <f t="shared" si="95"/>
        <v>-4.1017463273329184</v>
      </c>
    </row>
    <row r="310" spans="1:21" ht="15" customHeight="1">
      <c r="A310" s="33" t="s">
        <v>303</v>
      </c>
      <c r="B310" s="52">
        <f>'Расчет субсидий'!AD310</f>
        <v>-8.2545454545454504</v>
      </c>
      <c r="C310" s="54">
        <f>'Расчет субсидий'!D310-1</f>
        <v>-1</v>
      </c>
      <c r="D310" s="54">
        <f>C310*'Расчет субсидий'!E310</f>
        <v>0</v>
      </c>
      <c r="E310" s="55">
        <f t="shared" si="96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4">
        <f>'Расчет субсидий'!P310-1</f>
        <v>-0.70767613038906418</v>
      </c>
      <c r="M310" s="54">
        <f>L310*'Расчет субсидий'!Q310</f>
        <v>-14.153522607781284</v>
      </c>
      <c r="N310" s="55">
        <f t="shared" si="97"/>
        <v>-11.229936254522478</v>
      </c>
      <c r="O310" s="54">
        <f>'Расчет субсидий'!T310-1</f>
        <v>0.1875</v>
      </c>
      <c r="P310" s="54">
        <f>O310*'Расчет субсидий'!U310</f>
        <v>3.75</v>
      </c>
      <c r="Q310" s="55">
        <f t="shared" si="98"/>
        <v>2.9753907999770268</v>
      </c>
      <c r="R310" s="54">
        <f>'Расчет субсидий'!X310-1</f>
        <v>0</v>
      </c>
      <c r="S310" s="54">
        <f>R310*'Расчет субсидий'!Y310</f>
        <v>0</v>
      </c>
      <c r="T310" s="55">
        <f t="shared" si="99"/>
        <v>0</v>
      </c>
      <c r="U310" s="54">
        <f t="shared" si="95"/>
        <v>-10.403522607781284</v>
      </c>
    </row>
    <row r="311" spans="1:21" ht="15" customHeight="1">
      <c r="A311" s="33" t="s">
        <v>304</v>
      </c>
      <c r="B311" s="52">
        <f>'Расчет субсидий'!AD311</f>
        <v>2.9090909090909065</v>
      </c>
      <c r="C311" s="54">
        <f>'Расчет субсидий'!D311-1</f>
        <v>-0.29195813122287462</v>
      </c>
      <c r="D311" s="54">
        <f>C311*'Расчет субсидий'!E311</f>
        <v>-2.919581312228746</v>
      </c>
      <c r="E311" s="55">
        <f t="shared" si="96"/>
        <v>-1.4266537550261871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4">
        <f>'Расчет субсидий'!P311-1</f>
        <v>0.14182692307692313</v>
      </c>
      <c r="M311" s="54">
        <f>L311*'Расчет субсидий'!Q311</f>
        <v>2.8365384615384626</v>
      </c>
      <c r="N311" s="55">
        <f t="shared" si="97"/>
        <v>1.3860748561720457</v>
      </c>
      <c r="O311" s="54">
        <f>'Расчет субсидий'!T311-1</f>
        <v>0.18181818181818188</v>
      </c>
      <c r="P311" s="54">
        <f>O311*'Расчет субсидий'!U311</f>
        <v>3.6363636363636376</v>
      </c>
      <c r="Q311" s="55">
        <f t="shared" si="98"/>
        <v>1.7769095228584624</v>
      </c>
      <c r="R311" s="54">
        <f>'Расчет субсидий'!X311-1</f>
        <v>8.0000000000000071E-2</v>
      </c>
      <c r="S311" s="54">
        <f>R311*'Расчет субсидий'!Y311</f>
        <v>2.4000000000000021</v>
      </c>
      <c r="T311" s="55">
        <f t="shared" si="99"/>
        <v>1.1727602850865857</v>
      </c>
      <c r="U311" s="54">
        <f t="shared" si="95"/>
        <v>5.9533207856733563</v>
      </c>
    </row>
    <row r="312" spans="1:21" ht="15" customHeight="1">
      <c r="A312" s="33" t="s">
        <v>305</v>
      </c>
      <c r="B312" s="52">
        <f>'Расчет субсидий'!AD312</f>
        <v>-4.0727272727272705</v>
      </c>
      <c r="C312" s="54">
        <f>'Расчет субсидий'!D312-1</f>
        <v>0.16660363086232977</v>
      </c>
      <c r="D312" s="54">
        <f>C312*'Расчет субсидий'!E312</f>
        <v>1.6660363086232977</v>
      </c>
      <c r="E312" s="55">
        <f t="shared" si="96"/>
        <v>1.3172001852275486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4">
        <f>'Расчет субсидий'!P312-1</f>
        <v>-0.34086750618878492</v>
      </c>
      <c r="M312" s="54">
        <f>L312*'Расчет субсидий'!Q312</f>
        <v>-6.8173501237756984</v>
      </c>
      <c r="N312" s="55">
        <f t="shared" si="97"/>
        <v>-5.3899274579548191</v>
      </c>
      <c r="O312" s="54">
        <f>'Расчет субсидий'!T312-1</f>
        <v>0</v>
      </c>
      <c r="P312" s="54">
        <f>O312*'Расчет субсидий'!U312</f>
        <v>0</v>
      </c>
      <c r="Q312" s="55">
        <f t="shared" si="98"/>
        <v>0</v>
      </c>
      <c r="R312" s="54">
        <f>'Расчет субсидий'!X312-1</f>
        <v>0</v>
      </c>
      <c r="S312" s="54">
        <f>R312*'Расчет субсидий'!Y312</f>
        <v>0</v>
      </c>
      <c r="T312" s="55">
        <f t="shared" si="99"/>
        <v>0</v>
      </c>
      <c r="U312" s="54">
        <f t="shared" si="95"/>
        <v>-5.1513138151524007</v>
      </c>
    </row>
    <row r="313" spans="1:21" ht="15" customHeight="1">
      <c r="A313" s="33" t="s">
        <v>306</v>
      </c>
      <c r="B313" s="52">
        <f>'Расчет субсидий'!AD313</f>
        <v>5.7090909090909037</v>
      </c>
      <c r="C313" s="54">
        <f>'Расчет субсидий'!D313-1</f>
        <v>-0.37333333333333329</v>
      </c>
      <c r="D313" s="54">
        <f>C313*'Расчет субсидий'!E313</f>
        <v>-3.7333333333333329</v>
      </c>
      <c r="E313" s="55">
        <f t="shared" si="96"/>
        <v>-2.5126461089994536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4">
        <f>'Расчет субсидий'!P313-1</f>
        <v>0.30000000000000004</v>
      </c>
      <c r="M313" s="54">
        <f>L313*'Расчет субсидий'!Q313</f>
        <v>6.0000000000000009</v>
      </c>
      <c r="N313" s="55">
        <f t="shared" si="97"/>
        <v>4.0381812466062659</v>
      </c>
      <c r="O313" s="54">
        <f>'Расчет субсидий'!T313-1</f>
        <v>0.20720000000000005</v>
      </c>
      <c r="P313" s="54">
        <f>O313*'Расчет субсидий'!U313</f>
        <v>6.2160000000000011</v>
      </c>
      <c r="Q313" s="55">
        <f t="shared" si="98"/>
        <v>4.1835557714840919</v>
      </c>
      <c r="R313" s="54">
        <f>'Расчет субсидий'!X313-1</f>
        <v>0</v>
      </c>
      <c r="S313" s="54">
        <f>R313*'Расчет субсидий'!Y313</f>
        <v>0</v>
      </c>
      <c r="T313" s="55">
        <f t="shared" si="99"/>
        <v>0</v>
      </c>
      <c r="U313" s="54">
        <f t="shared" si="95"/>
        <v>8.4826666666666686</v>
      </c>
    </row>
    <row r="314" spans="1:21" ht="15" customHeight="1">
      <c r="A314" s="33" t="s">
        <v>307</v>
      </c>
      <c r="B314" s="52">
        <f>'Расчет субсидий'!AD314</f>
        <v>-6.8545454545454589</v>
      </c>
      <c r="C314" s="54">
        <f>'Расчет субсидий'!D314-1</f>
        <v>-1</v>
      </c>
      <c r="D314" s="54">
        <f>C314*'Расчет субсидий'!E314</f>
        <v>0</v>
      </c>
      <c r="E314" s="55">
        <f t="shared" si="96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4">
        <f>'Расчет субсидий'!P314-1</f>
        <v>-0.38225124855935455</v>
      </c>
      <c r="M314" s="54">
        <f>L314*'Расчет субсидий'!Q314</f>
        <v>-7.645024971187091</v>
      </c>
      <c r="N314" s="55">
        <f t="shared" si="97"/>
        <v>-9.0734198488174442</v>
      </c>
      <c r="O314" s="54">
        <f>'Расчет субсидий'!T314-1</f>
        <v>0.18695652173913047</v>
      </c>
      <c r="P314" s="54">
        <f>O314*'Расчет субсидий'!U314</f>
        <v>1.8695652173913047</v>
      </c>
      <c r="Q314" s="55">
        <f t="shared" si="98"/>
        <v>2.2188743942719862</v>
      </c>
      <c r="R314" s="54">
        <f>'Расчет субсидий'!X314-1</f>
        <v>0</v>
      </c>
      <c r="S314" s="54">
        <f>R314*'Расчет субсидий'!Y314</f>
        <v>0</v>
      </c>
      <c r="T314" s="55">
        <f t="shared" si="99"/>
        <v>0</v>
      </c>
      <c r="U314" s="54">
        <f t="shared" si="95"/>
        <v>-5.7754597537957864</v>
      </c>
    </row>
    <row r="315" spans="1:21" ht="15" customHeight="1">
      <c r="A315" s="33" t="s">
        <v>308</v>
      </c>
      <c r="B315" s="52">
        <f>'Расчет субсидий'!AD315</f>
        <v>4.545454545454547E-2</v>
      </c>
      <c r="C315" s="54">
        <f>'Расчет субсидий'!D315-1</f>
        <v>-1</v>
      </c>
      <c r="D315" s="54">
        <f>C315*'Расчет субсидий'!E315</f>
        <v>0</v>
      </c>
      <c r="E315" s="55">
        <f t="shared" si="96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4">
        <f>'Расчет субсидий'!P315-1</f>
        <v>0.30000000000000004</v>
      </c>
      <c r="M315" s="54">
        <f>L315*'Расчет субсидий'!Q315</f>
        <v>6.0000000000000009</v>
      </c>
      <c r="N315" s="55">
        <f t="shared" si="97"/>
        <v>3.2038834951456346E-2</v>
      </c>
      <c r="O315" s="54">
        <f>'Расчет субсидий'!T315-1</f>
        <v>6.280991735537178E-2</v>
      </c>
      <c r="P315" s="54">
        <f>O315*'Расчет субсидий'!U315</f>
        <v>2.5123966942148712</v>
      </c>
      <c r="Q315" s="55">
        <f t="shared" si="98"/>
        <v>1.341571050308913E-2</v>
      </c>
      <c r="R315" s="54">
        <f>'Расчет субсидий'!X315-1</f>
        <v>0</v>
      </c>
      <c r="S315" s="54">
        <f>R315*'Расчет субсидий'!Y315</f>
        <v>0</v>
      </c>
      <c r="T315" s="55">
        <f t="shared" si="99"/>
        <v>0</v>
      </c>
      <c r="U315" s="54">
        <f t="shared" si="95"/>
        <v>8.5123966942148712</v>
      </c>
    </row>
    <row r="316" spans="1:21" ht="15" customHeight="1">
      <c r="A316" s="33" t="s">
        <v>309</v>
      </c>
      <c r="B316" s="52">
        <f>'Расчет субсидий'!AD316</f>
        <v>-3.481818181818177</v>
      </c>
      <c r="C316" s="54">
        <f>'Расчет субсидий'!D316-1</f>
        <v>0.30000000000000004</v>
      </c>
      <c r="D316" s="54">
        <f>C316*'Расчет субсидий'!E316</f>
        <v>3.0000000000000004</v>
      </c>
      <c r="E316" s="55">
        <f t="shared" si="96"/>
        <v>2.1206355468048299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4">
        <f>'Расчет субсидий'!P316-1</f>
        <v>-0.75503122831367109</v>
      </c>
      <c r="M316" s="54">
        <f>L316*'Расчет субсидий'!Q316</f>
        <v>-15.100624566273421</v>
      </c>
      <c r="N316" s="55">
        <f t="shared" si="97"/>
        <v>-10.674307078064558</v>
      </c>
      <c r="O316" s="54">
        <f>'Расчет субсидий'!T316-1</f>
        <v>0</v>
      </c>
      <c r="P316" s="54">
        <f>O316*'Расчет субсидий'!U316</f>
        <v>0</v>
      </c>
      <c r="Q316" s="55">
        <f t="shared" si="98"/>
        <v>0</v>
      </c>
      <c r="R316" s="54">
        <f>'Расчет субсидий'!X316-1</f>
        <v>0.20500000000000007</v>
      </c>
      <c r="S316" s="54">
        <f>R316*'Расчет субсидий'!Y316</f>
        <v>7.1750000000000025</v>
      </c>
      <c r="T316" s="55">
        <f t="shared" si="99"/>
        <v>5.0718533494415521</v>
      </c>
      <c r="U316" s="54">
        <f t="shared" si="95"/>
        <v>-4.9256245662734184</v>
      </c>
    </row>
    <row r="317" spans="1:21" ht="15" customHeight="1">
      <c r="A317" s="33" t="s">
        <v>310</v>
      </c>
      <c r="B317" s="52">
        <f>'Расчет субсидий'!AD317</f>
        <v>2.7727272727272663</v>
      </c>
      <c r="C317" s="54">
        <f>'Расчет субсидий'!D317-1</f>
        <v>-0.3170135746606334</v>
      </c>
      <c r="D317" s="54">
        <f>C317*'Расчет субсидий'!E317</f>
        <v>-3.1701357466063342</v>
      </c>
      <c r="E317" s="55">
        <f t="shared" si="96"/>
        <v>-4.0225595691204594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4">
        <f>'Расчет субсидий'!P317-1</f>
        <v>8.1097941359950187E-2</v>
      </c>
      <c r="M317" s="54">
        <f>L317*'Расчет субсидий'!Q317</f>
        <v>1.6219588271990037</v>
      </c>
      <c r="N317" s="55">
        <f t="shared" si="97"/>
        <v>2.0580904171227434</v>
      </c>
      <c r="O317" s="54">
        <f>'Расчет субсидий'!T317-1</f>
        <v>0.18666666666666676</v>
      </c>
      <c r="P317" s="54">
        <f>O317*'Расчет субсидий'!U317</f>
        <v>3.7333333333333352</v>
      </c>
      <c r="Q317" s="55">
        <f t="shared" si="98"/>
        <v>4.7371964247249823</v>
      </c>
      <c r="R317" s="54">
        <f>'Расчет субсидий'!X317-1</f>
        <v>0</v>
      </c>
      <c r="S317" s="54">
        <f>R317*'Расчет субсидий'!Y317</f>
        <v>0</v>
      </c>
      <c r="T317" s="55">
        <f t="shared" si="99"/>
        <v>0</v>
      </c>
      <c r="U317" s="54">
        <f t="shared" si="95"/>
        <v>2.1851564139260047</v>
      </c>
    </row>
    <row r="318" spans="1:21" ht="15" customHeight="1">
      <c r="A318" s="33" t="s">
        <v>311</v>
      </c>
      <c r="B318" s="52">
        <f>'Расчет субсидий'!AD318</f>
        <v>-11.181818181818187</v>
      </c>
      <c r="C318" s="54">
        <f>'Расчет субсидий'!D318-1</f>
        <v>-1</v>
      </c>
      <c r="D318" s="54">
        <f>C318*'Расчет субсидий'!E318</f>
        <v>0</v>
      </c>
      <c r="E318" s="55">
        <f t="shared" si="96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4">
        <f>'Расчет субсидий'!P318-1</f>
        <v>-0.51372896368467669</v>
      </c>
      <c r="M318" s="54">
        <f>L318*'Расчет субсидий'!Q318</f>
        <v>-10.274579273693533</v>
      </c>
      <c r="N318" s="55">
        <f t="shared" si="97"/>
        <v>-11.181818181818187</v>
      </c>
      <c r="O318" s="54">
        <f>'Расчет субсидий'!T318-1</f>
        <v>0</v>
      </c>
      <c r="P318" s="54">
        <f>O318*'Расчет субсидий'!U318</f>
        <v>0</v>
      </c>
      <c r="Q318" s="55">
        <f t="shared" si="98"/>
        <v>0</v>
      </c>
      <c r="R318" s="54">
        <f>'Расчет субсидий'!X318-1</f>
        <v>0</v>
      </c>
      <c r="S318" s="54">
        <f>R318*'Расчет субсидий'!Y318</f>
        <v>0</v>
      </c>
      <c r="T318" s="55">
        <f t="shared" si="99"/>
        <v>0</v>
      </c>
      <c r="U318" s="54">
        <f t="shared" si="95"/>
        <v>-10.274579273693533</v>
      </c>
    </row>
    <row r="319" spans="1:21" ht="15" customHeight="1">
      <c r="A319" s="33" t="s">
        <v>312</v>
      </c>
      <c r="B319" s="52">
        <f>'Расчет субсидий'!AD319</f>
        <v>0.72727272727273373</v>
      </c>
      <c r="C319" s="54">
        <f>'Расчет субсидий'!D319-1</f>
        <v>-0.65659090909090911</v>
      </c>
      <c r="D319" s="54">
        <f>C319*'Расчет субсидий'!E319</f>
        <v>-6.5659090909090914</v>
      </c>
      <c r="E319" s="55">
        <f t="shared" si="96"/>
        <v>-6.7868492461848788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4">
        <f>'Расчет субсидий'!P319-1</f>
        <v>-0.10059612518628902</v>
      </c>
      <c r="M319" s="54">
        <f>L319*'Расчет субсидий'!Q319</f>
        <v>-2.0119225037257804</v>
      </c>
      <c r="N319" s="55">
        <f t="shared" si="97"/>
        <v>-2.0796228730457704</v>
      </c>
      <c r="O319" s="54">
        <f>'Расчет субсидий'!T319-1</f>
        <v>0.20078571428571435</v>
      </c>
      <c r="P319" s="54">
        <f>O319*'Расчет субсидий'!U319</f>
        <v>8.0314285714285738</v>
      </c>
      <c r="Q319" s="55">
        <f t="shared" si="98"/>
        <v>8.3016828577869841</v>
      </c>
      <c r="R319" s="54">
        <f>'Расчет субсидий'!X319-1</f>
        <v>0.125</v>
      </c>
      <c r="S319" s="54">
        <f>R319*'Расчет субсидий'!Y319</f>
        <v>1.25</v>
      </c>
      <c r="T319" s="55">
        <f t="shared" si="99"/>
        <v>1.2920619887164013</v>
      </c>
      <c r="U319" s="54">
        <f t="shared" si="95"/>
        <v>0.70359697679370115</v>
      </c>
    </row>
    <row r="320" spans="1:21" ht="15" customHeight="1">
      <c r="A320" s="33" t="s">
        <v>313</v>
      </c>
      <c r="B320" s="52">
        <f>'Расчет субсидий'!AD320</f>
        <v>-6.2727272727272734</v>
      </c>
      <c r="C320" s="54">
        <f>'Расчет субсидий'!D320-1</f>
        <v>-1</v>
      </c>
      <c r="D320" s="54">
        <f>C320*'Расчет субсидий'!E320</f>
        <v>0</v>
      </c>
      <c r="E320" s="55">
        <f t="shared" si="96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4">
        <f>'Расчет субсидий'!P320-1</f>
        <v>-0.64338781575037141</v>
      </c>
      <c r="M320" s="54">
        <f>L320*'Расчет субсидий'!Q320</f>
        <v>-12.867756315007428</v>
      </c>
      <c r="N320" s="55">
        <f t="shared" si="97"/>
        <v>-6.2727272727272734</v>
      </c>
      <c r="O320" s="54">
        <f>'Расчет субсидий'!T320-1</f>
        <v>0</v>
      </c>
      <c r="P320" s="54">
        <f>O320*'Расчет субсидий'!U320</f>
        <v>0</v>
      </c>
      <c r="Q320" s="55">
        <f t="shared" si="98"/>
        <v>0</v>
      </c>
      <c r="R320" s="54">
        <f>'Расчет субсидий'!X320-1</f>
        <v>0</v>
      </c>
      <c r="S320" s="54">
        <f>R320*'Расчет субсидий'!Y320</f>
        <v>0</v>
      </c>
      <c r="T320" s="55">
        <f t="shared" si="99"/>
        <v>0</v>
      </c>
      <c r="U320" s="54">
        <f t="shared" si="95"/>
        <v>-12.867756315007428</v>
      </c>
    </row>
    <row r="321" spans="1:21" ht="15" customHeight="1">
      <c r="A321" s="32" t="s">
        <v>314</v>
      </c>
      <c r="B321" s="56"/>
      <c r="C321" s="57"/>
      <c r="D321" s="57"/>
      <c r="E321" s="58"/>
      <c r="F321" s="57"/>
      <c r="G321" s="57"/>
      <c r="H321" s="58"/>
      <c r="I321" s="58"/>
      <c r="J321" s="58"/>
      <c r="K321" s="58"/>
      <c r="L321" s="57"/>
      <c r="M321" s="57"/>
      <c r="N321" s="58"/>
      <c r="O321" s="57"/>
      <c r="P321" s="57"/>
      <c r="Q321" s="58"/>
      <c r="R321" s="57"/>
      <c r="S321" s="57"/>
      <c r="T321" s="58"/>
      <c r="U321" s="58"/>
    </row>
    <row r="322" spans="1:21" ht="15" customHeight="1">
      <c r="A322" s="33" t="s">
        <v>315</v>
      </c>
      <c r="B322" s="52">
        <f>'Расчет субсидий'!AD322</f>
        <v>25.454545454545467</v>
      </c>
      <c r="C322" s="54">
        <f>'Расчет субсидий'!D322-1</f>
        <v>0.24428571428571422</v>
      </c>
      <c r="D322" s="54">
        <f>C322*'Расчет субсидий'!E322</f>
        <v>2.4428571428571422</v>
      </c>
      <c r="E322" s="55">
        <f t="shared" ref="E322:E332" si="100">$B322*D322/$U322</f>
        <v>4.6256400347792477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4">
        <f>'Расчет субсидий'!P322-1</f>
        <v>0.30000000000000004</v>
      </c>
      <c r="M322" s="54">
        <f>L322*'Расчет субсидий'!Q322</f>
        <v>6.0000000000000009</v>
      </c>
      <c r="N322" s="55">
        <f t="shared" ref="N322:N332" si="101">$B322*M322/$U322</f>
        <v>11.361221138054297</v>
      </c>
      <c r="O322" s="54">
        <f>'Расчет субсидий'!T322-1</f>
        <v>0.10000000000000009</v>
      </c>
      <c r="P322" s="54">
        <f>O322*'Расчет субсидий'!U322</f>
        <v>3.0000000000000027</v>
      </c>
      <c r="Q322" s="55">
        <f t="shared" ref="Q322:Q332" si="102">$B322*P322/$U322</f>
        <v>5.6806105690271531</v>
      </c>
      <c r="R322" s="54">
        <f>'Расчет субсидий'!X322-1</f>
        <v>0.10000000000000009</v>
      </c>
      <c r="S322" s="54">
        <f>R322*'Расчет субсидий'!Y322</f>
        <v>2.0000000000000018</v>
      </c>
      <c r="T322" s="55">
        <f t="shared" ref="T322:T332" si="103">$B322*S322/$U322</f>
        <v>3.7870737126847684</v>
      </c>
      <c r="U322" s="54">
        <f t="shared" si="95"/>
        <v>13.442857142857148</v>
      </c>
    </row>
    <row r="323" spans="1:21" ht="15" customHeight="1">
      <c r="A323" s="33" t="s">
        <v>316</v>
      </c>
      <c r="B323" s="52">
        <f>'Расчет субсидий'!AD323</f>
        <v>4.1363636363636402</v>
      </c>
      <c r="C323" s="54">
        <f>'Расчет субсидий'!D323-1</f>
        <v>3.287671232876721E-2</v>
      </c>
      <c r="D323" s="54">
        <f>C323*'Расчет субсидий'!E323</f>
        <v>0.3287671232876721</v>
      </c>
      <c r="E323" s="55">
        <f t="shared" si="100"/>
        <v>0.51059146388615806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4">
        <f>'Расчет субсидий'!P323-1</f>
        <v>-0.23076923076923084</v>
      </c>
      <c r="M323" s="54">
        <f>L323*'Расчет субсидий'!Q323</f>
        <v>-4.6153846153846168</v>
      </c>
      <c r="N323" s="55">
        <f t="shared" si="101"/>
        <v>-7.167918627632587</v>
      </c>
      <c r="O323" s="54">
        <f>'Расчет субсидий'!T323-1</f>
        <v>0.27249999999999996</v>
      </c>
      <c r="P323" s="54">
        <f>O323*'Расчет субсидий'!U323</f>
        <v>5.4499999999999993</v>
      </c>
      <c r="Q323" s="55">
        <f t="shared" si="102"/>
        <v>8.4641172461294758</v>
      </c>
      <c r="R323" s="54">
        <f>'Расчет субсидий'!X323-1</f>
        <v>5.0000000000000044E-2</v>
      </c>
      <c r="S323" s="54">
        <f>R323*'Расчет субсидий'!Y323</f>
        <v>1.5000000000000013</v>
      </c>
      <c r="T323" s="55">
        <f t="shared" si="103"/>
        <v>2.329573553980592</v>
      </c>
      <c r="U323" s="54">
        <f t="shared" si="95"/>
        <v>2.6633825079030564</v>
      </c>
    </row>
    <row r="324" spans="1:21" ht="15" customHeight="1">
      <c r="A324" s="33" t="s">
        <v>269</v>
      </c>
      <c r="B324" s="52">
        <f>'Расчет субсидий'!AD324</f>
        <v>-0.79090909090909634</v>
      </c>
      <c r="C324" s="54">
        <f>'Расчет субсидий'!D324-1</f>
        <v>0.15957446808510634</v>
      </c>
      <c r="D324" s="54">
        <f>C324*'Расчет субсидий'!E324</f>
        <v>1.5957446808510634</v>
      </c>
      <c r="E324" s="55">
        <f t="shared" si="100"/>
        <v>2.069335925011853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4">
        <f>'Расчет субсидий'!P324-1</f>
        <v>-0.37903225806451613</v>
      </c>
      <c r="M324" s="54">
        <f>L324*'Расчет субсидий'!Q324</f>
        <v>-7.5806451612903221</v>
      </c>
      <c r="N324" s="55">
        <f t="shared" si="101"/>
        <v>-9.8304581900025472</v>
      </c>
      <c r="O324" s="54">
        <f>'Расчет субсидий'!T324-1</f>
        <v>0.11250000000000004</v>
      </c>
      <c r="P324" s="54">
        <f>O324*'Расчет субсидий'!U324</f>
        <v>3.3750000000000013</v>
      </c>
      <c r="Q324" s="55">
        <f t="shared" si="102"/>
        <v>4.3766454814000717</v>
      </c>
      <c r="R324" s="54">
        <f>'Расчет субсидий'!X324-1</f>
        <v>0.10000000000000009</v>
      </c>
      <c r="S324" s="54">
        <f>R324*'Расчет субсидий'!Y324</f>
        <v>2.0000000000000018</v>
      </c>
      <c r="T324" s="55">
        <f t="shared" si="103"/>
        <v>2.5935676926815256</v>
      </c>
      <c r="U324" s="54">
        <f t="shared" si="95"/>
        <v>-0.6099004804392556</v>
      </c>
    </row>
    <row r="325" spans="1:21" ht="15" customHeight="1">
      <c r="A325" s="33" t="s">
        <v>317</v>
      </c>
      <c r="B325" s="52">
        <f>'Расчет субсидий'!AD325</f>
        <v>-12.045454545454533</v>
      </c>
      <c r="C325" s="54">
        <f>'Расчет субсидий'!D325-1</f>
        <v>6.8027210884353817E-3</v>
      </c>
      <c r="D325" s="54">
        <f>C325*'Расчет субсидий'!E325</f>
        <v>6.8027210884353817E-2</v>
      </c>
      <c r="E325" s="55">
        <f t="shared" si="100"/>
        <v>0.15407959952067277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4">
        <f>'Расчет субсидий'!P325-1</f>
        <v>-0.69430894308943092</v>
      </c>
      <c r="M325" s="54">
        <f>L325*'Расчет субсидий'!Q325</f>
        <v>-13.886178861788618</v>
      </c>
      <c r="N325" s="55">
        <f t="shared" si="101"/>
        <v>-31.451780105083245</v>
      </c>
      <c r="O325" s="54">
        <f>'Расчет субсидий'!T325-1</f>
        <v>0.19999999999999996</v>
      </c>
      <c r="P325" s="54">
        <f>O325*'Расчет субсидий'!U325</f>
        <v>6.9999999999999982</v>
      </c>
      <c r="Q325" s="55">
        <f t="shared" si="102"/>
        <v>15.854790790677205</v>
      </c>
      <c r="R325" s="54">
        <f>'Расчет субсидий'!X325-1</f>
        <v>0.10000000000000009</v>
      </c>
      <c r="S325" s="54">
        <f>R325*'Расчет субсидий'!Y325</f>
        <v>1.5000000000000013</v>
      </c>
      <c r="T325" s="55">
        <f t="shared" si="103"/>
        <v>3.3974551694308341</v>
      </c>
      <c r="U325" s="54">
        <f t="shared" si="95"/>
        <v>-5.3181516509042641</v>
      </c>
    </row>
    <row r="326" spans="1:21" ht="15" customHeight="1">
      <c r="A326" s="33" t="s">
        <v>318</v>
      </c>
      <c r="B326" s="52">
        <f>'Расчет субсидий'!AD326</f>
        <v>1.3727272727272748</v>
      </c>
      <c r="C326" s="54">
        <f>'Расчет субсидий'!D326-1</f>
        <v>-1</v>
      </c>
      <c r="D326" s="54">
        <f>C326*'Расчет субсидий'!E326</f>
        <v>0</v>
      </c>
      <c r="E326" s="55">
        <f t="shared" si="100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4">
        <f>'Расчет субсидий'!P326-1</f>
        <v>-9.9967543005517689E-2</v>
      </c>
      <c r="M326" s="54">
        <f>L326*'Расчет субсидий'!Q326</f>
        <v>-1.9993508601103538</v>
      </c>
      <c r="N326" s="55">
        <f t="shared" si="101"/>
        <v>-5.6605315820626201</v>
      </c>
      <c r="O326" s="54">
        <f>'Расчет субсидий'!T326-1</f>
        <v>4.9473684210526336E-2</v>
      </c>
      <c r="P326" s="54">
        <f>O326*'Расчет субсидий'!U326</f>
        <v>1.4842105263157901</v>
      </c>
      <c r="Q326" s="55">
        <f t="shared" si="102"/>
        <v>4.2020741462939615</v>
      </c>
      <c r="R326" s="54">
        <f>'Расчет субсидий'!X326-1</f>
        <v>5.0000000000000044E-2</v>
      </c>
      <c r="S326" s="54">
        <f>R326*'Расчет субсидий'!Y326</f>
        <v>1.0000000000000009</v>
      </c>
      <c r="T326" s="55">
        <f t="shared" si="103"/>
        <v>2.8311847084959325</v>
      </c>
      <c r="U326" s="54">
        <f t="shared" si="95"/>
        <v>0.48485966620543719</v>
      </c>
    </row>
    <row r="327" spans="1:21" ht="15" customHeight="1">
      <c r="A327" s="33" t="s">
        <v>319</v>
      </c>
      <c r="B327" s="52">
        <f>'Расчет субсидий'!AD327</f>
        <v>2.7636363636363797</v>
      </c>
      <c r="C327" s="54">
        <f>'Расчет субсидий'!D327-1</f>
        <v>0</v>
      </c>
      <c r="D327" s="54">
        <f>C327*'Расчет субсидий'!E327</f>
        <v>0</v>
      </c>
      <c r="E327" s="55">
        <f t="shared" si="100"/>
        <v>0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4">
        <f>'Расчет субсидий'!P327-1</f>
        <v>-0.27763157894736845</v>
      </c>
      <c r="M327" s="54">
        <f>L327*'Расчет субсидий'!Q327</f>
        <v>-5.552631578947369</v>
      </c>
      <c r="N327" s="55">
        <f t="shared" si="101"/>
        <v>-10.60231404958685</v>
      </c>
      <c r="O327" s="54">
        <f>'Расчет субсидий'!T327-1</f>
        <v>0.19999999999999996</v>
      </c>
      <c r="P327" s="54">
        <f>O327*'Расчет субсидий'!U327</f>
        <v>5.9999999999999982</v>
      </c>
      <c r="Q327" s="55">
        <f t="shared" si="102"/>
        <v>11.45652892561991</v>
      </c>
      <c r="R327" s="54">
        <f>'Расчет субсидий'!X327-1</f>
        <v>5.0000000000000044E-2</v>
      </c>
      <c r="S327" s="54">
        <f>R327*'Расчет субсидий'!Y327</f>
        <v>1.0000000000000009</v>
      </c>
      <c r="T327" s="55">
        <f t="shared" si="103"/>
        <v>1.9094214876033206</v>
      </c>
      <c r="U327" s="54">
        <f t="shared" si="95"/>
        <v>1.4473684210526301</v>
      </c>
    </row>
    <row r="328" spans="1:21" ht="15" customHeight="1">
      <c r="A328" s="33" t="s">
        <v>320</v>
      </c>
      <c r="B328" s="52">
        <f>'Расчет субсидий'!AD328</f>
        <v>20.900000000000006</v>
      </c>
      <c r="C328" s="54">
        <f>'Расчет субсидий'!D328-1</f>
        <v>0</v>
      </c>
      <c r="D328" s="54">
        <f>C328*'Расчет субсидий'!E328</f>
        <v>0</v>
      </c>
      <c r="E328" s="55">
        <f t="shared" si="100"/>
        <v>0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4">
        <f>'Расчет субсидий'!P328-1</f>
        <v>0.22442215088282502</v>
      </c>
      <c r="M328" s="54">
        <f>L328*'Расчет субсидий'!Q328</f>
        <v>4.4884430176565004</v>
      </c>
      <c r="N328" s="55">
        <f t="shared" si="101"/>
        <v>7.364201334416995</v>
      </c>
      <c r="O328" s="54">
        <f>'Расчет субсидий'!T328-1</f>
        <v>0.26249999999999996</v>
      </c>
      <c r="P328" s="54">
        <f>O328*'Расчет субсидий'!U328</f>
        <v>5.2499999999999991</v>
      </c>
      <c r="Q328" s="55">
        <f t="shared" si="102"/>
        <v>8.6136900599164559</v>
      </c>
      <c r="R328" s="54">
        <f>'Расчет субсидий'!X328-1</f>
        <v>0.10000000000000009</v>
      </c>
      <c r="S328" s="54">
        <f>R328*'Расчет субсидий'!Y328</f>
        <v>3.0000000000000027</v>
      </c>
      <c r="T328" s="55">
        <f t="shared" si="103"/>
        <v>4.9221086056665513</v>
      </c>
      <c r="U328" s="54">
        <f t="shared" si="95"/>
        <v>12.738443017656504</v>
      </c>
    </row>
    <row r="329" spans="1:21" ht="15" customHeight="1">
      <c r="A329" s="33" t="s">
        <v>321</v>
      </c>
      <c r="B329" s="52">
        <f>'Расчет субсидий'!AD329</f>
        <v>8.0818181818181927</v>
      </c>
      <c r="C329" s="54">
        <f>'Расчет субсидий'!D329-1</f>
        <v>0.14999999999999991</v>
      </c>
      <c r="D329" s="54">
        <f>C329*'Расчет субсидий'!E329</f>
        <v>1.4999999999999991</v>
      </c>
      <c r="E329" s="55">
        <f t="shared" si="100"/>
        <v>2.3500586510263934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4">
        <f>'Расчет субсидий'!P329-1</f>
        <v>7.923930269413626E-3</v>
      </c>
      <c r="M329" s="54">
        <f>L329*'Расчет субсидий'!Q329</f>
        <v>0.15847860538827252</v>
      </c>
      <c r="N329" s="55">
        <f t="shared" si="101"/>
        <v>0.24828934506353872</v>
      </c>
      <c r="O329" s="54">
        <f>'Расчет субсидий'!T329-1</f>
        <v>5.0000000000000044E-2</v>
      </c>
      <c r="P329" s="54">
        <f>O329*'Расчет субсидий'!U329</f>
        <v>1.5000000000000013</v>
      </c>
      <c r="Q329" s="55">
        <f t="shared" si="102"/>
        <v>2.350058651026397</v>
      </c>
      <c r="R329" s="54">
        <f>'Расчет субсидий'!X329-1</f>
        <v>0.10000000000000009</v>
      </c>
      <c r="S329" s="54">
        <f>R329*'Расчет субсидий'!Y329</f>
        <v>2.0000000000000018</v>
      </c>
      <c r="T329" s="55">
        <f t="shared" si="103"/>
        <v>3.1334115347018625</v>
      </c>
      <c r="U329" s="54">
        <f t="shared" si="95"/>
        <v>5.1584786053882752</v>
      </c>
    </row>
    <row r="330" spans="1:21" ht="15" customHeight="1">
      <c r="A330" s="33" t="s">
        <v>322</v>
      </c>
      <c r="B330" s="52">
        <f>'Расчет субсидий'!AD330</f>
        <v>-4.2818181818181813</v>
      </c>
      <c r="C330" s="54">
        <f>'Расчет субсидий'!D330-1</f>
        <v>8.0952380952380887E-2</v>
      </c>
      <c r="D330" s="54">
        <f>C330*'Расчет субсидий'!E330</f>
        <v>0.80952380952380887</v>
      </c>
      <c r="E330" s="55">
        <f t="shared" si="100"/>
        <v>1.1271278192375735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4">
        <f>'Расчет субсидий'!P330-1</f>
        <v>-0.72549019607843135</v>
      </c>
      <c r="M330" s="54">
        <f>L330*'Расчет субсидий'!Q330</f>
        <v>-14.509803921568627</v>
      </c>
      <c r="N330" s="55">
        <f t="shared" si="101"/>
        <v>-20.202498628548913</v>
      </c>
      <c r="O330" s="54">
        <f>'Расчет субсидий'!T330-1</f>
        <v>0.22499999999999987</v>
      </c>
      <c r="P330" s="54">
        <f>O330*'Расчет субсидий'!U330</f>
        <v>5.6249999999999964</v>
      </c>
      <c r="Q330" s="55">
        <f t="shared" si="102"/>
        <v>7.8318808027904954</v>
      </c>
      <c r="R330" s="54">
        <f>'Расчет субсидий'!X330-1</f>
        <v>0.19999999999999996</v>
      </c>
      <c r="S330" s="54">
        <f>R330*'Расчет субсидий'!Y330</f>
        <v>4.9999999999999991</v>
      </c>
      <c r="T330" s="55">
        <f t="shared" si="103"/>
        <v>6.9616718247026652</v>
      </c>
      <c r="U330" s="54">
        <f t="shared" si="95"/>
        <v>-3.0752801120448234</v>
      </c>
    </row>
    <row r="331" spans="1:21" ht="15" customHeight="1">
      <c r="A331" s="33" t="s">
        <v>323</v>
      </c>
      <c r="B331" s="52">
        <f>'Расчет субсидий'!AD331</f>
        <v>-15.109090909090895</v>
      </c>
      <c r="C331" s="54">
        <f>'Расчет субсидий'!D331-1</f>
        <v>0.12643678160919536</v>
      </c>
      <c r="D331" s="54">
        <f>C331*'Расчет субсидий'!E331</f>
        <v>1.2643678160919536</v>
      </c>
      <c r="E331" s="55">
        <f t="shared" si="100"/>
        <v>2.3449611931049783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4">
        <f>'Расчет субсидий'!P331-1</f>
        <v>-0.69054812257229181</v>
      </c>
      <c r="M331" s="54">
        <f>L331*'Расчет субсидий'!Q331</f>
        <v>-13.810962451445835</v>
      </c>
      <c r="N331" s="55">
        <f t="shared" si="101"/>
        <v>-25.614517054201208</v>
      </c>
      <c r="O331" s="54">
        <f>'Расчет субсидий'!T331-1</f>
        <v>0.13749999999999996</v>
      </c>
      <c r="P331" s="54">
        <f>O331*'Расчет субсидий'!U331</f>
        <v>2.7499999999999991</v>
      </c>
      <c r="Q331" s="55">
        <f t="shared" si="102"/>
        <v>5.1002905950033277</v>
      </c>
      <c r="R331" s="54">
        <f>'Расчет субсидий'!X331-1</f>
        <v>5.500000000000016E-2</v>
      </c>
      <c r="S331" s="54">
        <f>R331*'Расчет субсидий'!Y331</f>
        <v>1.6500000000000048</v>
      </c>
      <c r="T331" s="55">
        <f t="shared" si="103"/>
        <v>3.0601743570020066</v>
      </c>
      <c r="U331" s="54">
        <f t="shared" si="95"/>
        <v>-8.1465946353538783</v>
      </c>
    </row>
    <row r="332" spans="1:21" ht="15" customHeight="1">
      <c r="A332" s="33" t="s">
        <v>324</v>
      </c>
      <c r="B332" s="52">
        <f>'Расчет субсидий'!AD332</f>
        <v>5.1909090909090878</v>
      </c>
      <c r="C332" s="54">
        <f>'Расчет субсидий'!D332-1</f>
        <v>-8.209233375688274E-2</v>
      </c>
      <c r="D332" s="54">
        <f>C332*'Расчет субсидий'!E332</f>
        <v>-0.8209233375688274</v>
      </c>
      <c r="E332" s="55">
        <f t="shared" si="100"/>
        <v>-3.6909604073325517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4">
        <f>'Расчет субсидий'!P332-1</f>
        <v>-0.15372714486638528</v>
      </c>
      <c r="M332" s="54">
        <f>L332*'Расчет субсидий'!Q332</f>
        <v>-3.0745428973277056</v>
      </c>
      <c r="N332" s="55">
        <f t="shared" si="101"/>
        <v>-13.823478497138764</v>
      </c>
      <c r="O332" s="54">
        <f>'Расчет субсидий'!T332-1</f>
        <v>0.21499999999999986</v>
      </c>
      <c r="P332" s="54">
        <f>O332*'Расчет субсидий'!U332</f>
        <v>4.2999999999999972</v>
      </c>
      <c r="Q332" s="55">
        <f t="shared" si="102"/>
        <v>19.333266609927875</v>
      </c>
      <c r="R332" s="54">
        <f>'Расчет субсидий'!X332-1</f>
        <v>2.4999999999999911E-2</v>
      </c>
      <c r="S332" s="54">
        <f>R332*'Расчет субсидий'!Y332</f>
        <v>0.74999999999999734</v>
      </c>
      <c r="T332" s="55">
        <f t="shared" si="103"/>
        <v>3.3720813854525269</v>
      </c>
      <c r="U332" s="54">
        <f t="shared" si="95"/>
        <v>1.1545337651034613</v>
      </c>
    </row>
    <row r="333" spans="1:21" ht="15" customHeight="1">
      <c r="A333" s="32" t="s">
        <v>325</v>
      </c>
      <c r="B333" s="56"/>
      <c r="C333" s="57"/>
      <c r="D333" s="57"/>
      <c r="E333" s="58"/>
      <c r="F333" s="57"/>
      <c r="G333" s="57"/>
      <c r="H333" s="58"/>
      <c r="I333" s="58"/>
      <c r="J333" s="58"/>
      <c r="K333" s="58"/>
      <c r="L333" s="57"/>
      <c r="M333" s="57"/>
      <c r="N333" s="58"/>
      <c r="O333" s="57"/>
      <c r="P333" s="57"/>
      <c r="Q333" s="58"/>
      <c r="R333" s="57"/>
      <c r="S333" s="57"/>
      <c r="T333" s="58"/>
      <c r="U333" s="58"/>
    </row>
    <row r="334" spans="1:21" ht="15" customHeight="1">
      <c r="A334" s="33" t="s">
        <v>326</v>
      </c>
      <c r="B334" s="52">
        <f>'Расчет субсидий'!AD334</f>
        <v>-6.7909090909090963</v>
      </c>
      <c r="C334" s="54">
        <f>'Расчет субсидий'!D334-1</f>
        <v>2.3529411764705799E-2</v>
      </c>
      <c r="D334" s="54">
        <f>C334*'Расчет субсидий'!E334</f>
        <v>0.23529411764705799</v>
      </c>
      <c r="E334" s="55">
        <f t="shared" ref="E334:E344" si="104">$B334*D334/$U334</f>
        <v>0.32108857866163099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4">
        <f>'Расчет субсидий'!P334-1</f>
        <v>-0.24558404558404556</v>
      </c>
      <c r="M334" s="54">
        <f>L334*'Расчет субсидий'!Q334</f>
        <v>-4.9116809116809108</v>
      </c>
      <c r="N334" s="55">
        <f t="shared" ref="N334:N344" si="105">$B334*M334/$U334</f>
        <v>-6.7026097317771454</v>
      </c>
      <c r="O334" s="54">
        <f>'Расчет субсидий'!T334-1</f>
        <v>-1.2000000000000011E-2</v>
      </c>
      <c r="P334" s="54">
        <f>O334*'Расчет субсидий'!U334</f>
        <v>-0.30000000000000027</v>
      </c>
      <c r="Q334" s="55">
        <f t="shared" ref="Q334:Q344" si="106">$B334*P334/$U334</f>
        <v>-0.40938793779358129</v>
      </c>
      <c r="R334" s="54">
        <f>'Расчет субсидий'!X334-1</f>
        <v>0</v>
      </c>
      <c r="S334" s="54">
        <f>R334*'Расчет субсидий'!Y334</f>
        <v>0</v>
      </c>
      <c r="T334" s="55">
        <f t="shared" ref="T334:T344" si="107">$B334*S334/$U334</f>
        <v>0</v>
      </c>
      <c r="U334" s="54">
        <f t="shared" si="95"/>
        <v>-4.9763867940338535</v>
      </c>
    </row>
    <row r="335" spans="1:21" ht="15" customHeight="1">
      <c r="A335" s="33" t="s">
        <v>327</v>
      </c>
      <c r="B335" s="52">
        <f>'Расчет субсидий'!AD335</f>
        <v>-13.709090909090904</v>
      </c>
      <c r="C335" s="54">
        <f>'Расчет субсидий'!D335-1</f>
        <v>0.20272727272727264</v>
      </c>
      <c r="D335" s="54">
        <f>C335*'Расчет субсидий'!E335</f>
        <v>2.0272727272727264</v>
      </c>
      <c r="E335" s="55">
        <f t="shared" si="104"/>
        <v>2.2275808280696783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4">
        <f>'Расчет субсидий'!P335-1</f>
        <v>-0.75643086816720262</v>
      </c>
      <c r="M335" s="54">
        <f>L335*'Расчет субсидий'!Q335</f>
        <v>-15.128617363344052</v>
      </c>
      <c r="N335" s="55">
        <f t="shared" si="105"/>
        <v>-16.623425916217936</v>
      </c>
      <c r="O335" s="54">
        <f>'Расчет субсидий'!T335-1</f>
        <v>0</v>
      </c>
      <c r="P335" s="54">
        <f>O335*'Расчет субсидий'!U335</f>
        <v>0</v>
      </c>
      <c r="Q335" s="55">
        <f t="shared" si="106"/>
        <v>0</v>
      </c>
      <c r="R335" s="54">
        <f>'Расчет субсидий'!X335-1</f>
        <v>3.1249999999999778E-2</v>
      </c>
      <c r="S335" s="54">
        <f>R335*'Расчет субсидий'!Y335</f>
        <v>0.62499999999999556</v>
      </c>
      <c r="T335" s="55">
        <f t="shared" si="107"/>
        <v>0.68675417905735137</v>
      </c>
      <c r="U335" s="54">
        <f t="shared" si="95"/>
        <v>-12.476344636071328</v>
      </c>
    </row>
    <row r="336" spans="1:21" ht="15" customHeight="1">
      <c r="A336" s="33" t="s">
        <v>328</v>
      </c>
      <c r="B336" s="52">
        <f>'Расчет субсидий'!AD336</f>
        <v>-10.909090909090907</v>
      </c>
      <c r="C336" s="54">
        <f>'Расчет субсидий'!D336-1</f>
        <v>-3.4545454545454546E-2</v>
      </c>
      <c r="D336" s="54">
        <f>C336*'Расчет субсидий'!E336</f>
        <v>-0.34545454545454546</v>
      </c>
      <c r="E336" s="55">
        <f t="shared" si="104"/>
        <v>-0.5128271780641499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4">
        <f>'Расчет субсидий'!P336-1</f>
        <v>-0.3001605136436597</v>
      </c>
      <c r="M336" s="54">
        <f>L336*'Расчет субсидий'!Q336</f>
        <v>-6.0032102728731935</v>
      </c>
      <c r="N336" s="55">
        <f t="shared" si="105"/>
        <v>-8.9117640050515856</v>
      </c>
      <c r="O336" s="54">
        <f>'Расчет субсидий'!T336-1</f>
        <v>-4.4444444444444398E-2</v>
      </c>
      <c r="P336" s="54">
        <f>O336*'Расчет субсидий'!U336</f>
        <v>-1.3333333333333319</v>
      </c>
      <c r="Q336" s="55">
        <f t="shared" si="106"/>
        <v>-1.9793329679668923</v>
      </c>
      <c r="R336" s="54">
        <f>'Расчет субсидий'!X336-1</f>
        <v>1.6666666666666607E-2</v>
      </c>
      <c r="S336" s="54">
        <f>R336*'Расчет субсидий'!Y336</f>
        <v>0.33333333333333215</v>
      </c>
      <c r="T336" s="55">
        <f t="shared" si="107"/>
        <v>0.4948332419917218</v>
      </c>
      <c r="U336" s="54">
        <f t="shared" si="95"/>
        <v>-7.3486648183277392</v>
      </c>
    </row>
    <row r="337" spans="1:21" ht="15" customHeight="1">
      <c r="A337" s="33" t="s">
        <v>329</v>
      </c>
      <c r="B337" s="52">
        <f>'Расчет субсидий'!AD337</f>
        <v>5.818181818181813</v>
      </c>
      <c r="C337" s="54">
        <f>'Расчет субсидий'!D337-1</f>
        <v>0</v>
      </c>
      <c r="D337" s="54">
        <f>C337*'Расчет субсидий'!E337</f>
        <v>0</v>
      </c>
      <c r="E337" s="55">
        <f t="shared" si="104"/>
        <v>0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4">
        <f>'Расчет субсидий'!P337-1</f>
        <v>0.25552966101694907</v>
      </c>
      <c r="M337" s="54">
        <f>L337*'Расчет субсидий'!Q337</f>
        <v>5.1105932203389814</v>
      </c>
      <c r="N337" s="55">
        <f t="shared" si="105"/>
        <v>6.691010797675764</v>
      </c>
      <c r="O337" s="54">
        <f>'Расчет субсидий'!T337-1</f>
        <v>-3.3333333333333326E-2</v>
      </c>
      <c r="P337" s="54">
        <f>O337*'Расчет субсидий'!U337</f>
        <v>-0.66666666666666652</v>
      </c>
      <c r="Q337" s="55">
        <f t="shared" si="106"/>
        <v>-0.87282897949395044</v>
      </c>
      <c r="R337" s="54">
        <f>'Расчет субсидий'!X337-1</f>
        <v>0</v>
      </c>
      <c r="S337" s="54">
        <f>R337*'Расчет субсидий'!Y337</f>
        <v>0</v>
      </c>
      <c r="T337" s="55">
        <f t="shared" si="107"/>
        <v>0</v>
      </c>
      <c r="U337" s="54">
        <f t="shared" si="95"/>
        <v>4.4439265536723145</v>
      </c>
    </row>
    <row r="338" spans="1:21" ht="15" customHeight="1">
      <c r="A338" s="33" t="s">
        <v>330</v>
      </c>
      <c r="B338" s="52">
        <f>'Расчет субсидий'!AD338</f>
        <v>-1.9363636363636303</v>
      </c>
      <c r="C338" s="54">
        <f>'Расчет субсидий'!D338-1</f>
        <v>-1.8749999999999933E-2</v>
      </c>
      <c r="D338" s="54">
        <f>C338*'Расчет субсидий'!E338</f>
        <v>-0.18749999999999933</v>
      </c>
      <c r="E338" s="55">
        <f t="shared" si="104"/>
        <v>-0.11319242201338986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4">
        <f>'Расчет субсидий'!P338-1</f>
        <v>-0.15100154083204931</v>
      </c>
      <c r="M338" s="54">
        <f>L338*'Расчет субсидий'!Q338</f>
        <v>-3.0200308166409862</v>
      </c>
      <c r="N338" s="55">
        <f t="shared" si="105"/>
        <v>-1.8231712143502405</v>
      </c>
      <c r="O338" s="54">
        <f>'Расчет субсидий'!T338-1</f>
        <v>0</v>
      </c>
      <c r="P338" s="54">
        <f>O338*'Расчет субсидий'!U338</f>
        <v>0</v>
      </c>
      <c r="Q338" s="55">
        <f t="shared" si="106"/>
        <v>0</v>
      </c>
      <c r="R338" s="54">
        <f>'Расчет субсидий'!X338-1</f>
        <v>0</v>
      </c>
      <c r="S338" s="54">
        <f>R338*'Расчет субсидий'!Y338</f>
        <v>0</v>
      </c>
      <c r="T338" s="55">
        <f t="shared" si="107"/>
        <v>0</v>
      </c>
      <c r="U338" s="54">
        <f t="shared" si="95"/>
        <v>-3.2075308166409853</v>
      </c>
    </row>
    <row r="339" spans="1:21" ht="15" customHeight="1">
      <c r="A339" s="33" t="s">
        <v>331</v>
      </c>
      <c r="B339" s="52">
        <f>'Расчет субсидий'!AD339</f>
        <v>6.4272727272727366</v>
      </c>
      <c r="C339" s="54">
        <f>'Расчет субсидий'!D339-1</f>
        <v>-2.9850746268656692E-2</v>
      </c>
      <c r="D339" s="54">
        <f>C339*'Расчет субсидий'!E339</f>
        <v>-0.29850746268656692</v>
      </c>
      <c r="E339" s="55">
        <f t="shared" si="104"/>
        <v>-0.37111912736753633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4">
        <f>'Расчет субсидий'!P339-1</f>
        <v>0.23174563591022435</v>
      </c>
      <c r="M339" s="54">
        <f>L339*'Расчет субсидий'!Q339</f>
        <v>4.6349127182044869</v>
      </c>
      <c r="N339" s="55">
        <f t="shared" si="105"/>
        <v>5.7623509574059</v>
      </c>
      <c r="O339" s="54">
        <f>'Расчет субсидий'!T339-1</f>
        <v>-3.3333333333333326E-2</v>
      </c>
      <c r="P339" s="54">
        <f>O339*'Расчет субсидий'!U339</f>
        <v>-0.83333333333333315</v>
      </c>
      <c r="Q339" s="55">
        <f t="shared" si="106"/>
        <v>-1.0360408972343729</v>
      </c>
      <c r="R339" s="54">
        <f>'Расчет субсидий'!X339-1</f>
        <v>6.6666666666666652E-2</v>
      </c>
      <c r="S339" s="54">
        <f>R339*'Расчет субсидий'!Y339</f>
        <v>1.6666666666666663</v>
      </c>
      <c r="T339" s="55">
        <f t="shared" si="107"/>
        <v>2.0720817944687457</v>
      </c>
      <c r="U339" s="54">
        <f t="shared" si="95"/>
        <v>5.1697385888512528</v>
      </c>
    </row>
    <row r="340" spans="1:21" ht="15" customHeight="1">
      <c r="A340" s="33" t="s">
        <v>332</v>
      </c>
      <c r="B340" s="52">
        <f>'Расчет субсидий'!AD340</f>
        <v>16.254545454545465</v>
      </c>
      <c r="C340" s="54">
        <f>'Расчет субсидий'!D340-1</f>
        <v>-1</v>
      </c>
      <c r="D340" s="54">
        <f>C340*'Расчет субсидий'!E340</f>
        <v>0</v>
      </c>
      <c r="E340" s="55">
        <f t="shared" si="104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4">
        <f>'Расчет субсидий'!P340-1</f>
        <v>0.22086538461538452</v>
      </c>
      <c r="M340" s="54">
        <f>L340*'Расчет субсидий'!Q340</f>
        <v>4.4173076923076904</v>
      </c>
      <c r="N340" s="55">
        <f t="shared" si="105"/>
        <v>7.5670064669977872</v>
      </c>
      <c r="O340" s="54">
        <f>'Расчет субсидий'!T340-1</f>
        <v>0.125</v>
      </c>
      <c r="P340" s="54">
        <f>O340*'Расчет субсидий'!U340</f>
        <v>2.5</v>
      </c>
      <c r="Q340" s="55">
        <f t="shared" si="106"/>
        <v>4.2825896417488583</v>
      </c>
      <c r="R340" s="54">
        <f>'Расчет субсидий'!X340-1</f>
        <v>8.5714285714285632E-2</v>
      </c>
      <c r="S340" s="54">
        <f>R340*'Расчет субсидий'!Y340</f>
        <v>2.571428571428569</v>
      </c>
      <c r="T340" s="55">
        <f t="shared" si="107"/>
        <v>4.4049493457988209</v>
      </c>
      <c r="U340" s="54">
        <f t="shared" si="95"/>
        <v>9.4887362637362589</v>
      </c>
    </row>
    <row r="341" spans="1:21" ht="15" customHeight="1">
      <c r="A341" s="33" t="s">
        <v>333</v>
      </c>
      <c r="B341" s="52">
        <f>'Расчет субсидий'!AD341</f>
        <v>-2.5909090909090935</v>
      </c>
      <c r="C341" s="54">
        <f>'Расчет субсидий'!D341-1</f>
        <v>-0.23750000000000004</v>
      </c>
      <c r="D341" s="54">
        <f>C341*'Расчет субсидий'!E341</f>
        <v>-2.3750000000000004</v>
      </c>
      <c r="E341" s="55">
        <f t="shared" si="104"/>
        <v>-1.5066006283721396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4">
        <f>'Расчет субсидий'!P341-1</f>
        <v>-0.24832214765100669</v>
      </c>
      <c r="M341" s="54">
        <f>L341*'Расчет субсидий'!Q341</f>
        <v>-4.9664429530201337</v>
      </c>
      <c r="N341" s="55">
        <f t="shared" si="105"/>
        <v>-3.150503610018744</v>
      </c>
      <c r="O341" s="54">
        <f>'Расчет субсидий'!T341-1</f>
        <v>0.10857142857142854</v>
      </c>
      <c r="P341" s="54">
        <f>O341*'Расчет субсидий'!U341</f>
        <v>3.2571428571428562</v>
      </c>
      <c r="Q341" s="55">
        <f t="shared" si="106"/>
        <v>2.0661951474817908</v>
      </c>
      <c r="R341" s="54">
        <f>'Расчет субсидий'!X341-1</f>
        <v>0</v>
      </c>
      <c r="S341" s="54">
        <f>R341*'Расчет субсидий'!Y341</f>
        <v>0</v>
      </c>
      <c r="T341" s="55">
        <f t="shared" si="107"/>
        <v>0</v>
      </c>
      <c r="U341" s="54">
        <f t="shared" si="95"/>
        <v>-4.0843000958772784</v>
      </c>
    </row>
    <row r="342" spans="1:21" ht="15" customHeight="1">
      <c r="A342" s="33" t="s">
        <v>334</v>
      </c>
      <c r="B342" s="52">
        <f>'Расчет субсидий'!AD342</f>
        <v>3.3909090909091049</v>
      </c>
      <c r="C342" s="54">
        <f>'Расчет субсидий'!D342-1</f>
        <v>-0.17359268398896799</v>
      </c>
      <c r="D342" s="54">
        <f>C342*'Расчет субсидий'!E342</f>
        <v>-1.7359268398896799</v>
      </c>
      <c r="E342" s="55">
        <f t="shared" si="104"/>
        <v>-3.3635708752480311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4">
        <f>'Расчет субсидий'!P342-1</f>
        <v>0.18810766554088643</v>
      </c>
      <c r="M342" s="54">
        <f>L342*'Расчет субсидий'!Q342</f>
        <v>3.7621533108177285</v>
      </c>
      <c r="N342" s="55">
        <f t="shared" si="105"/>
        <v>7.2896328426425265</v>
      </c>
      <c r="O342" s="54">
        <f>'Расчет субсидий'!T342-1</f>
        <v>-5.6666666666666643E-2</v>
      </c>
      <c r="P342" s="54">
        <f>O342*'Расчет субсидий'!U342</f>
        <v>-1.1333333333333329</v>
      </c>
      <c r="Q342" s="55">
        <f t="shared" si="106"/>
        <v>-2.1959721483366357</v>
      </c>
      <c r="R342" s="54">
        <f>'Расчет субсидий'!X342-1</f>
        <v>2.8571428571428692E-2</v>
      </c>
      <c r="S342" s="54">
        <f>R342*'Расчет субсидий'!Y342</f>
        <v>0.85714285714286076</v>
      </c>
      <c r="T342" s="55">
        <f t="shared" si="107"/>
        <v>1.6608192718512447</v>
      </c>
      <c r="U342" s="54">
        <f t="shared" si="95"/>
        <v>1.7500359947375768</v>
      </c>
    </row>
    <row r="343" spans="1:21" ht="15" customHeight="1">
      <c r="A343" s="33" t="s">
        <v>335</v>
      </c>
      <c r="B343" s="52">
        <f>'Расчет субсидий'!AD343</f>
        <v>-4.0090909090909079</v>
      </c>
      <c r="C343" s="54">
        <f>'Расчет субсидий'!D343-1</f>
        <v>-0.30434782608695654</v>
      </c>
      <c r="D343" s="54">
        <f>C343*'Расчет субсидий'!E343</f>
        <v>-3.0434782608695654</v>
      </c>
      <c r="E343" s="55">
        <f t="shared" si="104"/>
        <v>-1.870144350346914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4">
        <f>'Расчет субсидий'!P343-1</f>
        <v>-0.38804638715432649</v>
      </c>
      <c r="M343" s="54">
        <f>L343*'Расчет субсидий'!Q343</f>
        <v>-7.7609277430865298</v>
      </c>
      <c r="N343" s="55">
        <f t="shared" si="105"/>
        <v>-4.7689038422889958</v>
      </c>
      <c r="O343" s="54">
        <f>'Расчет субсидий'!T343-1</f>
        <v>-4.0000000000000036E-3</v>
      </c>
      <c r="P343" s="54">
        <f>O343*'Расчет субсидий'!U343</f>
        <v>-0.12000000000000011</v>
      </c>
      <c r="Q343" s="55">
        <f t="shared" si="106"/>
        <v>-7.3737120099392678E-2</v>
      </c>
      <c r="R343" s="54">
        <f>'Расчет субсидий'!X343-1</f>
        <v>0.21999999999999997</v>
      </c>
      <c r="S343" s="54">
        <f>R343*'Расчет субсидий'!Y343</f>
        <v>4.3999999999999995</v>
      </c>
      <c r="T343" s="55">
        <f t="shared" si="107"/>
        <v>2.7036944036443953</v>
      </c>
      <c r="U343" s="54">
        <f t="shared" si="95"/>
        <v>-6.5244060039560976</v>
      </c>
    </row>
    <row r="344" spans="1:21" ht="15" customHeight="1">
      <c r="A344" s="33" t="s">
        <v>336</v>
      </c>
      <c r="B344" s="52">
        <f>'Расчет субсидий'!AD344</f>
        <v>-1.4636363636363541</v>
      </c>
      <c r="C344" s="54">
        <f>'Расчет субсидий'!D344-1</f>
        <v>4.0000000000000036E-2</v>
      </c>
      <c r="D344" s="54">
        <f>C344*'Расчет субсидий'!E344</f>
        <v>0.40000000000000036</v>
      </c>
      <c r="E344" s="55">
        <f t="shared" si="104"/>
        <v>0.60364663585002365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4">
        <f>'Расчет субсидий'!P344-1</f>
        <v>-6.8493150684931559E-2</v>
      </c>
      <c r="M344" s="54">
        <f>L344*'Расчет субсидий'!Q344</f>
        <v>-1.3698630136986312</v>
      </c>
      <c r="N344" s="55">
        <f t="shared" si="105"/>
        <v>-2.0672829994863822</v>
      </c>
      <c r="O344" s="54">
        <f>'Расчет субсидий'!T344-1</f>
        <v>-3.3333333333333326E-2</v>
      </c>
      <c r="P344" s="54">
        <f>O344*'Расчет субсидий'!U344</f>
        <v>-0.83333333333333315</v>
      </c>
      <c r="Q344" s="55">
        <f t="shared" si="106"/>
        <v>-1.2575971580208813</v>
      </c>
      <c r="R344" s="54">
        <f>'Расчет субсидий'!X344-1</f>
        <v>3.3333333333333437E-2</v>
      </c>
      <c r="S344" s="54">
        <f>R344*'Расчет субсидий'!Y344</f>
        <v>0.83333333333333592</v>
      </c>
      <c r="T344" s="55">
        <f t="shared" si="107"/>
        <v>1.2575971580208853</v>
      </c>
      <c r="U344" s="54">
        <f t="shared" si="95"/>
        <v>-0.96986301369862793</v>
      </c>
    </row>
    <row r="345" spans="1:21" ht="15" customHeight="1">
      <c r="A345" s="32" t="s">
        <v>337</v>
      </c>
      <c r="B345" s="56"/>
      <c r="C345" s="57"/>
      <c r="D345" s="57"/>
      <c r="E345" s="58"/>
      <c r="F345" s="57"/>
      <c r="G345" s="57"/>
      <c r="H345" s="58"/>
      <c r="I345" s="58"/>
      <c r="J345" s="58"/>
      <c r="K345" s="58"/>
      <c r="L345" s="57"/>
      <c r="M345" s="57"/>
      <c r="N345" s="58"/>
      <c r="O345" s="57"/>
      <c r="P345" s="57"/>
      <c r="Q345" s="58"/>
      <c r="R345" s="57"/>
      <c r="S345" s="57"/>
      <c r="T345" s="58"/>
      <c r="U345" s="58"/>
    </row>
    <row r="346" spans="1:21" ht="15" customHeight="1">
      <c r="A346" s="33" t="s">
        <v>338</v>
      </c>
      <c r="B346" s="52">
        <f>'Расчет субсидий'!AD346</f>
        <v>-8.9090909090909065</v>
      </c>
      <c r="C346" s="54">
        <f>'Расчет субсидий'!D346-1</f>
        <v>2.564102564102555E-2</v>
      </c>
      <c r="D346" s="54">
        <f>C346*'Расчет субсидий'!E346</f>
        <v>0.2564102564102555</v>
      </c>
      <c r="E346" s="55">
        <f t="shared" ref="E346:E355" si="108">$B346*D346/$U346</f>
        <v>0.22282292903519094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4">
        <f>'Расчет субсидий'!P346-1</f>
        <v>-0.87542087542087543</v>
      </c>
      <c r="M346" s="54">
        <f>L346*'Расчет субсидий'!Q346</f>
        <v>-17.508417508417509</v>
      </c>
      <c r="N346" s="55">
        <f t="shared" ref="N346:N355" si="109">$B346*M346/$U346</f>
        <v>-15.214979800786832</v>
      </c>
      <c r="O346" s="54">
        <f>'Расчет субсидий'!T346-1</f>
        <v>0</v>
      </c>
      <c r="P346" s="54">
        <f>O346*'Расчет субсидий'!U346</f>
        <v>0</v>
      </c>
      <c r="Q346" s="55">
        <f t="shared" ref="Q346:Q355" si="110">$B346*P346/$U346</f>
        <v>0</v>
      </c>
      <c r="R346" s="54">
        <f>'Расчет субсидий'!X346-1</f>
        <v>0.19999999999999996</v>
      </c>
      <c r="S346" s="54">
        <f>R346*'Расчет субсидий'!Y346</f>
        <v>6.9999999999999982</v>
      </c>
      <c r="T346" s="55">
        <f t="shared" ref="T346:T355" si="111">$B346*S346/$U346</f>
        <v>6.0830659626607337</v>
      </c>
      <c r="U346" s="54">
        <f t="shared" si="95"/>
        <v>-10.252007252007255</v>
      </c>
    </row>
    <row r="347" spans="1:21" ht="15" customHeight="1">
      <c r="A347" s="33" t="s">
        <v>53</v>
      </c>
      <c r="B347" s="52">
        <f>'Расчет субсидий'!AD347</f>
        <v>17.381818181818176</v>
      </c>
      <c r="C347" s="54">
        <f>'Расчет субсидий'!D347-1</f>
        <v>1.2499999999999956E-2</v>
      </c>
      <c r="D347" s="54">
        <f>C347*'Расчет субсидий'!E347</f>
        <v>0.12499999999999956</v>
      </c>
      <c r="E347" s="55">
        <f t="shared" si="108"/>
        <v>0.39122419564508626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4">
        <f>'Расчет субсидий'!P347-1</f>
        <v>0.18809980806142024</v>
      </c>
      <c r="M347" s="54">
        <f>L347*'Расчет субсидий'!Q347</f>
        <v>3.7619961612284047</v>
      </c>
      <c r="N347" s="55">
        <f t="shared" si="109"/>
        <v>11.774271377571919</v>
      </c>
      <c r="O347" s="54">
        <f>'Расчет субсидий'!T347-1</f>
        <v>5.555555555555558E-2</v>
      </c>
      <c r="P347" s="54">
        <f>O347*'Расчет субсидий'!U347</f>
        <v>1.6666666666666674</v>
      </c>
      <c r="Q347" s="55">
        <f t="shared" si="110"/>
        <v>5.2163226086011703</v>
      </c>
      <c r="R347" s="54">
        <f>'Расчет субсидий'!X347-1</f>
        <v>0</v>
      </c>
      <c r="S347" s="54">
        <f>R347*'Расчет субсидий'!Y347</f>
        <v>0</v>
      </c>
      <c r="T347" s="55">
        <f t="shared" si="111"/>
        <v>0</v>
      </c>
      <c r="U347" s="54">
        <f t="shared" si="95"/>
        <v>5.5536628278950717</v>
      </c>
    </row>
    <row r="348" spans="1:21" ht="15" customHeight="1">
      <c r="A348" s="33" t="s">
        <v>339</v>
      </c>
      <c r="B348" s="52">
        <f>'Расчет субсидий'!AD348</f>
        <v>5.4818181818181841</v>
      </c>
      <c r="C348" s="54">
        <f>'Расчет субсидий'!D348-1</f>
        <v>0</v>
      </c>
      <c r="D348" s="54">
        <f>C348*'Расчет субсидий'!E348</f>
        <v>0</v>
      </c>
      <c r="E348" s="55">
        <f t="shared" si="108"/>
        <v>0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4">
        <f>'Расчет субсидий'!P348-1</f>
        <v>0.20891566265060235</v>
      </c>
      <c r="M348" s="54">
        <f>L348*'Расчет субсидий'!Q348</f>
        <v>4.178313253012047</v>
      </c>
      <c r="N348" s="55">
        <f t="shared" si="109"/>
        <v>3.707282654942563</v>
      </c>
      <c r="O348" s="54">
        <f>'Расчет субсидий'!T348-1</f>
        <v>6.6666666666666652E-2</v>
      </c>
      <c r="P348" s="54">
        <f>O348*'Расчет субсидий'!U348</f>
        <v>1.9999999999999996</v>
      </c>
      <c r="Q348" s="55">
        <f t="shared" si="110"/>
        <v>1.7745355268756215</v>
      </c>
      <c r="R348" s="54">
        <f>'Расчет субсидий'!X348-1</f>
        <v>0</v>
      </c>
      <c r="S348" s="54">
        <f>R348*'Расчет субсидий'!Y348</f>
        <v>0</v>
      </c>
      <c r="T348" s="55">
        <f t="shared" si="111"/>
        <v>0</v>
      </c>
      <c r="U348" s="54">
        <f t="shared" si="95"/>
        <v>6.1783132530120461</v>
      </c>
    </row>
    <row r="349" spans="1:21" ht="15" customHeight="1">
      <c r="A349" s="33" t="s">
        <v>340</v>
      </c>
      <c r="B349" s="52">
        <f>'Расчет субсидий'!AD349</f>
        <v>16.990909090909099</v>
      </c>
      <c r="C349" s="54">
        <f>'Расчет субсидий'!D349-1</f>
        <v>6.0090702947845909E-2</v>
      </c>
      <c r="D349" s="54">
        <f>C349*'Расчет субсидий'!E349</f>
        <v>0.60090702947845909</v>
      </c>
      <c r="E349" s="55">
        <f t="shared" si="108"/>
        <v>0.72232283741183179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4">
        <f>'Расчет субсидий'!P349-1</f>
        <v>0.30000000000000004</v>
      </c>
      <c r="M349" s="54">
        <f>L349*'Расчет субсидий'!Q349</f>
        <v>6.0000000000000009</v>
      </c>
      <c r="N349" s="55">
        <f t="shared" si="109"/>
        <v>7.2123253878932214</v>
      </c>
      <c r="O349" s="54">
        <f>'Расчет субсидий'!T349-1</f>
        <v>0.17705882352941171</v>
      </c>
      <c r="P349" s="54">
        <f>O349*'Расчет субсидий'!U349</f>
        <v>5.3117647058823518</v>
      </c>
      <c r="Q349" s="55">
        <f t="shared" si="110"/>
        <v>6.3850292404584081</v>
      </c>
      <c r="R349" s="54">
        <f>'Расчет субсидий'!X349-1</f>
        <v>0.11111111111111116</v>
      </c>
      <c r="S349" s="54">
        <f>R349*'Расчет субсидий'!Y349</f>
        <v>2.2222222222222232</v>
      </c>
      <c r="T349" s="55">
        <f t="shared" si="111"/>
        <v>2.6712316251456385</v>
      </c>
      <c r="U349" s="54">
        <f t="shared" si="95"/>
        <v>14.134893957583035</v>
      </c>
    </row>
    <row r="350" spans="1:21" ht="15" customHeight="1">
      <c r="A350" s="33" t="s">
        <v>341</v>
      </c>
      <c r="B350" s="52">
        <f>'Расчет субсидий'!AD350</f>
        <v>-0.11818181818181728</v>
      </c>
      <c r="C350" s="54">
        <f>'Расчет субсидий'!D350-1</f>
        <v>-0.12348680942296131</v>
      </c>
      <c r="D350" s="54">
        <f>C350*'Расчет субсидий'!E350</f>
        <v>-1.2348680942296131</v>
      </c>
      <c r="E350" s="55">
        <f t="shared" si="108"/>
        <v>-0.80905985424874127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4">
        <f>'Расчет субсидий'!P350-1</f>
        <v>0.2089743589743589</v>
      </c>
      <c r="M350" s="54">
        <f>L350*'Расчет субсидий'!Q350</f>
        <v>4.179487179487178</v>
      </c>
      <c r="N350" s="55">
        <f t="shared" si="109"/>
        <v>2.738312945383806</v>
      </c>
      <c r="O350" s="54">
        <f>'Расчет субсидий'!T350-1</f>
        <v>0</v>
      </c>
      <c r="P350" s="54">
        <f>O350*'Расчет субсидий'!U350</f>
        <v>0</v>
      </c>
      <c r="Q350" s="55">
        <f t="shared" si="110"/>
        <v>0</v>
      </c>
      <c r="R350" s="54">
        <f>'Расчет субсидий'!X350-1</f>
        <v>-0.12500000000000011</v>
      </c>
      <c r="S350" s="54">
        <f>R350*'Расчет субсидий'!Y350</f>
        <v>-3.1250000000000027</v>
      </c>
      <c r="T350" s="55">
        <f t="shared" si="111"/>
        <v>-2.0474349093168822</v>
      </c>
      <c r="U350" s="54">
        <f t="shared" si="95"/>
        <v>-0.18038091474243778</v>
      </c>
    </row>
    <row r="351" spans="1:21" ht="15" customHeight="1">
      <c r="A351" s="33" t="s">
        <v>342</v>
      </c>
      <c r="B351" s="52">
        <f>'Расчет субсидий'!AD351</f>
        <v>0.26363636363636189</v>
      </c>
      <c r="C351" s="54">
        <f>'Расчет субсидий'!D351-1</f>
        <v>0.13793103448275867</v>
      </c>
      <c r="D351" s="54">
        <f>C351*'Расчет субсидий'!E351</f>
        <v>1.3793103448275867</v>
      </c>
      <c r="E351" s="55">
        <f t="shared" si="108"/>
        <v>0.51736216793485146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4">
        <f>'Расчет субсидий'!P351-1</f>
        <v>-3.3822208919485175E-2</v>
      </c>
      <c r="M351" s="54">
        <f>L351*'Расчет субсидий'!Q351</f>
        <v>-0.6764441783897035</v>
      </c>
      <c r="N351" s="55">
        <f t="shared" si="109"/>
        <v>-0.25372580429848951</v>
      </c>
      <c r="O351" s="54">
        <f>'Расчет субсидий'!T351-1</f>
        <v>0</v>
      </c>
      <c r="P351" s="54">
        <f>O351*'Расчет субсидий'!U351</f>
        <v>0</v>
      </c>
      <c r="Q351" s="55">
        <f t="shared" si="110"/>
        <v>0</v>
      </c>
      <c r="R351" s="54">
        <f>'Расчет субсидий'!X351-1</f>
        <v>0</v>
      </c>
      <c r="S351" s="54">
        <f>R351*'Расчет субсидий'!Y351</f>
        <v>0</v>
      </c>
      <c r="T351" s="55">
        <f t="shared" si="111"/>
        <v>0</v>
      </c>
      <c r="U351" s="54">
        <f t="shared" si="95"/>
        <v>0.70286616643788324</v>
      </c>
    </row>
    <row r="352" spans="1:21" ht="15" customHeight="1">
      <c r="A352" s="33" t="s">
        <v>343</v>
      </c>
      <c r="B352" s="52">
        <f>'Расчет субсидий'!AD352</f>
        <v>1.4727272727272691</v>
      </c>
      <c r="C352" s="54">
        <f>'Расчет субсидий'!D352-1</f>
        <v>8.0000000000000071E-3</v>
      </c>
      <c r="D352" s="54">
        <f>C352*'Расчет субсидий'!E352</f>
        <v>8.0000000000000071E-2</v>
      </c>
      <c r="E352" s="55">
        <f t="shared" si="108"/>
        <v>0.12418569547008379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4">
        <f>'Расчет субсидий'!P352-1</f>
        <v>4.3436293436293516E-2</v>
      </c>
      <c r="M352" s="54">
        <f>L352*'Расчет субсидий'!Q352</f>
        <v>0.86872586872587032</v>
      </c>
      <c r="N352" s="55">
        <f t="shared" si="109"/>
        <v>1.3485415772571852</v>
      </c>
      <c r="O352" s="54">
        <f>'Расчет субсидий'!T352-1</f>
        <v>0</v>
      </c>
      <c r="P352" s="54">
        <f>O352*'Расчет субсидий'!U352</f>
        <v>0</v>
      </c>
      <c r="Q352" s="55">
        <f t="shared" si="110"/>
        <v>0</v>
      </c>
      <c r="R352" s="54">
        <f>'Расчет субсидий'!X352-1</f>
        <v>0</v>
      </c>
      <c r="S352" s="54">
        <f>R352*'Расчет субсидий'!Y352</f>
        <v>0</v>
      </c>
      <c r="T352" s="55">
        <f t="shared" si="111"/>
        <v>0</v>
      </c>
      <c r="U352" s="54">
        <f t="shared" si="95"/>
        <v>0.94872586872587039</v>
      </c>
    </row>
    <row r="353" spans="1:21" ht="15" customHeight="1">
      <c r="A353" s="33" t="s">
        <v>344</v>
      </c>
      <c r="B353" s="52">
        <f>'Расчет субсидий'!AD353</f>
        <v>-12.654545454545456</v>
      </c>
      <c r="C353" s="54">
        <f>'Расчет субсидий'!D353-1</f>
        <v>2.2727272727272041E-3</v>
      </c>
      <c r="D353" s="54">
        <f>C353*'Расчет субсидий'!E353</f>
        <v>2.2727272727272041E-2</v>
      </c>
      <c r="E353" s="55">
        <f t="shared" si="108"/>
        <v>2.6305451443157213E-2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4">
        <f>'Расчет субсидий'!P353-1</f>
        <v>-0.84696406443618344</v>
      </c>
      <c r="M353" s="54">
        <f>L353*'Расчет субсидий'!Q353</f>
        <v>-16.93928128872367</v>
      </c>
      <c r="N353" s="55">
        <f t="shared" si="109"/>
        <v>-19.606199422590681</v>
      </c>
      <c r="O353" s="54">
        <f>'Расчет субсидий'!T353-1</f>
        <v>1.0000000000000009E-2</v>
      </c>
      <c r="P353" s="54">
        <f>O353*'Расчет субсидий'!U353</f>
        <v>0.15000000000000013</v>
      </c>
      <c r="Q353" s="55">
        <f t="shared" si="110"/>
        <v>0.17361597952484301</v>
      </c>
      <c r="R353" s="54">
        <f>'Расчет субсидий'!X353-1</f>
        <v>0.16666666666666674</v>
      </c>
      <c r="S353" s="54">
        <f>R353*'Расчет субсидий'!Y353</f>
        <v>5.8333333333333357</v>
      </c>
      <c r="T353" s="55">
        <f t="shared" si="111"/>
        <v>6.7517325370772241</v>
      </c>
      <c r="U353" s="54">
        <f t="shared" si="95"/>
        <v>-10.933220682663062</v>
      </c>
    </row>
    <row r="354" spans="1:21" ht="15" customHeight="1">
      <c r="A354" s="33" t="s">
        <v>345</v>
      </c>
      <c r="B354" s="52">
        <f>'Расчет субсидий'!AD354</f>
        <v>-10.718181818181812</v>
      </c>
      <c r="C354" s="54">
        <f>'Расчет субсидий'!D354-1</f>
        <v>2.2222222222222143E-2</v>
      </c>
      <c r="D354" s="54">
        <f>C354*'Расчет субсидий'!E354</f>
        <v>0.22222222222222143</v>
      </c>
      <c r="E354" s="55">
        <f t="shared" si="108"/>
        <v>0.20412493342834159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4">
        <f>'Расчет субсидий'!P354-1</f>
        <v>-0.60078277886497067</v>
      </c>
      <c r="M354" s="54">
        <f>L354*'Расчет субсидий'!Q354</f>
        <v>-12.015655577299412</v>
      </c>
      <c r="N354" s="55">
        <f t="shared" si="109"/>
        <v>-11.037127026663594</v>
      </c>
      <c r="O354" s="54">
        <f>'Расчет субсидий'!T354-1</f>
        <v>1.2499999999999956E-2</v>
      </c>
      <c r="P354" s="54">
        <f>O354*'Расчет субсидий'!U354</f>
        <v>0.12499999999999956</v>
      </c>
      <c r="Q354" s="55">
        <f t="shared" si="110"/>
        <v>0.11482027505344214</v>
      </c>
      <c r="R354" s="54">
        <f>'Расчет субсидий'!X354-1</f>
        <v>0</v>
      </c>
      <c r="S354" s="54">
        <f>R354*'Расчет субсидий'!Y354</f>
        <v>0</v>
      </c>
      <c r="T354" s="55">
        <f t="shared" si="111"/>
        <v>0</v>
      </c>
      <c r="U354" s="54">
        <f t="shared" si="95"/>
        <v>-11.668433355077191</v>
      </c>
    </row>
    <row r="355" spans="1:21" ht="15" customHeight="1">
      <c r="A355" s="33" t="s">
        <v>346</v>
      </c>
      <c r="B355" s="52">
        <f>'Расчет субсидий'!AD355</f>
        <v>9.1999999999999886</v>
      </c>
      <c r="C355" s="54">
        <f>'Расчет субсидий'!D355-1</f>
        <v>0.11343950824252591</v>
      </c>
      <c r="D355" s="54">
        <f>C355*'Расчет субсидий'!E355</f>
        <v>1.1343950824252591</v>
      </c>
      <c r="E355" s="55">
        <f t="shared" si="108"/>
        <v>1.9728288144373982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4">
        <f>'Расчет субсидий'!P355-1</f>
        <v>0.20778456277479229</v>
      </c>
      <c r="M355" s="54">
        <f>L355*'Расчет субсидий'!Q355</f>
        <v>4.1556912554958458</v>
      </c>
      <c r="N355" s="55">
        <f t="shared" si="109"/>
        <v>7.2271711855625895</v>
      </c>
      <c r="O355" s="54">
        <f>'Расчет субсидий'!T355-1</f>
        <v>0</v>
      </c>
      <c r="P355" s="54">
        <f>O355*'Расчет субсидий'!U355</f>
        <v>0</v>
      </c>
      <c r="Q355" s="55">
        <f t="shared" si="110"/>
        <v>0</v>
      </c>
      <c r="R355" s="54">
        <f>'Расчет субсидий'!X355-1</f>
        <v>0</v>
      </c>
      <c r="S355" s="54">
        <f>R355*'Расчет субсидий'!Y355</f>
        <v>0</v>
      </c>
      <c r="T355" s="55">
        <f t="shared" si="111"/>
        <v>0</v>
      </c>
      <c r="U355" s="54">
        <f t="shared" si="95"/>
        <v>5.2900863379211049</v>
      </c>
    </row>
    <row r="356" spans="1:21" ht="15" customHeight="1">
      <c r="A356" s="32" t="s">
        <v>347</v>
      </c>
      <c r="B356" s="56"/>
      <c r="C356" s="57"/>
      <c r="D356" s="57"/>
      <c r="E356" s="58"/>
      <c r="F356" s="57"/>
      <c r="G356" s="57"/>
      <c r="H356" s="58"/>
      <c r="I356" s="58"/>
      <c r="J356" s="58"/>
      <c r="K356" s="58"/>
      <c r="L356" s="57"/>
      <c r="M356" s="57"/>
      <c r="N356" s="58"/>
      <c r="O356" s="57"/>
      <c r="P356" s="57"/>
      <c r="Q356" s="58"/>
      <c r="R356" s="57"/>
      <c r="S356" s="57"/>
      <c r="T356" s="58"/>
      <c r="U356" s="58"/>
    </row>
    <row r="357" spans="1:21" ht="15" customHeight="1">
      <c r="A357" s="33" t="s">
        <v>348</v>
      </c>
      <c r="B357" s="52">
        <f>'Расчет субсидий'!AD357</f>
        <v>-16.945454545454538</v>
      </c>
      <c r="C357" s="54">
        <f>'Расчет субсидий'!D357-1</f>
        <v>-4.4210526315789478E-2</v>
      </c>
      <c r="D357" s="54">
        <f>C357*'Расчет субсидий'!E357</f>
        <v>-0.44210526315789478</v>
      </c>
      <c r="E357" s="55">
        <f t="shared" ref="E357:E368" si="112">$B357*D357/$U357</f>
        <v>-0.92021823640943801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4">
        <f>'Расчет субсидий'!P357-1</f>
        <v>-0.5349544072948329</v>
      </c>
      <c r="M357" s="54">
        <f>L357*'Расчет субсидий'!Q357</f>
        <v>-10.699088145896658</v>
      </c>
      <c r="N357" s="55">
        <f t="shared" ref="N357:N368" si="113">$B357*M357/$U357</f>
        <v>-22.269574341823425</v>
      </c>
      <c r="O357" s="54">
        <f>'Расчет субсидий'!T357-1</f>
        <v>0.19999999999999996</v>
      </c>
      <c r="P357" s="54">
        <f>O357*'Расчет субсидий'!U357</f>
        <v>2.9999999999999991</v>
      </c>
      <c r="Q357" s="55">
        <f t="shared" ref="Q357:Q368" si="114">$B357*P357/$U357</f>
        <v>6.2443380327783267</v>
      </c>
      <c r="R357" s="54">
        <f>'Расчет субсидий'!X357-1</f>
        <v>0</v>
      </c>
      <c r="S357" s="54">
        <f>R357*'Расчет субсидий'!Y357</f>
        <v>0</v>
      </c>
      <c r="T357" s="55">
        <f t="shared" ref="T357:T368" si="115">$B357*S357/$U357</f>
        <v>0</v>
      </c>
      <c r="U357" s="54">
        <f t="shared" si="95"/>
        <v>-8.141193409054555</v>
      </c>
    </row>
    <row r="358" spans="1:21" ht="15" customHeight="1">
      <c r="A358" s="33" t="s">
        <v>349</v>
      </c>
      <c r="B358" s="52">
        <f>'Расчет субсидий'!AD358</f>
        <v>9.2818181818181813</v>
      </c>
      <c r="C358" s="54">
        <f>'Расчет субсидий'!D358-1</f>
        <v>-1</v>
      </c>
      <c r="D358" s="54">
        <f>C358*'Расчет субсидий'!E358</f>
        <v>0</v>
      </c>
      <c r="E358" s="55">
        <f t="shared" si="112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4">
        <f>'Расчет субсидий'!P358-1</f>
        <v>0.1182994454713493</v>
      </c>
      <c r="M358" s="54">
        <f>L358*'Расчет субсидий'!Q358</f>
        <v>2.3659889094269859</v>
      </c>
      <c r="N358" s="55">
        <f t="shared" si="113"/>
        <v>4.5130967797634423</v>
      </c>
      <c r="O358" s="54">
        <f>'Расчет субсидий'!T358-1</f>
        <v>0.10000000000000009</v>
      </c>
      <c r="P358" s="54">
        <f>O358*'Расчет субсидий'!U358</f>
        <v>2.5000000000000022</v>
      </c>
      <c r="Q358" s="55">
        <f t="shared" si="114"/>
        <v>4.7687214020547382</v>
      </c>
      <c r="R358" s="54">
        <f>'Расчет субсидий'!X358-1</f>
        <v>0</v>
      </c>
      <c r="S358" s="54">
        <f>R358*'Расчет субсидий'!Y358</f>
        <v>0</v>
      </c>
      <c r="T358" s="55">
        <f t="shared" si="115"/>
        <v>0</v>
      </c>
      <c r="U358" s="54">
        <f t="shared" si="95"/>
        <v>4.8659889094269886</v>
      </c>
    </row>
    <row r="359" spans="1:21" ht="15" customHeight="1">
      <c r="A359" s="33" t="s">
        <v>350</v>
      </c>
      <c r="B359" s="52">
        <f>'Расчет субсидий'!AD359</f>
        <v>-0.16363636363636358</v>
      </c>
      <c r="C359" s="54">
        <f>'Расчет субсидий'!D359-1</f>
        <v>-0.18874999999999997</v>
      </c>
      <c r="D359" s="54">
        <f>C359*'Расчет субсидий'!E359</f>
        <v>-1.8874999999999997</v>
      </c>
      <c r="E359" s="55">
        <f t="shared" si="112"/>
        <v>-3.2180250087349378E-2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4">
        <f>'Расчет субсидий'!P359-1</f>
        <v>-0.38552126482899207</v>
      </c>
      <c r="M359" s="54">
        <f>L359*'Расчет субсидий'!Q359</f>
        <v>-7.7104252965798414</v>
      </c>
      <c r="N359" s="55">
        <f t="shared" si="113"/>
        <v>-0.13145611354901421</v>
      </c>
      <c r="O359" s="54">
        <f>'Расчет субсидий'!T359-1</f>
        <v>0</v>
      </c>
      <c r="P359" s="54">
        <f>O359*'Расчет субсидий'!U359</f>
        <v>0</v>
      </c>
      <c r="Q359" s="55">
        <f t="shared" si="114"/>
        <v>0</v>
      </c>
      <c r="R359" s="54">
        <f>'Расчет субсидий'!X359-1</f>
        <v>0</v>
      </c>
      <c r="S359" s="54">
        <f>R359*'Расчет субсидий'!Y359</f>
        <v>0</v>
      </c>
      <c r="T359" s="55">
        <f t="shared" si="115"/>
        <v>0</v>
      </c>
      <c r="U359" s="54">
        <f t="shared" si="95"/>
        <v>-9.5979252965798416</v>
      </c>
    </row>
    <row r="360" spans="1:21" ht="15" customHeight="1">
      <c r="A360" s="33" t="s">
        <v>351</v>
      </c>
      <c r="B360" s="52">
        <f>'Расчет субсидий'!AD360</f>
        <v>5.9363636363636374</v>
      </c>
      <c r="C360" s="54">
        <f>'Расчет субсидий'!D360-1</f>
        <v>-1</v>
      </c>
      <c r="D360" s="54">
        <f>C360*'Расчет субсидий'!E360</f>
        <v>0</v>
      </c>
      <c r="E360" s="55">
        <f t="shared" si="112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4">
        <f>'Расчет субсидий'!P360-1</f>
        <v>0.24</v>
      </c>
      <c r="M360" s="54">
        <f>L360*'Расчет субсидий'!Q360</f>
        <v>4.8</v>
      </c>
      <c r="N360" s="55">
        <f t="shared" si="113"/>
        <v>5.9363636363636374</v>
      </c>
      <c r="O360" s="54">
        <f>'Расчет субсидий'!T360-1</f>
        <v>0</v>
      </c>
      <c r="P360" s="54">
        <f>O360*'Расчет субсидий'!U360</f>
        <v>0</v>
      </c>
      <c r="Q360" s="55">
        <f t="shared" si="114"/>
        <v>0</v>
      </c>
      <c r="R360" s="54">
        <f>'Расчет субсидий'!X360-1</f>
        <v>0</v>
      </c>
      <c r="S360" s="54">
        <f>R360*'Расчет субсидий'!Y360</f>
        <v>0</v>
      </c>
      <c r="T360" s="55">
        <f t="shared" si="115"/>
        <v>0</v>
      </c>
      <c r="U360" s="54">
        <f t="shared" ref="U360:U368" si="116">D360+M360+P360+S360</f>
        <v>4.8</v>
      </c>
    </row>
    <row r="361" spans="1:21" ht="15" customHeight="1">
      <c r="A361" s="33" t="s">
        <v>352</v>
      </c>
      <c r="B361" s="52">
        <f>'Расчет субсидий'!AD361</f>
        <v>8.2090909090909179</v>
      </c>
      <c r="C361" s="54">
        <f>'Расчет субсидий'!D361-1</f>
        <v>0.20815294117647065</v>
      </c>
      <c r="D361" s="54">
        <f>C361*'Расчет субсидий'!E361</f>
        <v>2.0815294117647065</v>
      </c>
      <c r="E361" s="55">
        <f t="shared" si="112"/>
        <v>4.1498972338423616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4">
        <f>'Расчет субсидий'!P361-1</f>
        <v>-9.1948310139165046E-2</v>
      </c>
      <c r="M361" s="54">
        <f>L361*'Расчет субсидий'!Q361</f>
        <v>-1.8389662027833009</v>
      </c>
      <c r="N361" s="55">
        <f t="shared" si="113"/>
        <v>-3.6663045522811326</v>
      </c>
      <c r="O361" s="54">
        <f>'Расчет субсидий'!T361-1</f>
        <v>0.10000000000000009</v>
      </c>
      <c r="P361" s="54">
        <f>O361*'Расчет субсидий'!U361</f>
        <v>2.0000000000000018</v>
      </c>
      <c r="Q361" s="55">
        <f t="shared" si="114"/>
        <v>3.9873539238862934</v>
      </c>
      <c r="R361" s="54">
        <f>'Расчет субсидий'!X361-1</f>
        <v>6.25E-2</v>
      </c>
      <c r="S361" s="54">
        <f>R361*'Расчет субсидий'!Y361</f>
        <v>1.875</v>
      </c>
      <c r="T361" s="55">
        <f t="shared" si="115"/>
        <v>3.7381443036433968</v>
      </c>
      <c r="U361" s="54">
        <f t="shared" si="116"/>
        <v>4.1175632089814069</v>
      </c>
    </row>
    <row r="362" spans="1:21" ht="15" customHeight="1">
      <c r="A362" s="33" t="s">
        <v>353</v>
      </c>
      <c r="B362" s="52">
        <f>'Расчет субсидий'!AD362</f>
        <v>-43.27272727272728</v>
      </c>
      <c r="C362" s="54">
        <f>'Расчет субсидий'!D362-1</f>
        <v>-0.63</v>
      </c>
      <c r="D362" s="54">
        <f>C362*'Расчет субсидий'!E362</f>
        <v>-6.3</v>
      </c>
      <c r="E362" s="55">
        <f t="shared" si="112"/>
        <v>-18.053656946801716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4">
        <f>'Расчет субсидий'!P362-1</f>
        <v>-0.64002205071664831</v>
      </c>
      <c r="M362" s="54">
        <f>L362*'Расчет субсидий'!Q362</f>
        <v>-12.800441014332966</v>
      </c>
      <c r="N362" s="55">
        <f t="shared" si="113"/>
        <v>-36.681709657228247</v>
      </c>
      <c r="O362" s="54">
        <f>'Расчет субсидий'!T362-1</f>
        <v>0.19999999999999996</v>
      </c>
      <c r="P362" s="54">
        <f>O362*'Расчет субсидий'!U362</f>
        <v>3.9999999999999991</v>
      </c>
      <c r="Q362" s="55">
        <f t="shared" si="114"/>
        <v>11.462639331302674</v>
      </c>
      <c r="R362" s="54">
        <f>'Расчет субсидий'!X362-1</f>
        <v>0</v>
      </c>
      <c r="S362" s="54">
        <f>R362*'Расчет субсидий'!Y362</f>
        <v>0</v>
      </c>
      <c r="T362" s="55">
        <f t="shared" si="115"/>
        <v>0</v>
      </c>
      <c r="U362" s="54">
        <f t="shared" si="116"/>
        <v>-15.100441014332965</v>
      </c>
    </row>
    <row r="363" spans="1:21" ht="15" customHeight="1">
      <c r="A363" s="33" t="s">
        <v>354</v>
      </c>
      <c r="B363" s="52">
        <f>'Расчет субсидий'!AD363</f>
        <v>0.76363636363636545</v>
      </c>
      <c r="C363" s="54">
        <f>'Расчет субсидий'!D363-1</f>
        <v>-0.50361111111111101</v>
      </c>
      <c r="D363" s="54">
        <f>C363*'Расчет субсидий'!E363</f>
        <v>-5.0361111111111097</v>
      </c>
      <c r="E363" s="55">
        <f t="shared" si="112"/>
        <v>-5.7807350602871148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4">
        <f>'Расчет субсидий'!P363-1</f>
        <v>0.28506912442396315</v>
      </c>
      <c r="M363" s="54">
        <f>L363*'Расчет субсидий'!Q363</f>
        <v>5.701382488479263</v>
      </c>
      <c r="N363" s="55">
        <f t="shared" si="113"/>
        <v>6.5443714239234803</v>
      </c>
      <c r="O363" s="54">
        <f>'Расчет субсидий'!T363-1</f>
        <v>0</v>
      </c>
      <c r="P363" s="54">
        <f>O363*'Расчет субсидий'!U363</f>
        <v>0</v>
      </c>
      <c r="Q363" s="55">
        <f t="shared" si="114"/>
        <v>0</v>
      </c>
      <c r="R363" s="54">
        <f>'Расчет субсидий'!X363-1</f>
        <v>0</v>
      </c>
      <c r="S363" s="54">
        <f>R363*'Расчет субсидий'!Y363</f>
        <v>0</v>
      </c>
      <c r="T363" s="55">
        <f t="shared" si="115"/>
        <v>0</v>
      </c>
      <c r="U363" s="54">
        <f t="shared" si="116"/>
        <v>0.66527137736815334</v>
      </c>
    </row>
    <row r="364" spans="1:21" ht="15" customHeight="1">
      <c r="A364" s="33" t="s">
        <v>355</v>
      </c>
      <c r="B364" s="52">
        <f>'Расчет субсидий'!AD364</f>
        <v>7.8909090909090907</v>
      </c>
      <c r="C364" s="54">
        <f>'Расчет субсидий'!D364-1</f>
        <v>-1</v>
      </c>
      <c r="D364" s="54">
        <f>C364*'Расчет субсидий'!E364</f>
        <v>0</v>
      </c>
      <c r="E364" s="55">
        <f t="shared" si="112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4">
        <f>'Расчет субсидий'!P364-1</f>
        <v>0.23957446808510641</v>
      </c>
      <c r="M364" s="54">
        <f>L364*'Расчет субсидий'!Q364</f>
        <v>4.7914893617021281</v>
      </c>
      <c r="N364" s="55">
        <f t="shared" si="113"/>
        <v>7.8909090909090915</v>
      </c>
      <c r="O364" s="54">
        <f>'Расчет субсидий'!T364-1</f>
        <v>0</v>
      </c>
      <c r="P364" s="54">
        <f>O364*'Расчет субсидий'!U364</f>
        <v>0</v>
      </c>
      <c r="Q364" s="55">
        <f t="shared" si="114"/>
        <v>0</v>
      </c>
      <c r="R364" s="54">
        <f>'Расчет субсидий'!X364-1</f>
        <v>0</v>
      </c>
      <c r="S364" s="54">
        <f>R364*'Расчет субсидий'!Y364</f>
        <v>0</v>
      </c>
      <c r="T364" s="55">
        <f t="shared" si="115"/>
        <v>0</v>
      </c>
      <c r="U364" s="54">
        <f t="shared" si="116"/>
        <v>4.7914893617021281</v>
      </c>
    </row>
    <row r="365" spans="1:21" ht="15" customHeight="1">
      <c r="A365" s="33" t="s">
        <v>356</v>
      </c>
      <c r="B365" s="52">
        <f>'Расчет субсидий'!AD365</f>
        <v>12.781818181818181</v>
      </c>
      <c r="C365" s="54">
        <f>'Расчет субсидий'!D365-1</f>
        <v>-1</v>
      </c>
      <c r="D365" s="54">
        <f>C365*'Расчет субсидий'!E365</f>
        <v>0</v>
      </c>
      <c r="E365" s="55">
        <f t="shared" si="112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4">
        <f>'Расчет субсидий'!P365-1</f>
        <v>0.25831858407079644</v>
      </c>
      <c r="M365" s="54">
        <f>L365*'Расчет субсидий'!Q365</f>
        <v>5.1663716814159288</v>
      </c>
      <c r="N365" s="55">
        <f t="shared" si="113"/>
        <v>12.781818181818181</v>
      </c>
      <c r="O365" s="54">
        <f>'Расчет субсидий'!T365-1</f>
        <v>0</v>
      </c>
      <c r="P365" s="54">
        <f>O365*'Расчет субсидий'!U365</f>
        <v>0</v>
      </c>
      <c r="Q365" s="55">
        <f t="shared" si="114"/>
        <v>0</v>
      </c>
      <c r="R365" s="54">
        <f>'Расчет субсидий'!X365-1</f>
        <v>0</v>
      </c>
      <c r="S365" s="54">
        <f>R365*'Расчет субсидий'!Y365</f>
        <v>0</v>
      </c>
      <c r="T365" s="55">
        <f t="shared" si="115"/>
        <v>0</v>
      </c>
      <c r="U365" s="54">
        <f t="shared" si="116"/>
        <v>5.1663716814159288</v>
      </c>
    </row>
    <row r="366" spans="1:21" ht="15" customHeight="1">
      <c r="A366" s="33" t="s">
        <v>357</v>
      </c>
      <c r="B366" s="52">
        <f>'Расчет субсидий'!AD366</f>
        <v>11.099999999999994</v>
      </c>
      <c r="C366" s="54">
        <f>'Расчет субсидий'!D366-1</f>
        <v>-1</v>
      </c>
      <c r="D366" s="54">
        <f>C366*'Расчет субсидий'!E366</f>
        <v>0</v>
      </c>
      <c r="E366" s="55">
        <f t="shared" si="112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4">
        <f>'Расчет субсидий'!P366-1</f>
        <v>5.5335968379446543E-2</v>
      </c>
      <c r="M366" s="54">
        <f>L366*'Расчет субсидий'!Q366</f>
        <v>1.1067193675889309</v>
      </c>
      <c r="N366" s="55">
        <f t="shared" si="113"/>
        <v>2.3480970818774152</v>
      </c>
      <c r="O366" s="54">
        <f>'Расчет субсидий'!T366-1</f>
        <v>0.20625000000000004</v>
      </c>
      <c r="P366" s="54">
        <f>O366*'Расчет субсидий'!U366</f>
        <v>4.1250000000000009</v>
      </c>
      <c r="Q366" s="55">
        <f t="shared" si="114"/>
        <v>8.75190291812258</v>
      </c>
      <c r="R366" s="54">
        <f>'Расчет субсидий'!X366-1</f>
        <v>0</v>
      </c>
      <c r="S366" s="54">
        <f>R366*'Расчет субсидий'!Y366</f>
        <v>0</v>
      </c>
      <c r="T366" s="55">
        <f t="shared" si="115"/>
        <v>0</v>
      </c>
      <c r="U366" s="54">
        <f t="shared" si="116"/>
        <v>5.2317193675889317</v>
      </c>
    </row>
    <row r="367" spans="1:21" ht="15" customHeight="1">
      <c r="A367" s="33" t="s">
        <v>358</v>
      </c>
      <c r="B367" s="52">
        <f>'Расчет субсидий'!AD367</f>
        <v>-3.0545454545454476</v>
      </c>
      <c r="C367" s="54">
        <f>'Расчет субсидий'!D367-1</f>
        <v>-0.21882352941176475</v>
      </c>
      <c r="D367" s="54">
        <f>C367*'Расчет субсидий'!E367</f>
        <v>-2.1882352941176473</v>
      </c>
      <c r="E367" s="55">
        <f t="shared" si="112"/>
        <v>-3.1279681346596555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4">
        <f>'Расчет субсидий'!P367-1</f>
        <v>-0.1974317817014446</v>
      </c>
      <c r="M367" s="54">
        <f>L367*'Расчет субсидий'!Q367</f>
        <v>-3.9486356340288919</v>
      </c>
      <c r="N367" s="55">
        <f t="shared" si="113"/>
        <v>-5.6443685337797849</v>
      </c>
      <c r="O367" s="54">
        <f>'Расчет субсидий'!T367-1</f>
        <v>0.19999999999999996</v>
      </c>
      <c r="P367" s="54">
        <f>O367*'Расчет субсидий'!U367</f>
        <v>3.9999999999999991</v>
      </c>
      <c r="Q367" s="55">
        <f t="shared" si="114"/>
        <v>5.7177912138939915</v>
      </c>
      <c r="R367" s="54">
        <f>'Расчет субсидий'!X367-1</f>
        <v>0</v>
      </c>
      <c r="S367" s="54">
        <f>R367*'Расчет субсидий'!Y367</f>
        <v>0</v>
      </c>
      <c r="T367" s="55">
        <f t="shared" si="115"/>
        <v>0</v>
      </c>
      <c r="U367" s="54">
        <f t="shared" si="116"/>
        <v>-2.1368709281465401</v>
      </c>
    </row>
    <row r="368" spans="1:21" ht="15" customHeight="1">
      <c r="A368" s="33" t="s">
        <v>359</v>
      </c>
      <c r="B368" s="52">
        <f>'Расчет субсидий'!AD368</f>
        <v>-6.827272727272728</v>
      </c>
      <c r="C368" s="54">
        <f>'Расчет субсидий'!D368-1</f>
        <v>2.2602564102564227E-2</v>
      </c>
      <c r="D368" s="54">
        <f>C368*'Расчет субсидий'!E368</f>
        <v>0.22602564102564227</v>
      </c>
      <c r="E368" s="55">
        <f t="shared" si="112"/>
        <v>0.3334783553831891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4">
        <f>'Расчет субсидий'!P368-1</f>
        <v>-0.24267142492990057</v>
      </c>
      <c r="M368" s="54">
        <f>L368*'Расчет субсидий'!Q368</f>
        <v>-4.8534284985980118</v>
      </c>
      <c r="N368" s="55">
        <f t="shared" si="113"/>
        <v>-7.160751082655918</v>
      </c>
      <c r="O368" s="54">
        <f>'Расчет субсидий'!T368-1</f>
        <v>0</v>
      </c>
      <c r="P368" s="54">
        <f>O368*'Расчет субсидий'!U368</f>
        <v>0</v>
      </c>
      <c r="Q368" s="55">
        <f t="shared" si="114"/>
        <v>0</v>
      </c>
      <c r="R368" s="54">
        <f>'Расчет субсидий'!X368-1</f>
        <v>0</v>
      </c>
      <c r="S368" s="54">
        <f>R368*'Расчет субсидий'!Y368</f>
        <v>0</v>
      </c>
      <c r="T368" s="55">
        <f t="shared" si="115"/>
        <v>0</v>
      </c>
      <c r="U368" s="54">
        <f t="shared" si="116"/>
        <v>-4.6274028575723696</v>
      </c>
    </row>
    <row r="369" spans="1:22" s="50" customFormat="1" ht="15" customHeight="1">
      <c r="A369" s="49" t="s">
        <v>369</v>
      </c>
      <c r="B369" s="53">
        <f>'Расчет субсидий'!AD369</f>
        <v>-12821.090909090912</v>
      </c>
      <c r="C369" s="53"/>
      <c r="D369" s="53"/>
      <c r="E369" s="53">
        <f>E6+E17+E45</f>
        <v>-1477.1266968202979</v>
      </c>
      <c r="F369" s="53"/>
      <c r="G369" s="53"/>
      <c r="H369" s="53">
        <f>H6+H17</f>
        <v>-4802.0083670904614</v>
      </c>
      <c r="I369" s="53"/>
      <c r="J369" s="53"/>
      <c r="K369" s="53">
        <f>K6+K17</f>
        <v>-4610.9687480060629</v>
      </c>
      <c r="L369" s="53"/>
      <c r="M369" s="53"/>
      <c r="N369" s="53">
        <f>N6+N17+N45</f>
        <v>-4280.6909484582638</v>
      </c>
      <c r="O369" s="53"/>
      <c r="P369" s="53"/>
      <c r="Q369" s="53">
        <f>Q17+Q45</f>
        <v>958.01580846772617</v>
      </c>
      <c r="R369" s="53"/>
      <c r="S369" s="53"/>
      <c r="T369" s="53">
        <f>T17+T45</f>
        <v>1391.6880428164529</v>
      </c>
      <c r="U369" s="53"/>
      <c r="V369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2016-06-27T11:34:21Z</dcterms:modified>
</cp:coreProperties>
</file>