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субсидий'!$A$1:$BC$369</definedName>
  </definedNames>
  <calcPr calcId="125725"/>
</workbook>
</file>

<file path=xl/calcChain.xml><?xml version="1.0" encoding="utf-8"?>
<calcChain xmlns="http://schemas.openxmlformats.org/spreadsheetml/2006/main">
  <c r="BB269" i="7"/>
  <c r="BB194" l="1"/>
  <c r="BB364"/>
  <c r="BB368"/>
  <c r="BB367" l="1"/>
  <c r="BB365"/>
  <c r="BB361"/>
  <c r="BB360"/>
  <c r="BB359"/>
  <c r="BB344"/>
  <c r="BB338"/>
  <c r="BB337"/>
  <c r="BB336"/>
  <c r="BB335"/>
  <c r="BB334"/>
  <c r="BB331"/>
  <c r="BB330"/>
  <c r="BB328"/>
  <c r="BB326"/>
  <c r="BB325"/>
  <c r="BB323"/>
  <c r="BB322"/>
  <c r="BC312"/>
  <c r="BB312"/>
  <c r="BB311"/>
  <c r="BB320"/>
  <c r="BB319"/>
  <c r="BB318"/>
  <c r="BB317"/>
  <c r="BB316"/>
  <c r="BB315"/>
  <c r="BB314"/>
  <c r="BB313"/>
  <c r="BB310"/>
  <c r="BB309"/>
  <c r="BB308"/>
  <c r="BB307"/>
  <c r="BB306"/>
  <c r="BB304"/>
  <c r="BB303"/>
  <c r="BB302"/>
  <c r="BB301"/>
  <c r="BB300"/>
  <c r="BB297"/>
  <c r="BB295"/>
  <c r="BB294"/>
  <c r="BB290"/>
  <c r="BB288"/>
  <c r="BB286"/>
  <c r="BB281"/>
  <c r="BB279"/>
  <c r="BB277"/>
  <c r="BB276"/>
  <c r="BB275"/>
  <c r="BB270"/>
  <c r="BB267"/>
  <c r="BB266"/>
  <c r="BB265"/>
  <c r="BB264"/>
  <c r="BB263"/>
  <c r="BB260"/>
  <c r="BB258"/>
  <c r="BB257"/>
  <c r="BB252"/>
  <c r="BB251"/>
  <c r="BB250"/>
  <c r="BB249"/>
  <c r="BB248"/>
  <c r="BB245"/>
  <c r="BB244"/>
  <c r="BB243"/>
  <c r="BB242"/>
  <c r="BB241"/>
  <c r="BB237"/>
  <c r="BB235"/>
  <c r="BB228"/>
  <c r="BB220"/>
  <c r="BB226"/>
  <c r="BB223"/>
  <c r="BB222"/>
  <c r="BB221"/>
  <c r="BB218"/>
  <c r="BB217"/>
  <c r="BB216"/>
  <c r="BB213"/>
  <c r="BB211"/>
  <c r="BB209"/>
  <c r="BC194"/>
  <c r="BC193"/>
  <c r="BB202"/>
  <c r="BB201"/>
  <c r="BB197"/>
  <c r="BB196"/>
  <c r="BB195"/>
  <c r="BB193"/>
  <c r="BB191"/>
  <c r="BB186"/>
  <c r="BB185"/>
  <c r="BB184"/>
  <c r="BB182"/>
  <c r="BB179"/>
  <c r="BB176"/>
  <c r="BB175"/>
  <c r="BB174"/>
  <c r="BB173"/>
  <c r="BB172"/>
  <c r="BB169"/>
  <c r="BB168"/>
  <c r="BB167"/>
  <c r="BB165"/>
  <c r="BB162"/>
  <c r="BB156"/>
  <c r="BB154"/>
  <c r="BB145"/>
  <c r="BB134"/>
  <c r="BB133"/>
  <c r="BB132"/>
  <c r="BB129"/>
  <c r="BB118"/>
  <c r="BB116"/>
  <c r="BB112"/>
  <c r="BB111"/>
  <c r="BB110"/>
  <c r="BB109"/>
  <c r="BB108"/>
  <c r="BB107"/>
  <c r="BB105"/>
  <c r="BB103"/>
  <c r="BB101"/>
  <c r="BB100"/>
  <c r="BB97"/>
  <c r="BB96"/>
  <c r="BB94"/>
  <c r="BB93"/>
  <c r="BB92"/>
  <c r="BB89"/>
  <c r="BB88"/>
  <c r="BB87"/>
  <c r="BB86"/>
  <c r="BB85"/>
  <c r="BB84"/>
  <c r="BB83"/>
  <c r="BB74"/>
  <c r="BB73"/>
  <c r="BB69"/>
  <c r="BB67"/>
  <c r="BB64"/>
  <c r="BB62"/>
  <c r="BB58"/>
  <c r="BB57"/>
  <c r="BB53"/>
  <c r="BB50"/>
  <c r="BB48"/>
  <c r="BB47"/>
  <c r="BC44"/>
  <c r="BB44"/>
  <c r="BB20"/>
  <c r="BB18"/>
  <c r="BB42"/>
  <c r="BB40"/>
  <c r="BB39"/>
  <c r="BB38"/>
  <c r="BB37"/>
  <c r="BB34"/>
  <c r="BB30"/>
  <c r="BB25"/>
  <c r="BB24"/>
  <c r="BB22"/>
  <c r="BB15"/>
  <c r="BB7"/>
  <c r="BB9"/>
  <c r="BB13"/>
  <c r="BC7"/>
  <c r="AD19" i="8" l="1"/>
  <c r="AE19" s="1"/>
  <c r="AD20"/>
  <c r="AE20" s="1"/>
  <c r="AD21"/>
  <c r="AE21" s="1"/>
  <c r="AD22"/>
  <c r="AE22"/>
  <c r="AD23"/>
  <c r="AE23" s="1"/>
  <c r="AD24"/>
  <c r="AE24" s="1"/>
  <c r="AD25"/>
  <c r="AE25" s="1"/>
  <c r="AD26"/>
  <c r="AE26"/>
  <c r="AD27"/>
  <c r="AE27" s="1"/>
  <c r="AD28"/>
  <c r="AE28" s="1"/>
  <c r="AD29"/>
  <c r="AE29" s="1"/>
  <c r="AD30"/>
  <c r="AE30"/>
  <c r="AD31"/>
  <c r="AE31" s="1"/>
  <c r="AD32"/>
  <c r="AE32" s="1"/>
  <c r="AD33"/>
  <c r="AE33"/>
  <c r="AD34"/>
  <c r="AE34" s="1"/>
  <c r="AD35"/>
  <c r="AE35" s="1"/>
  <c r="AD36"/>
  <c r="AE36" s="1"/>
  <c r="AD37"/>
  <c r="AE37"/>
  <c r="AD38"/>
  <c r="AE38" s="1"/>
  <c r="AD39"/>
  <c r="AE39" s="1"/>
  <c r="AD40"/>
  <c r="AE40" s="1"/>
  <c r="AD41"/>
  <c r="AE41"/>
  <c r="AD42"/>
  <c r="AE42" s="1"/>
  <c r="AD43"/>
  <c r="AE43" s="1"/>
  <c r="AD44"/>
  <c r="AE44" s="1"/>
  <c r="AE18"/>
  <c r="AD18"/>
  <c r="AA44"/>
  <c r="AB44" s="1"/>
  <c r="AA19"/>
  <c r="AB19" s="1"/>
  <c r="AA20"/>
  <c r="AB20" s="1"/>
  <c r="AA21"/>
  <c r="AB21" s="1"/>
  <c r="AA22"/>
  <c r="AB22"/>
  <c r="AA23"/>
  <c r="AB23" s="1"/>
  <c r="AA24"/>
  <c r="AB24" s="1"/>
  <c r="AA25"/>
  <c r="AB25" s="1"/>
  <c r="AA26"/>
  <c r="AB26"/>
  <c r="AA27"/>
  <c r="AB27" s="1"/>
  <c r="AA28"/>
  <c r="AB28" s="1"/>
  <c r="AA29"/>
  <c r="AB29" s="1"/>
  <c r="AA30"/>
  <c r="AB30"/>
  <c r="AA31"/>
  <c r="AB31" s="1"/>
  <c r="AA32"/>
  <c r="AB32" s="1"/>
  <c r="AA33"/>
  <c r="AB33" s="1"/>
  <c r="AA34"/>
  <c r="AB34"/>
  <c r="AA35"/>
  <c r="AB35" s="1"/>
  <c r="AA36"/>
  <c r="AB36" s="1"/>
  <c r="AA37"/>
  <c r="AB37" s="1"/>
  <c r="AA38"/>
  <c r="AB38"/>
  <c r="AA39"/>
  <c r="AB39" s="1"/>
  <c r="AA40"/>
  <c r="AB40" s="1"/>
  <c r="AA41"/>
  <c r="AB41" s="1"/>
  <c r="AA42"/>
  <c r="AB42"/>
  <c r="AA43"/>
  <c r="AB43" s="1"/>
  <c r="AA18"/>
  <c r="AB18" s="1"/>
  <c r="H369"/>
  <c r="X48"/>
  <c r="Y48" s="1"/>
  <c r="X49"/>
  <c r="Y49"/>
  <c r="X50"/>
  <c r="Y50" s="1"/>
  <c r="X51"/>
  <c r="Y51" s="1"/>
  <c r="X53"/>
  <c r="Y53" s="1"/>
  <c r="X54"/>
  <c r="Y54" s="1"/>
  <c r="X55"/>
  <c r="Y55"/>
  <c r="X56"/>
  <c r="Y56" s="1"/>
  <c r="X57"/>
  <c r="Y57" s="1"/>
  <c r="X58"/>
  <c r="Y58"/>
  <c r="X59"/>
  <c r="Y59" s="1"/>
  <c r="X60"/>
  <c r="Y60" s="1"/>
  <c r="X61"/>
  <c r="Y61" s="1"/>
  <c r="X62"/>
  <c r="Y62"/>
  <c r="X63"/>
  <c r="Y63" s="1"/>
  <c r="X64"/>
  <c r="Y64" s="1"/>
  <c r="X66"/>
  <c r="Y66" s="1"/>
  <c r="X67"/>
  <c r="Y67" s="1"/>
  <c r="X68"/>
  <c r="Y68" s="1"/>
  <c r="X69"/>
  <c r="Y69"/>
  <c r="X70"/>
  <c r="Y70" s="1"/>
  <c r="X72"/>
  <c r="Y72" s="1"/>
  <c r="X73"/>
  <c r="Y73"/>
  <c r="X74"/>
  <c r="Y74" s="1"/>
  <c r="X75"/>
  <c r="Y75" s="1"/>
  <c r="X76"/>
  <c r="Y76" s="1"/>
  <c r="X77"/>
  <c r="Y77"/>
  <c r="X78"/>
  <c r="Y78" s="1"/>
  <c r="X79"/>
  <c r="Y79" s="1"/>
  <c r="X81"/>
  <c r="Y81" s="1"/>
  <c r="X82"/>
  <c r="Y82"/>
  <c r="X83"/>
  <c r="Y83" s="1"/>
  <c r="X84"/>
  <c r="Y84" s="1"/>
  <c r="X85"/>
  <c r="Y85" s="1"/>
  <c r="X86"/>
  <c r="Y86"/>
  <c r="X87"/>
  <c r="Y87" s="1"/>
  <c r="X88"/>
  <c r="Y88" s="1"/>
  <c r="X89"/>
  <c r="Y89" s="1"/>
  <c r="X91"/>
  <c r="Y91" s="1"/>
  <c r="X92"/>
  <c r="Y92" s="1"/>
  <c r="X93"/>
  <c r="Y93" s="1"/>
  <c r="X94"/>
  <c r="Y94"/>
  <c r="X95"/>
  <c r="Y95" s="1"/>
  <c r="X96"/>
  <c r="Y96" s="1"/>
  <c r="X97"/>
  <c r="Y97" s="1"/>
  <c r="X98"/>
  <c r="Y98"/>
  <c r="X99"/>
  <c r="Y99" s="1"/>
  <c r="X100"/>
  <c r="Y100" s="1"/>
  <c r="X101"/>
  <c r="Y101" s="1"/>
  <c r="X102"/>
  <c r="Y102"/>
  <c r="X103"/>
  <c r="Y103" s="1"/>
  <c r="X105"/>
  <c r="Y105" s="1"/>
  <c r="X106"/>
  <c r="Y106"/>
  <c r="X107"/>
  <c r="Y107" s="1"/>
  <c r="X108"/>
  <c r="Y108" s="1"/>
  <c r="X109"/>
  <c r="Y109" s="1"/>
  <c r="X110"/>
  <c r="Y110"/>
  <c r="X111"/>
  <c r="Y111" s="1"/>
  <c r="X112"/>
  <c r="Y112" s="1"/>
  <c r="X113"/>
  <c r="Y113" s="1"/>
  <c r="X114"/>
  <c r="Y114"/>
  <c r="X115"/>
  <c r="Y115" s="1"/>
  <c r="X116"/>
  <c r="Y116" s="1"/>
  <c r="X117"/>
  <c r="Y117"/>
  <c r="X118"/>
  <c r="Y118" s="1"/>
  <c r="X119"/>
  <c r="Y119" s="1"/>
  <c r="X121"/>
  <c r="Y121" s="1"/>
  <c r="X122"/>
  <c r="Y122" s="1"/>
  <c r="X123"/>
  <c r="Y123"/>
  <c r="X124"/>
  <c r="Y124" s="1"/>
  <c r="X125"/>
  <c r="Y125" s="1"/>
  <c r="X126"/>
  <c r="Y126"/>
  <c r="X127"/>
  <c r="Y127" s="1"/>
  <c r="X129"/>
  <c r="Y129" s="1"/>
  <c r="X130"/>
  <c r="Y130"/>
  <c r="X131"/>
  <c r="Y131" s="1"/>
  <c r="X132"/>
  <c r="Y132" s="1"/>
  <c r="X133"/>
  <c r="Y133" s="1"/>
  <c r="X134"/>
  <c r="Y134"/>
  <c r="X135"/>
  <c r="Y135" s="1"/>
  <c r="X136"/>
  <c r="Y136" s="1"/>
  <c r="X138"/>
  <c r="Y138" s="1"/>
  <c r="X139"/>
  <c r="Y139" s="1"/>
  <c r="X140"/>
  <c r="Y140" s="1"/>
  <c r="X141"/>
  <c r="Y141"/>
  <c r="X142"/>
  <c r="Y142" s="1"/>
  <c r="X143"/>
  <c r="Y143" s="1"/>
  <c r="X145"/>
  <c r="Y145" s="1"/>
  <c r="X146"/>
  <c r="Y146" s="1"/>
  <c r="X147"/>
  <c r="Y147" s="1"/>
  <c r="X148"/>
  <c r="Y148"/>
  <c r="X149"/>
  <c r="Y149" s="1"/>
  <c r="X150"/>
  <c r="Y150" s="1"/>
  <c r="X151"/>
  <c r="Y151" s="1"/>
  <c r="X152"/>
  <c r="Y152"/>
  <c r="X153"/>
  <c r="Y153" s="1"/>
  <c r="X154"/>
  <c r="Y154" s="1"/>
  <c r="X155"/>
  <c r="Y155" s="1"/>
  <c r="X156"/>
  <c r="Y156"/>
  <c r="X158"/>
  <c r="Y158"/>
  <c r="X159"/>
  <c r="Y159" s="1"/>
  <c r="X160"/>
  <c r="Y160" s="1"/>
  <c r="X161"/>
  <c r="Y161" s="1"/>
  <c r="X162"/>
  <c r="Y162"/>
  <c r="X163"/>
  <c r="Y163" s="1"/>
  <c r="X164"/>
  <c r="Y164" s="1"/>
  <c r="X165"/>
  <c r="Y165" s="1"/>
  <c r="X166"/>
  <c r="Y166"/>
  <c r="X167"/>
  <c r="Y167" s="1"/>
  <c r="X168"/>
  <c r="Y168"/>
  <c r="X169"/>
  <c r="Y169" s="1"/>
  <c r="X170"/>
  <c r="Y170" s="1"/>
  <c r="X172"/>
  <c r="Y172" s="1"/>
  <c r="X173"/>
  <c r="Y173" s="1"/>
  <c r="X174"/>
  <c r="Y174"/>
  <c r="X175"/>
  <c r="Y175" s="1"/>
  <c r="X176"/>
  <c r="Y176" s="1"/>
  <c r="X177"/>
  <c r="Y177" s="1"/>
  <c r="X179"/>
  <c r="Y179" s="1"/>
  <c r="X180"/>
  <c r="Y180" s="1"/>
  <c r="X181"/>
  <c r="Y181" s="1"/>
  <c r="X182"/>
  <c r="Y182"/>
  <c r="X183"/>
  <c r="Y183" s="1"/>
  <c r="X184"/>
  <c r="Y184" s="1"/>
  <c r="X185"/>
  <c r="Y185" s="1"/>
  <c r="X186"/>
  <c r="Y186"/>
  <c r="X187"/>
  <c r="Y187" s="1"/>
  <c r="X188"/>
  <c r="Y188" s="1"/>
  <c r="X189"/>
  <c r="Y189" s="1"/>
  <c r="X190"/>
  <c r="Y190"/>
  <c r="X191"/>
  <c r="Y191" s="1"/>
  <c r="X193"/>
  <c r="Y193" s="1"/>
  <c r="X194"/>
  <c r="Y194"/>
  <c r="X195"/>
  <c r="Y195" s="1"/>
  <c r="X196"/>
  <c r="Y196"/>
  <c r="X197"/>
  <c r="Y197" s="1"/>
  <c r="X198"/>
  <c r="Y198"/>
  <c r="X199"/>
  <c r="Y199" s="1"/>
  <c r="X200"/>
  <c r="Y200" s="1"/>
  <c r="X201"/>
  <c r="Y201"/>
  <c r="X202"/>
  <c r="Y202" s="1"/>
  <c r="X203"/>
  <c r="Y203" s="1"/>
  <c r="X204"/>
  <c r="Y204"/>
  <c r="X206"/>
  <c r="Y206" s="1"/>
  <c r="X207"/>
  <c r="Y207" s="1"/>
  <c r="X208"/>
  <c r="Y208"/>
  <c r="X209"/>
  <c r="Y209" s="1"/>
  <c r="X210"/>
  <c r="Y210" s="1"/>
  <c r="X211"/>
  <c r="Y211" s="1"/>
  <c r="X212"/>
  <c r="Y212"/>
  <c r="X213"/>
  <c r="Y213" s="1"/>
  <c r="X214"/>
  <c r="Y214" s="1"/>
  <c r="X215"/>
  <c r="Y215" s="1"/>
  <c r="X216"/>
  <c r="Y216"/>
  <c r="X217"/>
  <c r="Y217" s="1"/>
  <c r="X218"/>
  <c r="Y218" s="1"/>
  <c r="X220"/>
  <c r="Y220" s="1"/>
  <c r="X221"/>
  <c r="Y221" s="1"/>
  <c r="X222"/>
  <c r="Y222"/>
  <c r="X223"/>
  <c r="Y223" s="1"/>
  <c r="X224"/>
  <c r="Y224" s="1"/>
  <c r="X225"/>
  <c r="Y225" s="1"/>
  <c r="X226"/>
  <c r="Y226"/>
  <c r="X227"/>
  <c r="Y227" s="1"/>
  <c r="X228"/>
  <c r="Y228" s="1"/>
  <c r="X230"/>
  <c r="Y230" s="1"/>
  <c r="X231"/>
  <c r="Y231" s="1"/>
  <c r="X232"/>
  <c r="Y232"/>
  <c r="X233"/>
  <c r="Y233" s="1"/>
  <c r="X234"/>
  <c r="Y234" s="1"/>
  <c r="X235"/>
  <c r="Y235" s="1"/>
  <c r="X236"/>
  <c r="Y236"/>
  <c r="X237"/>
  <c r="Y237" s="1"/>
  <c r="X239"/>
  <c r="Y239" s="1"/>
  <c r="X240"/>
  <c r="Y240"/>
  <c r="X241"/>
  <c r="Y241" s="1"/>
  <c r="X242"/>
  <c r="Y242" s="1"/>
  <c r="X243"/>
  <c r="Y243" s="1"/>
  <c r="X244"/>
  <c r="Y244"/>
  <c r="X245"/>
  <c r="Y245" s="1"/>
  <c r="X246"/>
  <c r="Y246" s="1"/>
  <c r="X247"/>
  <c r="Y247" s="1"/>
  <c r="X248"/>
  <c r="Y248"/>
  <c r="X249"/>
  <c r="Y249" s="1"/>
  <c r="X250"/>
  <c r="Y250" s="1"/>
  <c r="X251"/>
  <c r="Y251" s="1"/>
  <c r="X252"/>
  <c r="Y252"/>
  <c r="X253"/>
  <c r="Y253" s="1"/>
  <c r="X255"/>
  <c r="Y255" s="1"/>
  <c r="X256"/>
  <c r="Y256"/>
  <c r="X257"/>
  <c r="Y257" s="1"/>
  <c r="X258"/>
  <c r="Y258" s="1"/>
  <c r="X259"/>
  <c r="Y259" s="1"/>
  <c r="X260"/>
  <c r="Y260"/>
  <c r="X261"/>
  <c r="Y261" s="1"/>
  <c r="X263"/>
  <c r="Y263" s="1"/>
  <c r="X264"/>
  <c r="Y264"/>
  <c r="X265"/>
  <c r="Y265" s="1"/>
  <c r="X266"/>
  <c r="Y266" s="1"/>
  <c r="X267"/>
  <c r="Y267" s="1"/>
  <c r="X268"/>
  <c r="Y268"/>
  <c r="X269"/>
  <c r="Y269" s="1"/>
  <c r="X270"/>
  <c r="Y270" s="1"/>
  <c r="X271"/>
  <c r="Y271" s="1"/>
  <c r="X272"/>
  <c r="Y272"/>
  <c r="X273"/>
  <c r="Y273" s="1"/>
  <c r="X274"/>
  <c r="Y274" s="1"/>
  <c r="X275"/>
  <c r="Y275" s="1"/>
  <c r="X276"/>
  <c r="Y276"/>
  <c r="X277"/>
  <c r="Y277" s="1"/>
  <c r="X278"/>
  <c r="Y278" s="1"/>
  <c r="X279"/>
  <c r="Y279" s="1"/>
  <c r="X281"/>
  <c r="Y281" s="1"/>
  <c r="X282"/>
  <c r="Y282" s="1"/>
  <c r="X283"/>
  <c r="Y283" s="1"/>
  <c r="X284"/>
  <c r="Y284"/>
  <c r="X285"/>
  <c r="Y285" s="1"/>
  <c r="X286"/>
  <c r="Y286" s="1"/>
  <c r="X287"/>
  <c r="Y287" s="1"/>
  <c r="X288"/>
  <c r="Y288"/>
  <c r="X289"/>
  <c r="Y289" s="1"/>
  <c r="X290"/>
  <c r="Y290" s="1"/>
  <c r="X291"/>
  <c r="Y291" s="1"/>
  <c r="X292"/>
  <c r="Y292"/>
  <c r="X293"/>
  <c r="Y293" s="1"/>
  <c r="X294"/>
  <c r="Y294" s="1"/>
  <c r="X295"/>
  <c r="Y295" s="1"/>
  <c r="X296"/>
  <c r="Y296" s="1"/>
  <c r="X297"/>
  <c r="Y297" s="1"/>
  <c r="X298"/>
  <c r="Y298" s="1"/>
  <c r="X299"/>
  <c r="Y299"/>
  <c r="X300"/>
  <c r="Y300" s="1"/>
  <c r="X301"/>
  <c r="Y301" s="1"/>
  <c r="X302"/>
  <c r="Y302" s="1"/>
  <c r="X303"/>
  <c r="Y303" s="1"/>
  <c r="X304"/>
  <c r="Y304"/>
  <c r="X306"/>
  <c r="Y306" s="1"/>
  <c r="X307"/>
  <c r="Y307"/>
  <c r="X308"/>
  <c r="Y308" s="1"/>
  <c r="X309"/>
  <c r="Y309" s="1"/>
  <c r="X310"/>
  <c r="Y310"/>
  <c r="X311"/>
  <c r="Y311" s="1"/>
  <c r="X312"/>
  <c r="Y312" s="1"/>
  <c r="X313"/>
  <c r="Y313" s="1"/>
  <c r="X314"/>
  <c r="Y314"/>
  <c r="X315"/>
  <c r="Y315" s="1"/>
  <c r="X316"/>
  <c r="Y316" s="1"/>
  <c r="X317"/>
  <c r="Y317" s="1"/>
  <c r="X318"/>
  <c r="Y318"/>
  <c r="X319"/>
  <c r="Y319" s="1"/>
  <c r="X320"/>
  <c r="Y320" s="1"/>
  <c r="X322"/>
  <c r="Y322" s="1"/>
  <c r="X323"/>
  <c r="Y323" s="1"/>
  <c r="X324"/>
  <c r="Y324"/>
  <c r="X325"/>
  <c r="Y325" s="1"/>
  <c r="X326"/>
  <c r="Y326" s="1"/>
  <c r="X327"/>
  <c r="Y327" s="1"/>
  <c r="X328"/>
  <c r="Y328"/>
  <c r="X329"/>
  <c r="Y329" s="1"/>
  <c r="X330"/>
  <c r="Y330" s="1"/>
  <c r="X331"/>
  <c r="Y331" s="1"/>
  <c r="X332"/>
  <c r="Y332"/>
  <c r="X334"/>
  <c r="Y334"/>
  <c r="X335"/>
  <c r="Y335" s="1"/>
  <c r="X336"/>
  <c r="Y336" s="1"/>
  <c r="X337"/>
  <c r="Y337" s="1"/>
  <c r="X338"/>
  <c r="Y338"/>
  <c r="X339"/>
  <c r="Y339" s="1"/>
  <c r="X340"/>
  <c r="Y340" s="1"/>
  <c r="X341"/>
  <c r="Y341" s="1"/>
  <c r="X342"/>
  <c r="Y342"/>
  <c r="X343"/>
  <c r="Y343" s="1"/>
  <c r="X344"/>
  <c r="Y344" s="1"/>
  <c r="X346"/>
  <c r="Y346" s="1"/>
  <c r="X347"/>
  <c r="Y347" s="1"/>
  <c r="X348"/>
  <c r="Y348"/>
  <c r="X349"/>
  <c r="Y349" s="1"/>
  <c r="X350"/>
  <c r="Y350" s="1"/>
  <c r="X351"/>
  <c r="Y351" s="1"/>
  <c r="X352"/>
  <c r="Y352"/>
  <c r="X353"/>
  <c r="Y353" s="1"/>
  <c r="X354"/>
  <c r="Y354" s="1"/>
  <c r="X355"/>
  <c r="Y355" s="1"/>
  <c r="X357"/>
  <c r="Y357" s="1"/>
  <c r="X358"/>
  <c r="Y358" s="1"/>
  <c r="X359"/>
  <c r="Y359" s="1"/>
  <c r="X360"/>
  <c r="Y360"/>
  <c r="X361"/>
  <c r="Y361" s="1"/>
  <c r="X362"/>
  <c r="Y362" s="1"/>
  <c r="X363"/>
  <c r="Y363" s="1"/>
  <c r="X364"/>
  <c r="Y364"/>
  <c r="X365"/>
  <c r="Y365" s="1"/>
  <c r="X366"/>
  <c r="Y366" s="1"/>
  <c r="X367"/>
  <c r="Y367" s="1"/>
  <c r="X368"/>
  <c r="Y368"/>
  <c r="X47"/>
  <c r="Y47" s="1"/>
  <c r="X44"/>
  <c r="Y44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X41"/>
  <c r="Y41" s="1"/>
  <c r="X42"/>
  <c r="Y42" s="1"/>
  <c r="X43"/>
  <c r="Y43" s="1"/>
  <c r="X18"/>
  <c r="Y18" s="1"/>
  <c r="BC48" i="7" l="1"/>
  <c r="BC49"/>
  <c r="BC50"/>
  <c r="BC51"/>
  <c r="BC53"/>
  <c r="BC54"/>
  <c r="BC55"/>
  <c r="BC56"/>
  <c r="BC57"/>
  <c r="BC58"/>
  <c r="BC59"/>
  <c r="BC60"/>
  <c r="BC61"/>
  <c r="BC62"/>
  <c r="BC63"/>
  <c r="BC64"/>
  <c r="BC66"/>
  <c r="BC67"/>
  <c r="BC68"/>
  <c r="BC69"/>
  <c r="BC70"/>
  <c r="BC72"/>
  <c r="BC73"/>
  <c r="BC74"/>
  <c r="BC75"/>
  <c r="BC76"/>
  <c r="BC77"/>
  <c r="BC78"/>
  <c r="BC79"/>
  <c r="BC81"/>
  <c r="BC82"/>
  <c r="BC83"/>
  <c r="BC84"/>
  <c r="BC85"/>
  <c r="BC86"/>
  <c r="BC87"/>
  <c r="BC88"/>
  <c r="BC89"/>
  <c r="BC91"/>
  <c r="BC92"/>
  <c r="BC93"/>
  <c r="BC94"/>
  <c r="BC95"/>
  <c r="BC96"/>
  <c r="BC97"/>
  <c r="BC98"/>
  <c r="BC99"/>
  <c r="BC100"/>
  <c r="BC101"/>
  <c r="BC102"/>
  <c r="BC103"/>
  <c r="BC105"/>
  <c r="BC106"/>
  <c r="BC107"/>
  <c r="BC108"/>
  <c r="BC109"/>
  <c r="BC110"/>
  <c r="BC111"/>
  <c r="BC112"/>
  <c r="BC113"/>
  <c r="BC114"/>
  <c r="BC115"/>
  <c r="BC116"/>
  <c r="BC117"/>
  <c r="BC118"/>
  <c r="BC119"/>
  <c r="BC121"/>
  <c r="BC122"/>
  <c r="BC123"/>
  <c r="BC124"/>
  <c r="BC125"/>
  <c r="BC126"/>
  <c r="BC127"/>
  <c r="BC129"/>
  <c r="BC130"/>
  <c r="BC131"/>
  <c r="BC132"/>
  <c r="BC133"/>
  <c r="BC134"/>
  <c r="BC135"/>
  <c r="BC136"/>
  <c r="BC138"/>
  <c r="BC139"/>
  <c r="BC140"/>
  <c r="BC141"/>
  <c r="BC142"/>
  <c r="BC143"/>
  <c r="BC145"/>
  <c r="BC146"/>
  <c r="BC147"/>
  <c r="BC148"/>
  <c r="BC149"/>
  <c r="BC150"/>
  <c r="BC151"/>
  <c r="BC152"/>
  <c r="BC153"/>
  <c r="BC154"/>
  <c r="BC155"/>
  <c r="BC156"/>
  <c r="BC158"/>
  <c r="BC159"/>
  <c r="BC160"/>
  <c r="BC161"/>
  <c r="BC162"/>
  <c r="BC163"/>
  <c r="BC164"/>
  <c r="BC165"/>
  <c r="BC166"/>
  <c r="BC167"/>
  <c r="BC168"/>
  <c r="BC169"/>
  <c r="BC170"/>
  <c r="BC172"/>
  <c r="BC173"/>
  <c r="BC174"/>
  <c r="BC175"/>
  <c r="BC176"/>
  <c r="BC177"/>
  <c r="BC179"/>
  <c r="BC180"/>
  <c r="BC181"/>
  <c r="BC182"/>
  <c r="BC183"/>
  <c r="BC184"/>
  <c r="BC185"/>
  <c r="BC186"/>
  <c r="BC187"/>
  <c r="BC188"/>
  <c r="BC189"/>
  <c r="BC190"/>
  <c r="BC191"/>
  <c r="BC195"/>
  <c r="BC196"/>
  <c r="BC197"/>
  <c r="BC198"/>
  <c r="BC199"/>
  <c r="BC200"/>
  <c r="BC201"/>
  <c r="BC202"/>
  <c r="BC203"/>
  <c r="BC204"/>
  <c r="BC206"/>
  <c r="BC207"/>
  <c r="BC208"/>
  <c r="BC209"/>
  <c r="BC210"/>
  <c r="BC211"/>
  <c r="BC212"/>
  <c r="BC213"/>
  <c r="BC214"/>
  <c r="BC215"/>
  <c r="BC216"/>
  <c r="BC217"/>
  <c r="BC218"/>
  <c r="BC220"/>
  <c r="BC221"/>
  <c r="BC222"/>
  <c r="BC223"/>
  <c r="BC224"/>
  <c r="BC225"/>
  <c r="BC226"/>
  <c r="BC227"/>
  <c r="BC228"/>
  <c r="BC230"/>
  <c r="BC231"/>
  <c r="BC232"/>
  <c r="BC233"/>
  <c r="BC234"/>
  <c r="BC235"/>
  <c r="BC236"/>
  <c r="BC237"/>
  <c r="BC239"/>
  <c r="BC240"/>
  <c r="BC241"/>
  <c r="BC242"/>
  <c r="BC243"/>
  <c r="BC244"/>
  <c r="BC245"/>
  <c r="BC246"/>
  <c r="BC247"/>
  <c r="BC248"/>
  <c r="BC249"/>
  <c r="BC250"/>
  <c r="BC251"/>
  <c r="BC252"/>
  <c r="BC253"/>
  <c r="BC255"/>
  <c r="BC256"/>
  <c r="BC257"/>
  <c r="BC258"/>
  <c r="BC259"/>
  <c r="BC260"/>
  <c r="BC261"/>
  <c r="BC263"/>
  <c r="BC264"/>
  <c r="BC265"/>
  <c r="BC266"/>
  <c r="BC267"/>
  <c r="BC268"/>
  <c r="BC269"/>
  <c r="BC270"/>
  <c r="BC271"/>
  <c r="BC272"/>
  <c r="BC273"/>
  <c r="BC274"/>
  <c r="BC275"/>
  <c r="BC276"/>
  <c r="BC277"/>
  <c r="BC278"/>
  <c r="BC279"/>
  <c r="BC281"/>
  <c r="BC282"/>
  <c r="BC283"/>
  <c r="BC284"/>
  <c r="BC285"/>
  <c r="BC286"/>
  <c r="BC287"/>
  <c r="BC288"/>
  <c r="BC289"/>
  <c r="BC290"/>
  <c r="BC291"/>
  <c r="BC292"/>
  <c r="BC293"/>
  <c r="BC294"/>
  <c r="BC295"/>
  <c r="BC296"/>
  <c r="BC297"/>
  <c r="BC298"/>
  <c r="BC299"/>
  <c r="BC300"/>
  <c r="BC301"/>
  <c r="BC302"/>
  <c r="BC303"/>
  <c r="BC304"/>
  <c r="BC306"/>
  <c r="BC307"/>
  <c r="BC308"/>
  <c r="BC309"/>
  <c r="BC310"/>
  <c r="BC311"/>
  <c r="BC313"/>
  <c r="BC314"/>
  <c r="BC315"/>
  <c r="BC316"/>
  <c r="BC317"/>
  <c r="BC318"/>
  <c r="BC319"/>
  <c r="BC320"/>
  <c r="BC322"/>
  <c r="BC323"/>
  <c r="BC324"/>
  <c r="BC325"/>
  <c r="BC326"/>
  <c r="BC327"/>
  <c r="BC328"/>
  <c r="BC329"/>
  <c r="BC330"/>
  <c r="BC331"/>
  <c r="BC332"/>
  <c r="BC334"/>
  <c r="BC335"/>
  <c r="BC336"/>
  <c r="BC337"/>
  <c r="BC338"/>
  <c r="BC339"/>
  <c r="BC340"/>
  <c r="BC341"/>
  <c r="BC342"/>
  <c r="BC343"/>
  <c r="BC344"/>
  <c r="BC346"/>
  <c r="BC347"/>
  <c r="BC348"/>
  <c r="BC349"/>
  <c r="BC350"/>
  <c r="BC351"/>
  <c r="BC352"/>
  <c r="BC353"/>
  <c r="BC354"/>
  <c r="BC355"/>
  <c r="BC357"/>
  <c r="BC358"/>
  <c r="BC359"/>
  <c r="BC360"/>
  <c r="BC361"/>
  <c r="BC362"/>
  <c r="BC363"/>
  <c r="BC364"/>
  <c r="BC365"/>
  <c r="BC366"/>
  <c r="BC367"/>
  <c r="BC368"/>
  <c r="BC47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18"/>
  <c r="BC8"/>
  <c r="BC9"/>
  <c r="BC10"/>
  <c r="BC11"/>
  <c r="BC12"/>
  <c r="BC13"/>
  <c r="BC14"/>
  <c r="BC15"/>
  <c r="BC16"/>
  <c r="BC6" l="1"/>
  <c r="BB45"/>
  <c r="BB17"/>
  <c r="BB6"/>
  <c r="AZ45"/>
  <c r="AZ17"/>
  <c r="AZ6"/>
  <c r="AX369"/>
  <c r="BB369" l="1"/>
  <c r="AZ369"/>
  <c r="AU45" l="1"/>
  <c r="AV45"/>
  <c r="AU17"/>
  <c r="AV17"/>
  <c r="AU6"/>
  <c r="AV6"/>
  <c r="AU369" l="1"/>
  <c r="AV369"/>
  <c r="AR368"/>
  <c r="AR47"/>
  <c r="AR48"/>
  <c r="AR49"/>
  <c r="AR50"/>
  <c r="AR51"/>
  <c r="AR53"/>
  <c r="AR54"/>
  <c r="AR55"/>
  <c r="AR56"/>
  <c r="AR57"/>
  <c r="AR58"/>
  <c r="AR59"/>
  <c r="AR60"/>
  <c r="AR61"/>
  <c r="AR62"/>
  <c r="AR63"/>
  <c r="AR64"/>
  <c r="AR66"/>
  <c r="AR67"/>
  <c r="AR68"/>
  <c r="AR69"/>
  <c r="AR70"/>
  <c r="AR72"/>
  <c r="AR73"/>
  <c r="AR74"/>
  <c r="AR75"/>
  <c r="AR76"/>
  <c r="AR77"/>
  <c r="AR78"/>
  <c r="AR79"/>
  <c r="AR81"/>
  <c r="AR82"/>
  <c r="AR83"/>
  <c r="AR84"/>
  <c r="AR85"/>
  <c r="AR86"/>
  <c r="AR87"/>
  <c r="AR88"/>
  <c r="AR89"/>
  <c r="AR91"/>
  <c r="AR92"/>
  <c r="AR93"/>
  <c r="AR94"/>
  <c r="AR95"/>
  <c r="AR96"/>
  <c r="AR97"/>
  <c r="AR98"/>
  <c r="AR99"/>
  <c r="AR100"/>
  <c r="AR101"/>
  <c r="AR102"/>
  <c r="AR103"/>
  <c r="AR105"/>
  <c r="AR106"/>
  <c r="AR107"/>
  <c r="AR108"/>
  <c r="AR109"/>
  <c r="AR110"/>
  <c r="AR111"/>
  <c r="AR112"/>
  <c r="AR113"/>
  <c r="AR114"/>
  <c r="AR115"/>
  <c r="AR116"/>
  <c r="AR117"/>
  <c r="AR118"/>
  <c r="AR119"/>
  <c r="AR121"/>
  <c r="AR122"/>
  <c r="AR123"/>
  <c r="AR124"/>
  <c r="AR125"/>
  <c r="AR126"/>
  <c r="AR127"/>
  <c r="AR129"/>
  <c r="AR130"/>
  <c r="AR131"/>
  <c r="AR132"/>
  <c r="AR133"/>
  <c r="AR134"/>
  <c r="AR135"/>
  <c r="AR136"/>
  <c r="AR138"/>
  <c r="AR139"/>
  <c r="AR140"/>
  <c r="AR141"/>
  <c r="AR142"/>
  <c r="AR143"/>
  <c r="AR145"/>
  <c r="AR146"/>
  <c r="AR147"/>
  <c r="AR148"/>
  <c r="AR149"/>
  <c r="AR150"/>
  <c r="AR151"/>
  <c r="AR152"/>
  <c r="AR153"/>
  <c r="AR154"/>
  <c r="AR155"/>
  <c r="AR156"/>
  <c r="AR158"/>
  <c r="AR159"/>
  <c r="AR160"/>
  <c r="AR161"/>
  <c r="AR162"/>
  <c r="AR163"/>
  <c r="AR164"/>
  <c r="AR165"/>
  <c r="AR166"/>
  <c r="AR167"/>
  <c r="AR168"/>
  <c r="AR169"/>
  <c r="AR170"/>
  <c r="AR172"/>
  <c r="AR173"/>
  <c r="AR174"/>
  <c r="AR175"/>
  <c r="AR176"/>
  <c r="AR177"/>
  <c r="AR179"/>
  <c r="AR180"/>
  <c r="AR181"/>
  <c r="AR182"/>
  <c r="AR183"/>
  <c r="AR184"/>
  <c r="AR185"/>
  <c r="AR186"/>
  <c r="AR187"/>
  <c r="AR188"/>
  <c r="AR189"/>
  <c r="AR190"/>
  <c r="AR191"/>
  <c r="AR193"/>
  <c r="AR194"/>
  <c r="AR195"/>
  <c r="AR196"/>
  <c r="AR197"/>
  <c r="AR198"/>
  <c r="AR199"/>
  <c r="AR200"/>
  <c r="AR201"/>
  <c r="AR202"/>
  <c r="AR203"/>
  <c r="AR204"/>
  <c r="AR206"/>
  <c r="AR207"/>
  <c r="AR208"/>
  <c r="AR209"/>
  <c r="AR210"/>
  <c r="AR211"/>
  <c r="AR212"/>
  <c r="AR213"/>
  <c r="AR214"/>
  <c r="AR215"/>
  <c r="AR216"/>
  <c r="AR217"/>
  <c r="AR218"/>
  <c r="AR220"/>
  <c r="AR221"/>
  <c r="AR222"/>
  <c r="AR223"/>
  <c r="AR224"/>
  <c r="AR225"/>
  <c r="AR226"/>
  <c r="AR227"/>
  <c r="AR228"/>
  <c r="AR230"/>
  <c r="AR231"/>
  <c r="AR232"/>
  <c r="AR233"/>
  <c r="AR234"/>
  <c r="AR235"/>
  <c r="AR236"/>
  <c r="AR237"/>
  <c r="AR239"/>
  <c r="AR240"/>
  <c r="AR241"/>
  <c r="AR242"/>
  <c r="AR243"/>
  <c r="AR244"/>
  <c r="AR245"/>
  <c r="AR246"/>
  <c r="AR247"/>
  <c r="AR248"/>
  <c r="AR249"/>
  <c r="AR250"/>
  <c r="AR251"/>
  <c r="AR252"/>
  <c r="AR253"/>
  <c r="AR255"/>
  <c r="AR256"/>
  <c r="AR257"/>
  <c r="AR258"/>
  <c r="AR259"/>
  <c r="AR260"/>
  <c r="AR261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6"/>
  <c r="AR307"/>
  <c r="AR308"/>
  <c r="AR309"/>
  <c r="AR310"/>
  <c r="AR311"/>
  <c r="AR312"/>
  <c r="AR313"/>
  <c r="AR314"/>
  <c r="AR315"/>
  <c r="AR316"/>
  <c r="AR317"/>
  <c r="AR318"/>
  <c r="AR319"/>
  <c r="AR320"/>
  <c r="AR322"/>
  <c r="AR323"/>
  <c r="AR324"/>
  <c r="AR325"/>
  <c r="AR326"/>
  <c r="AR327"/>
  <c r="AR328"/>
  <c r="AR329"/>
  <c r="AR330"/>
  <c r="AR331"/>
  <c r="AR332"/>
  <c r="AR334"/>
  <c r="AR335"/>
  <c r="AR336"/>
  <c r="AR337"/>
  <c r="AR338"/>
  <c r="AR339"/>
  <c r="AR340"/>
  <c r="AR341"/>
  <c r="AR342"/>
  <c r="AR343"/>
  <c r="AR344"/>
  <c r="AR346"/>
  <c r="AR347"/>
  <c r="AR348"/>
  <c r="AR349"/>
  <c r="AR350"/>
  <c r="AR351"/>
  <c r="AR352"/>
  <c r="AR353"/>
  <c r="AR354"/>
  <c r="AR355"/>
  <c r="AR357"/>
  <c r="AR358"/>
  <c r="AR359"/>
  <c r="AR360"/>
  <c r="AR361"/>
  <c r="AR362"/>
  <c r="AR363"/>
  <c r="AR364"/>
  <c r="AR365"/>
  <c r="AR366"/>
  <c r="AR367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18"/>
  <c r="AR8"/>
  <c r="AR9"/>
  <c r="AR10"/>
  <c r="AR11"/>
  <c r="AR12"/>
  <c r="AR13"/>
  <c r="AR14"/>
  <c r="AR15"/>
  <c r="AR16"/>
  <c r="AR7"/>
  <c r="AN44" l="1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18"/>
  <c r="AJ44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18"/>
  <c r="AH17"/>
  <c r="AM17"/>
  <c r="AL17"/>
  <c r="AI17"/>
  <c r="AF48"/>
  <c r="AF49"/>
  <c r="AF50"/>
  <c r="AF51"/>
  <c r="AF53"/>
  <c r="AF54"/>
  <c r="AF55"/>
  <c r="AF56"/>
  <c r="AF57"/>
  <c r="AF58"/>
  <c r="AF59"/>
  <c r="AF60"/>
  <c r="AF61"/>
  <c r="AF62"/>
  <c r="AF63"/>
  <c r="AF64"/>
  <c r="AF66"/>
  <c r="AF67"/>
  <c r="AF68"/>
  <c r="AF69"/>
  <c r="AF70"/>
  <c r="AF72"/>
  <c r="AF73"/>
  <c r="AF74"/>
  <c r="AF75"/>
  <c r="AF76"/>
  <c r="AF77"/>
  <c r="AF78"/>
  <c r="AF79"/>
  <c r="AF81"/>
  <c r="AF82"/>
  <c r="AF83"/>
  <c r="AF84"/>
  <c r="AF85"/>
  <c r="AF86"/>
  <c r="AF87"/>
  <c r="AF88"/>
  <c r="AF89"/>
  <c r="AF91"/>
  <c r="AF92"/>
  <c r="AF93"/>
  <c r="AF94"/>
  <c r="AF95"/>
  <c r="AF96"/>
  <c r="AF97"/>
  <c r="AF98"/>
  <c r="AF99"/>
  <c r="AF100"/>
  <c r="AF101"/>
  <c r="AF102"/>
  <c r="AF103"/>
  <c r="AF105"/>
  <c r="AF106"/>
  <c r="AF107"/>
  <c r="AF108"/>
  <c r="AF109"/>
  <c r="AF110"/>
  <c r="AF111"/>
  <c r="AF112"/>
  <c r="AF113"/>
  <c r="AF114"/>
  <c r="AF115"/>
  <c r="AF116"/>
  <c r="AF117"/>
  <c r="AF118"/>
  <c r="AF119"/>
  <c r="AF121"/>
  <c r="AF122"/>
  <c r="AF123"/>
  <c r="AF124"/>
  <c r="AF125"/>
  <c r="AF126"/>
  <c r="AF127"/>
  <c r="AF129"/>
  <c r="AF130"/>
  <c r="AF131"/>
  <c r="AF132"/>
  <c r="AF133"/>
  <c r="AF134"/>
  <c r="AF135"/>
  <c r="AF136"/>
  <c r="AF138"/>
  <c r="AF139"/>
  <c r="AF140"/>
  <c r="AF141"/>
  <c r="AF142"/>
  <c r="AF143"/>
  <c r="AF145"/>
  <c r="AF146"/>
  <c r="AF147"/>
  <c r="AF148"/>
  <c r="AF149"/>
  <c r="AF150"/>
  <c r="AF151"/>
  <c r="AF152"/>
  <c r="AF153"/>
  <c r="AF154"/>
  <c r="AF155"/>
  <c r="AF156"/>
  <c r="AF158"/>
  <c r="AF159"/>
  <c r="AF160"/>
  <c r="AF161"/>
  <c r="AF162"/>
  <c r="AF163"/>
  <c r="AF164"/>
  <c r="AF165"/>
  <c r="AF166"/>
  <c r="AF167"/>
  <c r="AF168"/>
  <c r="AF169"/>
  <c r="AF170"/>
  <c r="AF172"/>
  <c r="AF173"/>
  <c r="AF174"/>
  <c r="AF175"/>
  <c r="AF176"/>
  <c r="AF177"/>
  <c r="AF179"/>
  <c r="AF180"/>
  <c r="AF181"/>
  <c r="AF182"/>
  <c r="AF183"/>
  <c r="AF184"/>
  <c r="AF185"/>
  <c r="AF186"/>
  <c r="AF187"/>
  <c r="AF188"/>
  <c r="AF189"/>
  <c r="AF190"/>
  <c r="AF191"/>
  <c r="AF193"/>
  <c r="AF194"/>
  <c r="AF195"/>
  <c r="AF196"/>
  <c r="AF197"/>
  <c r="AF198"/>
  <c r="AF199"/>
  <c r="AF200"/>
  <c r="AF201"/>
  <c r="AF202"/>
  <c r="AF203"/>
  <c r="AF204"/>
  <c r="AF206"/>
  <c r="AF207"/>
  <c r="AF208"/>
  <c r="AF209"/>
  <c r="AF210"/>
  <c r="AF211"/>
  <c r="AF212"/>
  <c r="AF213"/>
  <c r="AF214"/>
  <c r="AF215"/>
  <c r="AF216"/>
  <c r="AF217"/>
  <c r="AF218"/>
  <c r="AF220"/>
  <c r="AF221"/>
  <c r="AF222"/>
  <c r="AF223"/>
  <c r="AF224"/>
  <c r="AF225"/>
  <c r="AF226"/>
  <c r="AF227"/>
  <c r="AF228"/>
  <c r="AF230"/>
  <c r="AF231"/>
  <c r="AF232"/>
  <c r="AF233"/>
  <c r="AF234"/>
  <c r="AF235"/>
  <c r="AF236"/>
  <c r="AF237"/>
  <c r="AF239"/>
  <c r="AF240"/>
  <c r="AF241"/>
  <c r="AF242"/>
  <c r="AF243"/>
  <c r="AF244"/>
  <c r="AF245"/>
  <c r="AF246"/>
  <c r="AF247"/>
  <c r="AF248"/>
  <c r="AF249"/>
  <c r="AF250"/>
  <c r="AF251"/>
  <c r="AF252"/>
  <c r="AF253"/>
  <c r="AF255"/>
  <c r="AF256"/>
  <c r="AF257"/>
  <c r="AF258"/>
  <c r="AF259"/>
  <c r="AF260"/>
  <c r="AF261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6"/>
  <c r="AF307"/>
  <c r="AF308"/>
  <c r="AF309"/>
  <c r="AF310"/>
  <c r="AF311"/>
  <c r="AF312"/>
  <c r="AF313"/>
  <c r="AF314"/>
  <c r="AF315"/>
  <c r="AF316"/>
  <c r="AF317"/>
  <c r="AF318"/>
  <c r="AF319"/>
  <c r="AF320"/>
  <c r="AF322"/>
  <c r="AF323"/>
  <c r="AF324"/>
  <c r="AF325"/>
  <c r="AF326"/>
  <c r="AF327"/>
  <c r="AF328"/>
  <c r="AF329"/>
  <c r="AF330"/>
  <c r="AF331"/>
  <c r="AF332"/>
  <c r="AF334"/>
  <c r="AF335"/>
  <c r="AF336"/>
  <c r="AF337"/>
  <c r="AF338"/>
  <c r="AF339"/>
  <c r="AF340"/>
  <c r="AF341"/>
  <c r="AF342"/>
  <c r="AF343"/>
  <c r="AF344"/>
  <c r="AF346"/>
  <c r="AF347"/>
  <c r="AF348"/>
  <c r="AF349"/>
  <c r="AF350"/>
  <c r="AF351"/>
  <c r="AF352"/>
  <c r="AF353"/>
  <c r="AF354"/>
  <c r="AF355"/>
  <c r="AF357"/>
  <c r="AF358"/>
  <c r="AF359"/>
  <c r="AF360"/>
  <c r="AF361"/>
  <c r="AF362"/>
  <c r="AF363"/>
  <c r="AF364"/>
  <c r="AF365"/>
  <c r="AF366"/>
  <c r="AF367"/>
  <c r="AF368"/>
  <c r="AF47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19"/>
  <c r="AF20"/>
  <c r="AF21"/>
  <c r="AF22"/>
  <c r="AF23"/>
  <c r="AF24"/>
  <c r="AF18"/>
  <c r="AE45"/>
  <c r="AF45" s="1"/>
  <c r="AD45"/>
  <c r="AE17"/>
  <c r="AF17" s="1"/>
  <c r="AD17"/>
  <c r="AN17" l="1"/>
  <c r="AJ17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3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3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368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48"/>
  <c r="AP48" s="1"/>
  <c r="AS48" s="1"/>
  <c r="D49"/>
  <c r="AP49" s="1"/>
  <c r="AS49" s="1"/>
  <c r="D50"/>
  <c r="AP50" s="1"/>
  <c r="AS50" s="1"/>
  <c r="D51"/>
  <c r="AP51" s="1"/>
  <c r="AS51" s="1"/>
  <c r="D53"/>
  <c r="AP53" s="1"/>
  <c r="AS53" s="1"/>
  <c r="D54"/>
  <c r="AP54" s="1"/>
  <c r="AS54" s="1"/>
  <c r="D55"/>
  <c r="AP55" s="1"/>
  <c r="AS55" s="1"/>
  <c r="D56"/>
  <c r="AP56" s="1"/>
  <c r="AS56" s="1"/>
  <c r="D57"/>
  <c r="AP57" s="1"/>
  <c r="AS57" s="1"/>
  <c r="D58"/>
  <c r="AP58" s="1"/>
  <c r="AS58" s="1"/>
  <c r="D59"/>
  <c r="AP59" s="1"/>
  <c r="AS59" s="1"/>
  <c r="D60"/>
  <c r="AP60" s="1"/>
  <c r="AS60" s="1"/>
  <c r="D61"/>
  <c r="AP61" s="1"/>
  <c r="AS61" s="1"/>
  <c r="D62"/>
  <c r="AP62" s="1"/>
  <c r="AS62" s="1"/>
  <c r="D63"/>
  <c r="AP63" s="1"/>
  <c r="AS63" s="1"/>
  <c r="D64"/>
  <c r="AP64" s="1"/>
  <c r="AS64" s="1"/>
  <c r="D66"/>
  <c r="AP66" s="1"/>
  <c r="AS66" s="1"/>
  <c r="D67"/>
  <c r="AP67" s="1"/>
  <c r="AS67" s="1"/>
  <c r="D68"/>
  <c r="AP68" s="1"/>
  <c r="AS68" s="1"/>
  <c r="D69"/>
  <c r="AP69" s="1"/>
  <c r="AS69" s="1"/>
  <c r="D70"/>
  <c r="AP70" s="1"/>
  <c r="AS70" s="1"/>
  <c r="D72"/>
  <c r="AP72" s="1"/>
  <c r="AS72" s="1"/>
  <c r="D73"/>
  <c r="AP73" s="1"/>
  <c r="AS73" s="1"/>
  <c r="D74"/>
  <c r="AP74" s="1"/>
  <c r="AS74" s="1"/>
  <c r="D75"/>
  <c r="AP75" s="1"/>
  <c r="AS75" s="1"/>
  <c r="D76"/>
  <c r="AP76" s="1"/>
  <c r="AS76" s="1"/>
  <c r="D77"/>
  <c r="AP77" s="1"/>
  <c r="AS77" s="1"/>
  <c r="D78"/>
  <c r="AP78" s="1"/>
  <c r="AS78" s="1"/>
  <c r="D79"/>
  <c r="AP79" s="1"/>
  <c r="AS79" s="1"/>
  <c r="D81"/>
  <c r="AP81" s="1"/>
  <c r="AS81" s="1"/>
  <c r="D82"/>
  <c r="AP82" s="1"/>
  <c r="AS82" s="1"/>
  <c r="D83"/>
  <c r="AP83" s="1"/>
  <c r="AS83" s="1"/>
  <c r="D84"/>
  <c r="AP84" s="1"/>
  <c r="AS84" s="1"/>
  <c r="D85"/>
  <c r="AP85" s="1"/>
  <c r="AS85" s="1"/>
  <c r="D86"/>
  <c r="AP86" s="1"/>
  <c r="AS86" s="1"/>
  <c r="D87"/>
  <c r="AP87" s="1"/>
  <c r="AS87" s="1"/>
  <c r="D88"/>
  <c r="AP88" s="1"/>
  <c r="AS88" s="1"/>
  <c r="D89"/>
  <c r="AP89" s="1"/>
  <c r="AS89" s="1"/>
  <c r="D91"/>
  <c r="AP91" s="1"/>
  <c r="AS91" s="1"/>
  <c r="D92"/>
  <c r="AP92" s="1"/>
  <c r="AS92" s="1"/>
  <c r="D93"/>
  <c r="AP93" s="1"/>
  <c r="AS93" s="1"/>
  <c r="D94"/>
  <c r="AP94" s="1"/>
  <c r="AS94" s="1"/>
  <c r="D95"/>
  <c r="AP95" s="1"/>
  <c r="AS95" s="1"/>
  <c r="D96"/>
  <c r="AP96" s="1"/>
  <c r="AS96" s="1"/>
  <c r="D97"/>
  <c r="AP97" s="1"/>
  <c r="AS97" s="1"/>
  <c r="D98"/>
  <c r="AP98" s="1"/>
  <c r="AS98" s="1"/>
  <c r="D99"/>
  <c r="AP99" s="1"/>
  <c r="AS99" s="1"/>
  <c r="D100"/>
  <c r="AP100" s="1"/>
  <c r="AS100" s="1"/>
  <c r="D101"/>
  <c r="AP101" s="1"/>
  <c r="AS101" s="1"/>
  <c r="D102"/>
  <c r="AP102" s="1"/>
  <c r="AS102" s="1"/>
  <c r="D103"/>
  <c r="AP103" s="1"/>
  <c r="AS103" s="1"/>
  <c r="D105"/>
  <c r="AP105" s="1"/>
  <c r="AS105" s="1"/>
  <c r="D106"/>
  <c r="AP106" s="1"/>
  <c r="AS106" s="1"/>
  <c r="D107"/>
  <c r="AP107" s="1"/>
  <c r="AS107" s="1"/>
  <c r="D108"/>
  <c r="AP108" s="1"/>
  <c r="AS108" s="1"/>
  <c r="D109"/>
  <c r="AP109" s="1"/>
  <c r="AS109" s="1"/>
  <c r="D110"/>
  <c r="AP110" s="1"/>
  <c r="AS110" s="1"/>
  <c r="D111"/>
  <c r="AP111" s="1"/>
  <c r="AS111" s="1"/>
  <c r="D112"/>
  <c r="AP112" s="1"/>
  <c r="AS112" s="1"/>
  <c r="D113"/>
  <c r="AP113" s="1"/>
  <c r="AS113" s="1"/>
  <c r="D114"/>
  <c r="AP114" s="1"/>
  <c r="AS114" s="1"/>
  <c r="D115"/>
  <c r="AP115" s="1"/>
  <c r="AS115" s="1"/>
  <c r="D116"/>
  <c r="AP116" s="1"/>
  <c r="AS116" s="1"/>
  <c r="D117"/>
  <c r="AP117" s="1"/>
  <c r="AS117" s="1"/>
  <c r="D118"/>
  <c r="AP118" s="1"/>
  <c r="AS118" s="1"/>
  <c r="D119"/>
  <c r="AP119" s="1"/>
  <c r="AS119" s="1"/>
  <c r="D121"/>
  <c r="AP121" s="1"/>
  <c r="AS121" s="1"/>
  <c r="D122"/>
  <c r="AP122" s="1"/>
  <c r="AS122" s="1"/>
  <c r="D123"/>
  <c r="AP123" s="1"/>
  <c r="AS123" s="1"/>
  <c r="D124"/>
  <c r="AP124" s="1"/>
  <c r="AS124" s="1"/>
  <c r="D125"/>
  <c r="AP125" s="1"/>
  <c r="AS125" s="1"/>
  <c r="D126"/>
  <c r="AP126" s="1"/>
  <c r="AS126" s="1"/>
  <c r="D127"/>
  <c r="AP127" s="1"/>
  <c r="AS127" s="1"/>
  <c r="D129"/>
  <c r="AP129" s="1"/>
  <c r="AS129" s="1"/>
  <c r="D130"/>
  <c r="AP130" s="1"/>
  <c r="AS130" s="1"/>
  <c r="D131"/>
  <c r="AP131" s="1"/>
  <c r="AS131" s="1"/>
  <c r="D132"/>
  <c r="AP132" s="1"/>
  <c r="AS132" s="1"/>
  <c r="D133"/>
  <c r="AP133" s="1"/>
  <c r="AS133" s="1"/>
  <c r="D134"/>
  <c r="AP134" s="1"/>
  <c r="AS134" s="1"/>
  <c r="D135"/>
  <c r="AP135" s="1"/>
  <c r="AS135" s="1"/>
  <c r="D136"/>
  <c r="AP136" s="1"/>
  <c r="AS136" s="1"/>
  <c r="D138"/>
  <c r="AP138" s="1"/>
  <c r="AS138" s="1"/>
  <c r="D139"/>
  <c r="AP139" s="1"/>
  <c r="AS139" s="1"/>
  <c r="D140"/>
  <c r="AP140" s="1"/>
  <c r="AS140" s="1"/>
  <c r="D141"/>
  <c r="AP141" s="1"/>
  <c r="AS141" s="1"/>
  <c r="D142"/>
  <c r="AP142" s="1"/>
  <c r="AS142" s="1"/>
  <c r="D143"/>
  <c r="AP143" s="1"/>
  <c r="AS143" s="1"/>
  <c r="D145"/>
  <c r="AP145" s="1"/>
  <c r="AS145" s="1"/>
  <c r="D146"/>
  <c r="AP146" s="1"/>
  <c r="AS146" s="1"/>
  <c r="D147"/>
  <c r="AP147" s="1"/>
  <c r="AS147" s="1"/>
  <c r="D148"/>
  <c r="AP148" s="1"/>
  <c r="AS148" s="1"/>
  <c r="D149"/>
  <c r="AP149" s="1"/>
  <c r="AS149" s="1"/>
  <c r="D150"/>
  <c r="AP150" s="1"/>
  <c r="AS150" s="1"/>
  <c r="D151"/>
  <c r="AP151" s="1"/>
  <c r="AS151" s="1"/>
  <c r="D152"/>
  <c r="AP152" s="1"/>
  <c r="AS152" s="1"/>
  <c r="D153"/>
  <c r="AP153" s="1"/>
  <c r="AS153" s="1"/>
  <c r="D154"/>
  <c r="AP154" s="1"/>
  <c r="AS154" s="1"/>
  <c r="D155"/>
  <c r="AP155" s="1"/>
  <c r="AS155" s="1"/>
  <c r="D156"/>
  <c r="AP156" s="1"/>
  <c r="AS156" s="1"/>
  <c r="D158"/>
  <c r="AP158" s="1"/>
  <c r="AS158" s="1"/>
  <c r="D159"/>
  <c r="AP159" s="1"/>
  <c r="AS159" s="1"/>
  <c r="D160"/>
  <c r="AP160" s="1"/>
  <c r="AS160" s="1"/>
  <c r="D161"/>
  <c r="AP161" s="1"/>
  <c r="AS161" s="1"/>
  <c r="D162"/>
  <c r="AP162" s="1"/>
  <c r="AS162" s="1"/>
  <c r="D163"/>
  <c r="AP163" s="1"/>
  <c r="AS163" s="1"/>
  <c r="D164"/>
  <c r="AP164" s="1"/>
  <c r="AS164" s="1"/>
  <c r="D165"/>
  <c r="AP165" s="1"/>
  <c r="AS165" s="1"/>
  <c r="D166"/>
  <c r="AP166" s="1"/>
  <c r="AS166" s="1"/>
  <c r="D167"/>
  <c r="AP167" s="1"/>
  <c r="AS167" s="1"/>
  <c r="D168"/>
  <c r="AP168" s="1"/>
  <c r="AS168" s="1"/>
  <c r="D169"/>
  <c r="AP169" s="1"/>
  <c r="AS169" s="1"/>
  <c r="D170"/>
  <c r="AP170" s="1"/>
  <c r="AS170" s="1"/>
  <c r="D172"/>
  <c r="AP172" s="1"/>
  <c r="AS172" s="1"/>
  <c r="D173"/>
  <c r="AP173" s="1"/>
  <c r="AS173" s="1"/>
  <c r="D174"/>
  <c r="AP174" s="1"/>
  <c r="AS174" s="1"/>
  <c r="D175"/>
  <c r="AP175" s="1"/>
  <c r="AS175" s="1"/>
  <c r="D176"/>
  <c r="AP176" s="1"/>
  <c r="AS176" s="1"/>
  <c r="D177"/>
  <c r="AP177" s="1"/>
  <c r="AS177" s="1"/>
  <c r="D179"/>
  <c r="AP179" s="1"/>
  <c r="AS179" s="1"/>
  <c r="D180"/>
  <c r="AP180" s="1"/>
  <c r="AS180" s="1"/>
  <c r="D181"/>
  <c r="AP181" s="1"/>
  <c r="AS181" s="1"/>
  <c r="D182"/>
  <c r="AP182" s="1"/>
  <c r="AS182" s="1"/>
  <c r="D183"/>
  <c r="AP183" s="1"/>
  <c r="AS183" s="1"/>
  <c r="D184"/>
  <c r="AP184" s="1"/>
  <c r="AS184" s="1"/>
  <c r="D185"/>
  <c r="AP185" s="1"/>
  <c r="AS185" s="1"/>
  <c r="D186"/>
  <c r="AP186" s="1"/>
  <c r="AS186" s="1"/>
  <c r="D187"/>
  <c r="AP187" s="1"/>
  <c r="AS187" s="1"/>
  <c r="D188"/>
  <c r="AP188" s="1"/>
  <c r="AS188" s="1"/>
  <c r="D189"/>
  <c r="AP189" s="1"/>
  <c r="AS189" s="1"/>
  <c r="D190"/>
  <c r="AP190" s="1"/>
  <c r="AS190" s="1"/>
  <c r="D191"/>
  <c r="AP191" s="1"/>
  <c r="AS191" s="1"/>
  <c r="D193"/>
  <c r="AP193" s="1"/>
  <c r="AS193" s="1"/>
  <c r="D194"/>
  <c r="AP194" s="1"/>
  <c r="AS194" s="1"/>
  <c r="D195"/>
  <c r="AP195" s="1"/>
  <c r="AS195" s="1"/>
  <c r="D196"/>
  <c r="AP196" s="1"/>
  <c r="AS196" s="1"/>
  <c r="D197"/>
  <c r="AP197" s="1"/>
  <c r="AS197" s="1"/>
  <c r="D198"/>
  <c r="AP198" s="1"/>
  <c r="AS198" s="1"/>
  <c r="D199"/>
  <c r="AP199" s="1"/>
  <c r="AS199" s="1"/>
  <c r="D200"/>
  <c r="AP200" s="1"/>
  <c r="AS200" s="1"/>
  <c r="D201"/>
  <c r="AP201" s="1"/>
  <c r="AS201" s="1"/>
  <c r="D202"/>
  <c r="AP202" s="1"/>
  <c r="AS202" s="1"/>
  <c r="D203"/>
  <c r="AP203" s="1"/>
  <c r="AS203" s="1"/>
  <c r="D204"/>
  <c r="AP204" s="1"/>
  <c r="AS204" s="1"/>
  <c r="D206"/>
  <c r="AP206" s="1"/>
  <c r="AS206" s="1"/>
  <c r="D207"/>
  <c r="AP207" s="1"/>
  <c r="AS207" s="1"/>
  <c r="D208"/>
  <c r="AP208" s="1"/>
  <c r="AS208" s="1"/>
  <c r="D209"/>
  <c r="AP209" s="1"/>
  <c r="AS209" s="1"/>
  <c r="D210"/>
  <c r="AP210" s="1"/>
  <c r="AS210" s="1"/>
  <c r="D211"/>
  <c r="AP211" s="1"/>
  <c r="AS211" s="1"/>
  <c r="D212"/>
  <c r="AP212" s="1"/>
  <c r="AS212" s="1"/>
  <c r="D213"/>
  <c r="AP213" s="1"/>
  <c r="AS213" s="1"/>
  <c r="D214"/>
  <c r="AP214" s="1"/>
  <c r="AS214" s="1"/>
  <c r="D215"/>
  <c r="AP215" s="1"/>
  <c r="AS215" s="1"/>
  <c r="D216"/>
  <c r="AP216" s="1"/>
  <c r="AS216" s="1"/>
  <c r="D217"/>
  <c r="AP217" s="1"/>
  <c r="AS217" s="1"/>
  <c r="D218"/>
  <c r="AP218" s="1"/>
  <c r="AS218" s="1"/>
  <c r="D220"/>
  <c r="AP220" s="1"/>
  <c r="AS220" s="1"/>
  <c r="D221"/>
  <c r="AP221" s="1"/>
  <c r="AS221" s="1"/>
  <c r="D222"/>
  <c r="AP222" s="1"/>
  <c r="AS222" s="1"/>
  <c r="D223"/>
  <c r="AP223" s="1"/>
  <c r="AS223" s="1"/>
  <c r="D224"/>
  <c r="AP224" s="1"/>
  <c r="AS224" s="1"/>
  <c r="D225"/>
  <c r="AP225" s="1"/>
  <c r="AS225" s="1"/>
  <c r="D226"/>
  <c r="AP226" s="1"/>
  <c r="AS226" s="1"/>
  <c r="D227"/>
  <c r="AP227" s="1"/>
  <c r="AS227" s="1"/>
  <c r="D228"/>
  <c r="AP228" s="1"/>
  <c r="AS228" s="1"/>
  <c r="D230"/>
  <c r="AP230" s="1"/>
  <c r="AS230" s="1"/>
  <c r="D231"/>
  <c r="AP231" s="1"/>
  <c r="AS231" s="1"/>
  <c r="D232"/>
  <c r="AP232" s="1"/>
  <c r="AS232" s="1"/>
  <c r="D233"/>
  <c r="AP233" s="1"/>
  <c r="AS233" s="1"/>
  <c r="D234"/>
  <c r="AP234" s="1"/>
  <c r="AS234" s="1"/>
  <c r="D235"/>
  <c r="AP235" s="1"/>
  <c r="AS235" s="1"/>
  <c r="D236"/>
  <c r="AP236" s="1"/>
  <c r="AS236" s="1"/>
  <c r="D237"/>
  <c r="AP237" s="1"/>
  <c r="AS237" s="1"/>
  <c r="D239"/>
  <c r="AP239" s="1"/>
  <c r="AS239" s="1"/>
  <c r="D240"/>
  <c r="AP240" s="1"/>
  <c r="AS240" s="1"/>
  <c r="D241"/>
  <c r="AP241" s="1"/>
  <c r="AS241" s="1"/>
  <c r="D242"/>
  <c r="AP242" s="1"/>
  <c r="AS242" s="1"/>
  <c r="D243"/>
  <c r="AP243" s="1"/>
  <c r="AS243" s="1"/>
  <c r="D244"/>
  <c r="AP244" s="1"/>
  <c r="AS244" s="1"/>
  <c r="D245"/>
  <c r="AP245" s="1"/>
  <c r="AS245" s="1"/>
  <c r="D246"/>
  <c r="AP246" s="1"/>
  <c r="AS246" s="1"/>
  <c r="D247"/>
  <c r="AP247" s="1"/>
  <c r="AS247" s="1"/>
  <c r="D248"/>
  <c r="AP248" s="1"/>
  <c r="AS248" s="1"/>
  <c r="D249"/>
  <c r="AP249" s="1"/>
  <c r="AS249" s="1"/>
  <c r="D250"/>
  <c r="AP250" s="1"/>
  <c r="AS250" s="1"/>
  <c r="D251"/>
  <c r="AP251" s="1"/>
  <c r="AS251" s="1"/>
  <c r="D252"/>
  <c r="AP252" s="1"/>
  <c r="AS252" s="1"/>
  <c r="D253"/>
  <c r="AP253" s="1"/>
  <c r="AS253" s="1"/>
  <c r="D255"/>
  <c r="AP255" s="1"/>
  <c r="AS255" s="1"/>
  <c r="D256"/>
  <c r="AP256" s="1"/>
  <c r="AS256" s="1"/>
  <c r="D257"/>
  <c r="AP257" s="1"/>
  <c r="AS257" s="1"/>
  <c r="D258"/>
  <c r="AP258" s="1"/>
  <c r="AS258" s="1"/>
  <c r="D259"/>
  <c r="AP259" s="1"/>
  <c r="AS259" s="1"/>
  <c r="D260"/>
  <c r="AP260" s="1"/>
  <c r="AS260" s="1"/>
  <c r="D261"/>
  <c r="AP261" s="1"/>
  <c r="AS261" s="1"/>
  <c r="D263"/>
  <c r="AP263" s="1"/>
  <c r="AS263" s="1"/>
  <c r="D264"/>
  <c r="AP264" s="1"/>
  <c r="AS264" s="1"/>
  <c r="D265"/>
  <c r="AP265" s="1"/>
  <c r="AS265" s="1"/>
  <c r="D266"/>
  <c r="AP266" s="1"/>
  <c r="AS266" s="1"/>
  <c r="D267"/>
  <c r="AP267" s="1"/>
  <c r="AS267" s="1"/>
  <c r="D268"/>
  <c r="AP268" s="1"/>
  <c r="AS268" s="1"/>
  <c r="D269"/>
  <c r="AP269" s="1"/>
  <c r="AS269" s="1"/>
  <c r="D270"/>
  <c r="AP270" s="1"/>
  <c r="AS270" s="1"/>
  <c r="D271"/>
  <c r="AP271" s="1"/>
  <c r="AS271" s="1"/>
  <c r="D272"/>
  <c r="AP272" s="1"/>
  <c r="AS272" s="1"/>
  <c r="D273"/>
  <c r="AP273" s="1"/>
  <c r="AS273" s="1"/>
  <c r="D274"/>
  <c r="AP274" s="1"/>
  <c r="AS274" s="1"/>
  <c r="D275"/>
  <c r="AP275" s="1"/>
  <c r="AS275" s="1"/>
  <c r="D276"/>
  <c r="AP276" s="1"/>
  <c r="AS276" s="1"/>
  <c r="D277"/>
  <c r="AP277" s="1"/>
  <c r="AS277" s="1"/>
  <c r="D278"/>
  <c r="AP278" s="1"/>
  <c r="AS278" s="1"/>
  <c r="D279"/>
  <c r="AP279" s="1"/>
  <c r="AS279" s="1"/>
  <c r="D281"/>
  <c r="AP281" s="1"/>
  <c r="AS281" s="1"/>
  <c r="D282"/>
  <c r="AP282" s="1"/>
  <c r="AS282" s="1"/>
  <c r="D283"/>
  <c r="AP283" s="1"/>
  <c r="AS283" s="1"/>
  <c r="D284"/>
  <c r="AP284" s="1"/>
  <c r="AS284" s="1"/>
  <c r="D285"/>
  <c r="AP285" s="1"/>
  <c r="AS285" s="1"/>
  <c r="D286"/>
  <c r="AP286" s="1"/>
  <c r="AS286" s="1"/>
  <c r="D287"/>
  <c r="AP287" s="1"/>
  <c r="AS287" s="1"/>
  <c r="D288"/>
  <c r="AP288" s="1"/>
  <c r="AS288" s="1"/>
  <c r="D289"/>
  <c r="AP289" s="1"/>
  <c r="AS289" s="1"/>
  <c r="D290"/>
  <c r="AP290" s="1"/>
  <c r="AS290" s="1"/>
  <c r="D291"/>
  <c r="AP291" s="1"/>
  <c r="AS291" s="1"/>
  <c r="D292"/>
  <c r="AP292" s="1"/>
  <c r="AS292" s="1"/>
  <c r="D293"/>
  <c r="AP293" s="1"/>
  <c r="AS293" s="1"/>
  <c r="D294"/>
  <c r="AP294" s="1"/>
  <c r="AS294" s="1"/>
  <c r="D295"/>
  <c r="AP295" s="1"/>
  <c r="AS295" s="1"/>
  <c r="D296"/>
  <c r="AP296" s="1"/>
  <c r="AS296" s="1"/>
  <c r="D297"/>
  <c r="AP297" s="1"/>
  <c r="AS297" s="1"/>
  <c r="D298"/>
  <c r="AP298" s="1"/>
  <c r="AS298" s="1"/>
  <c r="D299"/>
  <c r="AP299" s="1"/>
  <c r="AS299" s="1"/>
  <c r="D300"/>
  <c r="AP300" s="1"/>
  <c r="AS300" s="1"/>
  <c r="D301"/>
  <c r="AP301" s="1"/>
  <c r="AS301" s="1"/>
  <c r="D302"/>
  <c r="AP302" s="1"/>
  <c r="AS302" s="1"/>
  <c r="D303"/>
  <c r="AP303" s="1"/>
  <c r="AS303" s="1"/>
  <c r="D304"/>
  <c r="AP304" s="1"/>
  <c r="AS304" s="1"/>
  <c r="D306"/>
  <c r="AP306" s="1"/>
  <c r="AS306" s="1"/>
  <c r="D307"/>
  <c r="AP307" s="1"/>
  <c r="AS307" s="1"/>
  <c r="D308"/>
  <c r="AP308" s="1"/>
  <c r="AS308" s="1"/>
  <c r="D309"/>
  <c r="AP309" s="1"/>
  <c r="AS309" s="1"/>
  <c r="D310"/>
  <c r="AP310" s="1"/>
  <c r="AS310" s="1"/>
  <c r="D311"/>
  <c r="AP311" s="1"/>
  <c r="AS311" s="1"/>
  <c r="D312"/>
  <c r="AP312" s="1"/>
  <c r="AS312" s="1"/>
  <c r="D313"/>
  <c r="AP313" s="1"/>
  <c r="AS313" s="1"/>
  <c r="D314"/>
  <c r="AP314" s="1"/>
  <c r="AS314" s="1"/>
  <c r="D315"/>
  <c r="AP315" s="1"/>
  <c r="AS315" s="1"/>
  <c r="D316"/>
  <c r="AP316" s="1"/>
  <c r="AS316" s="1"/>
  <c r="D317"/>
  <c r="AP317" s="1"/>
  <c r="AS317" s="1"/>
  <c r="D318"/>
  <c r="AP318" s="1"/>
  <c r="AS318" s="1"/>
  <c r="D319"/>
  <c r="AP319" s="1"/>
  <c r="AS319" s="1"/>
  <c r="D320"/>
  <c r="AP320" s="1"/>
  <c r="AS320" s="1"/>
  <c r="D322"/>
  <c r="AP322" s="1"/>
  <c r="AS322" s="1"/>
  <c r="D323"/>
  <c r="AP323" s="1"/>
  <c r="AS323" s="1"/>
  <c r="D324"/>
  <c r="AP324" s="1"/>
  <c r="AS324" s="1"/>
  <c r="D325"/>
  <c r="AP325" s="1"/>
  <c r="AS325" s="1"/>
  <c r="D326"/>
  <c r="AP326" s="1"/>
  <c r="AS326" s="1"/>
  <c r="D327"/>
  <c r="AP327" s="1"/>
  <c r="AS327" s="1"/>
  <c r="D328"/>
  <c r="AP328" s="1"/>
  <c r="AS328" s="1"/>
  <c r="D329"/>
  <c r="AP329" s="1"/>
  <c r="AS329" s="1"/>
  <c r="D330"/>
  <c r="AP330" s="1"/>
  <c r="AS330" s="1"/>
  <c r="D331"/>
  <c r="AP331" s="1"/>
  <c r="AS331" s="1"/>
  <c r="D332"/>
  <c r="AP332" s="1"/>
  <c r="AS332" s="1"/>
  <c r="D334"/>
  <c r="AP334" s="1"/>
  <c r="AS334" s="1"/>
  <c r="D335"/>
  <c r="AP335" s="1"/>
  <c r="AS335" s="1"/>
  <c r="D336"/>
  <c r="AP336" s="1"/>
  <c r="AS336" s="1"/>
  <c r="D337"/>
  <c r="AP337" s="1"/>
  <c r="AS337" s="1"/>
  <c r="D338"/>
  <c r="AP338" s="1"/>
  <c r="AS338" s="1"/>
  <c r="D339"/>
  <c r="AP339" s="1"/>
  <c r="AS339" s="1"/>
  <c r="D340"/>
  <c r="AP340" s="1"/>
  <c r="AS340" s="1"/>
  <c r="D341"/>
  <c r="AP341" s="1"/>
  <c r="AS341" s="1"/>
  <c r="D342"/>
  <c r="AP342" s="1"/>
  <c r="AS342" s="1"/>
  <c r="D343"/>
  <c r="AP343" s="1"/>
  <c r="AS343" s="1"/>
  <c r="D344"/>
  <c r="AP344" s="1"/>
  <c r="AS344" s="1"/>
  <c r="D346"/>
  <c r="AP346" s="1"/>
  <c r="AS346" s="1"/>
  <c r="D347"/>
  <c r="AP347" s="1"/>
  <c r="AS347" s="1"/>
  <c r="D348"/>
  <c r="AP348" s="1"/>
  <c r="AS348" s="1"/>
  <c r="D349"/>
  <c r="AP349" s="1"/>
  <c r="AS349" s="1"/>
  <c r="D350"/>
  <c r="AP350" s="1"/>
  <c r="AS350" s="1"/>
  <c r="D351"/>
  <c r="AP351" s="1"/>
  <c r="AS351" s="1"/>
  <c r="D352"/>
  <c r="AP352" s="1"/>
  <c r="AS352" s="1"/>
  <c r="D353"/>
  <c r="AP353" s="1"/>
  <c r="AS353" s="1"/>
  <c r="D354"/>
  <c r="AP354" s="1"/>
  <c r="AS354" s="1"/>
  <c r="D355"/>
  <c r="AP355" s="1"/>
  <c r="AS355" s="1"/>
  <c r="D357"/>
  <c r="AP357" s="1"/>
  <c r="AS357" s="1"/>
  <c r="D358"/>
  <c r="AP358" s="1"/>
  <c r="AS358" s="1"/>
  <c r="D359"/>
  <c r="AP359" s="1"/>
  <c r="AS359" s="1"/>
  <c r="D360"/>
  <c r="AP360" s="1"/>
  <c r="AS360" s="1"/>
  <c r="D361"/>
  <c r="AP361" s="1"/>
  <c r="AS361" s="1"/>
  <c r="D362"/>
  <c r="AP362" s="1"/>
  <c r="AS362" s="1"/>
  <c r="D363"/>
  <c r="AP363" s="1"/>
  <c r="AS363" s="1"/>
  <c r="D364"/>
  <c r="AP364" s="1"/>
  <c r="AS364" s="1"/>
  <c r="D365"/>
  <c r="AP365" s="1"/>
  <c r="AS365" s="1"/>
  <c r="D366"/>
  <c r="AP366" s="1"/>
  <c r="AS366" s="1"/>
  <c r="D367"/>
  <c r="AP367" s="1"/>
  <c r="AS367" s="1"/>
  <c r="AW367" s="1"/>
  <c r="AY367" s="1"/>
  <c r="BA367" s="1"/>
  <c r="D368"/>
  <c r="AP368" s="1"/>
  <c r="AS368" s="1"/>
  <c r="D47"/>
  <c r="AP47" s="1"/>
  <c r="AS47" s="1"/>
  <c r="D19"/>
  <c r="AP19" s="1"/>
  <c r="AS19" s="1"/>
  <c r="D20"/>
  <c r="AP20" s="1"/>
  <c r="AS20" s="1"/>
  <c r="D21"/>
  <c r="AP21" s="1"/>
  <c r="AS21" s="1"/>
  <c r="D22"/>
  <c r="AP22" s="1"/>
  <c r="AS22" s="1"/>
  <c r="D23"/>
  <c r="AP23" s="1"/>
  <c r="AS23" s="1"/>
  <c r="D24"/>
  <c r="AP24" s="1"/>
  <c r="AS24" s="1"/>
  <c r="D25"/>
  <c r="AP25" s="1"/>
  <c r="AS25" s="1"/>
  <c r="D26"/>
  <c r="AP26" s="1"/>
  <c r="AS26" s="1"/>
  <c r="D27"/>
  <c r="AP27" s="1"/>
  <c r="AS27" s="1"/>
  <c r="D28"/>
  <c r="AP28" s="1"/>
  <c r="AS28" s="1"/>
  <c r="D29"/>
  <c r="AP29" s="1"/>
  <c r="AS29" s="1"/>
  <c r="D30"/>
  <c r="AP30" s="1"/>
  <c r="AS30" s="1"/>
  <c r="D31"/>
  <c r="AP31" s="1"/>
  <c r="AS31" s="1"/>
  <c r="D32"/>
  <c r="AP32" s="1"/>
  <c r="AS32" s="1"/>
  <c r="D33"/>
  <c r="AP33" s="1"/>
  <c r="AS33" s="1"/>
  <c r="D34"/>
  <c r="AP34" s="1"/>
  <c r="AS34" s="1"/>
  <c r="D35"/>
  <c r="AP35" s="1"/>
  <c r="AS35" s="1"/>
  <c r="D36"/>
  <c r="AP36" s="1"/>
  <c r="AS36" s="1"/>
  <c r="D37"/>
  <c r="AP37" s="1"/>
  <c r="AS37" s="1"/>
  <c r="D38"/>
  <c r="AP38" s="1"/>
  <c r="AS38" s="1"/>
  <c r="D39"/>
  <c r="AP39" s="1"/>
  <c r="AS39" s="1"/>
  <c r="D40"/>
  <c r="AP40" s="1"/>
  <c r="AS40" s="1"/>
  <c r="D41"/>
  <c r="AP41" s="1"/>
  <c r="AS41" s="1"/>
  <c r="D42"/>
  <c r="AP42" s="1"/>
  <c r="AS42" s="1"/>
  <c r="D43"/>
  <c r="AP43" s="1"/>
  <c r="AS43" s="1"/>
  <c r="D44"/>
  <c r="AP44" s="1"/>
  <c r="AS44" s="1"/>
  <c r="D18"/>
  <c r="AP18" s="1"/>
  <c r="AS18" s="1"/>
  <c r="D8"/>
  <c r="AP8" s="1"/>
  <c r="AS8" s="1"/>
  <c r="D9"/>
  <c r="AP9" s="1"/>
  <c r="AS9" s="1"/>
  <c r="D10"/>
  <c r="AP10" s="1"/>
  <c r="AS10" s="1"/>
  <c r="D11"/>
  <c r="AP11" s="1"/>
  <c r="AS11" s="1"/>
  <c r="D12"/>
  <c r="AP12" s="1"/>
  <c r="AS12" s="1"/>
  <c r="D13"/>
  <c r="AP13" s="1"/>
  <c r="AS13" s="1"/>
  <c r="D14"/>
  <c r="AP14" s="1"/>
  <c r="AS14" s="1"/>
  <c r="D15"/>
  <c r="AP15" s="1"/>
  <c r="AS15" s="1"/>
  <c r="D16"/>
  <c r="AP16" s="1"/>
  <c r="AS16" s="1"/>
  <c r="D7"/>
  <c r="AP7" s="1"/>
  <c r="AS7" s="1"/>
  <c r="AT43" l="1"/>
  <c r="AW43"/>
  <c r="AY43" s="1"/>
  <c r="BA43" s="1"/>
  <c r="AT41"/>
  <c r="AW41"/>
  <c r="AY41" s="1"/>
  <c r="BA41" s="1"/>
  <c r="AT39"/>
  <c r="AW39"/>
  <c r="AY39" s="1"/>
  <c r="BA39" s="1"/>
  <c r="AT37"/>
  <c r="AW37"/>
  <c r="AY37" s="1"/>
  <c r="BA37" s="1"/>
  <c r="AT35"/>
  <c r="AW35"/>
  <c r="AY35" s="1"/>
  <c r="BA35" s="1"/>
  <c r="AT33"/>
  <c r="AW33"/>
  <c r="AY33" s="1"/>
  <c r="BA33" s="1"/>
  <c r="AT31"/>
  <c r="AW31"/>
  <c r="AY31" s="1"/>
  <c r="BA31" s="1"/>
  <c r="AT29"/>
  <c r="AW29"/>
  <c r="AY29" s="1"/>
  <c r="BA29" s="1"/>
  <c r="AT27"/>
  <c r="AW27"/>
  <c r="AY27" s="1"/>
  <c r="BA27" s="1"/>
  <c r="AT25"/>
  <c r="AW25"/>
  <c r="AY25" s="1"/>
  <c r="BA25" s="1"/>
  <c r="AT23"/>
  <c r="AW23"/>
  <c r="AY23" s="1"/>
  <c r="BA23" s="1"/>
  <c r="AT21"/>
  <c r="AW21"/>
  <c r="AY21" s="1"/>
  <c r="BA21" s="1"/>
  <c r="AT19"/>
  <c r="AW19"/>
  <c r="AY19" s="1"/>
  <c r="BA19" s="1"/>
  <c r="AT42"/>
  <c r="AW42"/>
  <c r="AY42" s="1"/>
  <c r="BA42" s="1"/>
  <c r="AT40"/>
  <c r="AW40"/>
  <c r="AY40" s="1"/>
  <c r="BA40" s="1"/>
  <c r="AT38"/>
  <c r="AW38"/>
  <c r="AY38" s="1"/>
  <c r="BA38" s="1"/>
  <c r="AT36"/>
  <c r="AW36"/>
  <c r="AY36" s="1"/>
  <c r="BA36" s="1"/>
  <c r="AT34"/>
  <c r="AW34"/>
  <c r="AY34" s="1"/>
  <c r="BA34" s="1"/>
  <c r="AT32"/>
  <c r="AW32"/>
  <c r="AY32" s="1"/>
  <c r="BA32" s="1"/>
  <c r="AT30"/>
  <c r="AW30"/>
  <c r="AY30" s="1"/>
  <c r="BA30" s="1"/>
  <c r="AT28"/>
  <c r="AW28"/>
  <c r="AY28" s="1"/>
  <c r="BA28" s="1"/>
  <c r="AT26"/>
  <c r="AW26"/>
  <c r="AY26" s="1"/>
  <c r="BA26" s="1"/>
  <c r="AT24"/>
  <c r="AW24"/>
  <c r="AY24" s="1"/>
  <c r="BA24" s="1"/>
  <c r="AT22"/>
  <c r="AW22"/>
  <c r="AY22" s="1"/>
  <c r="BA22" s="1"/>
  <c r="AT20"/>
  <c r="AW20"/>
  <c r="AY20" s="1"/>
  <c r="BA20" s="1"/>
  <c r="AT15"/>
  <c r="AW15"/>
  <c r="AY15" s="1"/>
  <c r="BA15" s="1"/>
  <c r="AT11"/>
  <c r="AW11"/>
  <c r="AY11" s="1"/>
  <c r="BA11" s="1"/>
  <c r="AT9"/>
  <c r="AW9"/>
  <c r="AY9" s="1"/>
  <c r="BA9" s="1"/>
  <c r="AW16"/>
  <c r="AY16" s="1"/>
  <c r="BA16" s="1"/>
  <c r="AT16"/>
  <c r="AT14"/>
  <c r="AW14"/>
  <c r="AY14" s="1"/>
  <c r="BA14" s="1"/>
  <c r="AT12"/>
  <c r="AW12"/>
  <c r="AY12" s="1"/>
  <c r="BA12" s="1"/>
  <c r="AT10"/>
  <c r="AW10"/>
  <c r="AY10" s="1"/>
  <c r="BA10" s="1"/>
  <c r="AT8"/>
  <c r="AW8"/>
  <c r="AY8" s="1"/>
  <c r="BA8" s="1"/>
  <c r="AW44"/>
  <c r="AY44" s="1"/>
  <c r="BA44" s="1"/>
  <c r="AT44"/>
  <c r="AT367"/>
  <c r="AW7"/>
  <c r="AT7"/>
  <c r="AT13"/>
  <c r="AW13"/>
  <c r="AY13" s="1"/>
  <c r="BA13" s="1"/>
  <c r="AW18"/>
  <c r="AT18"/>
  <c r="AW368"/>
  <c r="AY368" s="1"/>
  <c r="BA368" s="1"/>
  <c r="AT368"/>
  <c r="AW364"/>
  <c r="AY364" s="1"/>
  <c r="BA364" s="1"/>
  <c r="AT364"/>
  <c r="AW360"/>
  <c r="AY360" s="1"/>
  <c r="BA360" s="1"/>
  <c r="AT360"/>
  <c r="AW355"/>
  <c r="AY355" s="1"/>
  <c r="BA355" s="1"/>
  <c r="AT355"/>
  <c r="AW351"/>
  <c r="AY351" s="1"/>
  <c r="BA351" s="1"/>
  <c r="AT351"/>
  <c r="AW347"/>
  <c r="AY347" s="1"/>
  <c r="BA347" s="1"/>
  <c r="AT347"/>
  <c r="AW342"/>
  <c r="AY342" s="1"/>
  <c r="BA342" s="1"/>
  <c r="AT342"/>
  <c r="AW340"/>
  <c r="AY340" s="1"/>
  <c r="BA340" s="1"/>
  <c r="AT340"/>
  <c r="AW336"/>
  <c r="AY336" s="1"/>
  <c r="BA336" s="1"/>
  <c r="AT336"/>
  <c r="AW331"/>
  <c r="AY331" s="1"/>
  <c r="BA331" s="1"/>
  <c r="AT331"/>
  <c r="AW327"/>
  <c r="AY327" s="1"/>
  <c r="BA327" s="1"/>
  <c r="AT327"/>
  <c r="AW323"/>
  <c r="AY323" s="1"/>
  <c r="BA323" s="1"/>
  <c r="AT323"/>
  <c r="AW316"/>
  <c r="AY316" s="1"/>
  <c r="BA316" s="1"/>
  <c r="AT316"/>
  <c r="AW312"/>
  <c r="AY312" s="1"/>
  <c r="BA312" s="1"/>
  <c r="AT312"/>
  <c r="AW308"/>
  <c r="AY308" s="1"/>
  <c r="BA308" s="1"/>
  <c r="AT308"/>
  <c r="AW301"/>
  <c r="AY301" s="1"/>
  <c r="BA301" s="1"/>
  <c r="AT301"/>
  <c r="AW299"/>
  <c r="AY299" s="1"/>
  <c r="BA299" s="1"/>
  <c r="AT299"/>
  <c r="AW295"/>
  <c r="AY295" s="1"/>
  <c r="BA295" s="1"/>
  <c r="AT295"/>
  <c r="AW291"/>
  <c r="AY291" s="1"/>
  <c r="BA291" s="1"/>
  <c r="AT291"/>
  <c r="AW285"/>
  <c r="AY285" s="1"/>
  <c r="BA285" s="1"/>
  <c r="AT285"/>
  <c r="AW283"/>
  <c r="AY283" s="1"/>
  <c r="BA283" s="1"/>
  <c r="AT283"/>
  <c r="AW278"/>
  <c r="AY278" s="1"/>
  <c r="BA278" s="1"/>
  <c r="AT278"/>
  <c r="AW274"/>
  <c r="AY274" s="1"/>
  <c r="BA274" s="1"/>
  <c r="AT274"/>
  <c r="AW270"/>
  <c r="AY270" s="1"/>
  <c r="BA270" s="1"/>
  <c r="AT270"/>
  <c r="AW266"/>
  <c r="AY266" s="1"/>
  <c r="BA266" s="1"/>
  <c r="AT266"/>
  <c r="AW261"/>
  <c r="AY261" s="1"/>
  <c r="BA261" s="1"/>
  <c r="AT261"/>
  <c r="AW257"/>
  <c r="AY257" s="1"/>
  <c r="BA257" s="1"/>
  <c r="AT257"/>
  <c r="AW252"/>
  <c r="AY252" s="1"/>
  <c r="BA252" s="1"/>
  <c r="AT252"/>
  <c r="AW248"/>
  <c r="AY248" s="1"/>
  <c r="BA248" s="1"/>
  <c r="AT248"/>
  <c r="AW244"/>
  <c r="AY244" s="1"/>
  <c r="BA244" s="1"/>
  <c r="AT244"/>
  <c r="AW237"/>
  <c r="AY237" s="1"/>
  <c r="BA237" s="1"/>
  <c r="AT237"/>
  <c r="AW233"/>
  <c r="AY233" s="1"/>
  <c r="BA233" s="1"/>
  <c r="AT233"/>
  <c r="AW231"/>
  <c r="AY231" s="1"/>
  <c r="BA231" s="1"/>
  <c r="AT231"/>
  <c r="AW226"/>
  <c r="AY226" s="1"/>
  <c r="BA226" s="1"/>
  <c r="AT226"/>
  <c r="AW220"/>
  <c r="AY220" s="1"/>
  <c r="BA220" s="1"/>
  <c r="AT220"/>
  <c r="AW47"/>
  <c r="AY47" s="1"/>
  <c r="BA47" s="1"/>
  <c r="AT47"/>
  <c r="AW365"/>
  <c r="AY365" s="1"/>
  <c r="BA365" s="1"/>
  <c r="AT365"/>
  <c r="AW363"/>
  <c r="AY363" s="1"/>
  <c r="BA363" s="1"/>
  <c r="AT363"/>
  <c r="AW361"/>
  <c r="AY361" s="1"/>
  <c r="BA361" s="1"/>
  <c r="AT361"/>
  <c r="AW359"/>
  <c r="AY359" s="1"/>
  <c r="BA359" s="1"/>
  <c r="AT359"/>
  <c r="AW357"/>
  <c r="AY357" s="1"/>
  <c r="BA357" s="1"/>
  <c r="AT357"/>
  <c r="AW354"/>
  <c r="AY354" s="1"/>
  <c r="BA354" s="1"/>
  <c r="AT354"/>
  <c r="AW352"/>
  <c r="AY352" s="1"/>
  <c r="BA352" s="1"/>
  <c r="AT352"/>
  <c r="AW350"/>
  <c r="AY350" s="1"/>
  <c r="BA350" s="1"/>
  <c r="AT350"/>
  <c r="AW348"/>
  <c r="AY348" s="1"/>
  <c r="BA348" s="1"/>
  <c r="AT348"/>
  <c r="AW346"/>
  <c r="AY346" s="1"/>
  <c r="BA346" s="1"/>
  <c r="AT346"/>
  <c r="AW343"/>
  <c r="AY343" s="1"/>
  <c r="BA343" s="1"/>
  <c r="AT343"/>
  <c r="AW341"/>
  <c r="AY341" s="1"/>
  <c r="BA341" s="1"/>
  <c r="AT341"/>
  <c r="AW339"/>
  <c r="AY339" s="1"/>
  <c r="BA339" s="1"/>
  <c r="AT339"/>
  <c r="AW337"/>
  <c r="AY337" s="1"/>
  <c r="BA337" s="1"/>
  <c r="AT337"/>
  <c r="AW335"/>
  <c r="AY335" s="1"/>
  <c r="BA335" s="1"/>
  <c r="AT335"/>
  <c r="AW332"/>
  <c r="AY332" s="1"/>
  <c r="BA332" s="1"/>
  <c r="AT332"/>
  <c r="AW330"/>
  <c r="AY330" s="1"/>
  <c r="BA330" s="1"/>
  <c r="AT330"/>
  <c r="AW328"/>
  <c r="AY328" s="1"/>
  <c r="BA328" s="1"/>
  <c r="AT328"/>
  <c r="AW326"/>
  <c r="AY326" s="1"/>
  <c r="BA326" s="1"/>
  <c r="AT326"/>
  <c r="AW324"/>
  <c r="AY324" s="1"/>
  <c r="BA324" s="1"/>
  <c r="AT324"/>
  <c r="AW322"/>
  <c r="AY322" s="1"/>
  <c r="BA322" s="1"/>
  <c r="AT322"/>
  <c r="AW319"/>
  <c r="AY319" s="1"/>
  <c r="BA319" s="1"/>
  <c r="AT319"/>
  <c r="AW317"/>
  <c r="AY317" s="1"/>
  <c r="BA317" s="1"/>
  <c r="AT317"/>
  <c r="AW315"/>
  <c r="AY315" s="1"/>
  <c r="BA315" s="1"/>
  <c r="AT315"/>
  <c r="AW313"/>
  <c r="AY313" s="1"/>
  <c r="BA313" s="1"/>
  <c r="AT313"/>
  <c r="AW311"/>
  <c r="AY311" s="1"/>
  <c r="BA311" s="1"/>
  <c r="AT311"/>
  <c r="AW309"/>
  <c r="AY309" s="1"/>
  <c r="BA309" s="1"/>
  <c r="AT309"/>
  <c r="AW307"/>
  <c r="AY307" s="1"/>
  <c r="BA307" s="1"/>
  <c r="AT307"/>
  <c r="AW304"/>
  <c r="AY304" s="1"/>
  <c r="BA304" s="1"/>
  <c r="AT304"/>
  <c r="AW302"/>
  <c r="AY302" s="1"/>
  <c r="BA302" s="1"/>
  <c r="AT302"/>
  <c r="AW300"/>
  <c r="AY300" s="1"/>
  <c r="BA300" s="1"/>
  <c r="AT300"/>
  <c r="AW298"/>
  <c r="AY298" s="1"/>
  <c r="BA298" s="1"/>
  <c r="AT298"/>
  <c r="AW296"/>
  <c r="AY296" s="1"/>
  <c r="BA296" s="1"/>
  <c r="AT296"/>
  <c r="AW294"/>
  <c r="AY294" s="1"/>
  <c r="BA294" s="1"/>
  <c r="AT294"/>
  <c r="AW292"/>
  <c r="AY292" s="1"/>
  <c r="BA292" s="1"/>
  <c r="AT292"/>
  <c r="AW290"/>
  <c r="AY290" s="1"/>
  <c r="BA290" s="1"/>
  <c r="AT290"/>
  <c r="AW288"/>
  <c r="AY288" s="1"/>
  <c r="BA288" s="1"/>
  <c r="AT288"/>
  <c r="AW286"/>
  <c r="AY286" s="1"/>
  <c r="BA286" s="1"/>
  <c r="AT286"/>
  <c r="AW284"/>
  <c r="AY284" s="1"/>
  <c r="BA284" s="1"/>
  <c r="AT284"/>
  <c r="AW282"/>
  <c r="AY282" s="1"/>
  <c r="BA282" s="1"/>
  <c r="AT282"/>
  <c r="AW279"/>
  <c r="AY279" s="1"/>
  <c r="BA279" s="1"/>
  <c r="AT279"/>
  <c r="AW277"/>
  <c r="AY277" s="1"/>
  <c r="BA277" s="1"/>
  <c r="AT277"/>
  <c r="AW275"/>
  <c r="AY275" s="1"/>
  <c r="BA275" s="1"/>
  <c r="AT275"/>
  <c r="AW273"/>
  <c r="AY273" s="1"/>
  <c r="BA273" s="1"/>
  <c r="AT273"/>
  <c r="AW271"/>
  <c r="AY271" s="1"/>
  <c r="BA271" s="1"/>
  <c r="AT271"/>
  <c r="AW269"/>
  <c r="AY269" s="1"/>
  <c r="BA269" s="1"/>
  <c r="AT269"/>
  <c r="AW267"/>
  <c r="AY267" s="1"/>
  <c r="BA267" s="1"/>
  <c r="AT267"/>
  <c r="AW265"/>
  <c r="AY265" s="1"/>
  <c r="BA265" s="1"/>
  <c r="AT265"/>
  <c r="AW263"/>
  <c r="AY263" s="1"/>
  <c r="BA263" s="1"/>
  <c r="AT263"/>
  <c r="AW260"/>
  <c r="AY260" s="1"/>
  <c r="BA260" s="1"/>
  <c r="AT260"/>
  <c r="AW258"/>
  <c r="AY258" s="1"/>
  <c r="BA258" s="1"/>
  <c r="AT258"/>
  <c r="AW256"/>
  <c r="AY256" s="1"/>
  <c r="BA256" s="1"/>
  <c r="AT256"/>
  <c r="AW253"/>
  <c r="AY253" s="1"/>
  <c r="BA253" s="1"/>
  <c r="AT253"/>
  <c r="AW251"/>
  <c r="AY251" s="1"/>
  <c r="BA251" s="1"/>
  <c r="AT251"/>
  <c r="AW249"/>
  <c r="AY249" s="1"/>
  <c r="BA249" s="1"/>
  <c r="AT249"/>
  <c r="AW247"/>
  <c r="AY247" s="1"/>
  <c r="BA247" s="1"/>
  <c r="AT247"/>
  <c r="AW245"/>
  <c r="AY245" s="1"/>
  <c r="BA245" s="1"/>
  <c r="AT245"/>
  <c r="AW243"/>
  <c r="AY243" s="1"/>
  <c r="BA243" s="1"/>
  <c r="AT243"/>
  <c r="AW241"/>
  <c r="AY241" s="1"/>
  <c r="BA241" s="1"/>
  <c r="AT241"/>
  <c r="AW239"/>
  <c r="AY239" s="1"/>
  <c r="BA239" s="1"/>
  <c r="AT239"/>
  <c r="AW236"/>
  <c r="AY236" s="1"/>
  <c r="BA236" s="1"/>
  <c r="AT236"/>
  <c r="AW234"/>
  <c r="AY234" s="1"/>
  <c r="BA234" s="1"/>
  <c r="AT234"/>
  <c r="AW232"/>
  <c r="AY232" s="1"/>
  <c r="BA232" s="1"/>
  <c r="AT232"/>
  <c r="AW230"/>
  <c r="AY230" s="1"/>
  <c r="BA230" s="1"/>
  <c r="AT230"/>
  <c r="AW227"/>
  <c r="AY227" s="1"/>
  <c r="BA227" s="1"/>
  <c r="AT227"/>
  <c r="AW225"/>
  <c r="AY225" s="1"/>
  <c r="BA225" s="1"/>
  <c r="AT225"/>
  <c r="AW223"/>
  <c r="AY223" s="1"/>
  <c r="BA223" s="1"/>
  <c r="AT223"/>
  <c r="AW221"/>
  <c r="AY221" s="1"/>
  <c r="BA221" s="1"/>
  <c r="AT221"/>
  <c r="AW218"/>
  <c r="AY218" s="1"/>
  <c r="BA218" s="1"/>
  <c r="AT218"/>
  <c r="AW216"/>
  <c r="AY216" s="1"/>
  <c r="BA216" s="1"/>
  <c r="AT216"/>
  <c r="AW214"/>
  <c r="AY214" s="1"/>
  <c r="BA214" s="1"/>
  <c r="AT214"/>
  <c r="AW212"/>
  <c r="AY212" s="1"/>
  <c r="BA212" s="1"/>
  <c r="AT212"/>
  <c r="AW210"/>
  <c r="AY210" s="1"/>
  <c r="BA210" s="1"/>
  <c r="AT210"/>
  <c r="AW208"/>
  <c r="AY208" s="1"/>
  <c r="BA208" s="1"/>
  <c r="AT208"/>
  <c r="AW206"/>
  <c r="AY206" s="1"/>
  <c r="BA206" s="1"/>
  <c r="AT206"/>
  <c r="AW203"/>
  <c r="AY203" s="1"/>
  <c r="BA203" s="1"/>
  <c r="AT203"/>
  <c r="AW201"/>
  <c r="AY201" s="1"/>
  <c r="BA201" s="1"/>
  <c r="AT201"/>
  <c r="AW199"/>
  <c r="AY199" s="1"/>
  <c r="BA199" s="1"/>
  <c r="AT199"/>
  <c r="AW197"/>
  <c r="AY197" s="1"/>
  <c r="BA197" s="1"/>
  <c r="AT197"/>
  <c r="AW195"/>
  <c r="AY195" s="1"/>
  <c r="BA195" s="1"/>
  <c r="AT195"/>
  <c r="AW193"/>
  <c r="AY193" s="1"/>
  <c r="BA193" s="1"/>
  <c r="AT193"/>
  <c r="AW190"/>
  <c r="AY190" s="1"/>
  <c r="BA190" s="1"/>
  <c r="AT190"/>
  <c r="AW188"/>
  <c r="AY188" s="1"/>
  <c r="BA188" s="1"/>
  <c r="AT188"/>
  <c r="AW186"/>
  <c r="AY186" s="1"/>
  <c r="BA186" s="1"/>
  <c r="AT186"/>
  <c r="AW184"/>
  <c r="AY184" s="1"/>
  <c r="BA184" s="1"/>
  <c r="AT184"/>
  <c r="AW182"/>
  <c r="AY182" s="1"/>
  <c r="BA182" s="1"/>
  <c r="AT182"/>
  <c r="AW180"/>
  <c r="AY180" s="1"/>
  <c r="BA180" s="1"/>
  <c r="AT180"/>
  <c r="AW177"/>
  <c r="AY177" s="1"/>
  <c r="BA177" s="1"/>
  <c r="AT177"/>
  <c r="AW175"/>
  <c r="AY175" s="1"/>
  <c r="BA175" s="1"/>
  <c r="AT175"/>
  <c r="AW173"/>
  <c r="AY173" s="1"/>
  <c r="BA173" s="1"/>
  <c r="AT173"/>
  <c r="AW170"/>
  <c r="AY170" s="1"/>
  <c r="BA170" s="1"/>
  <c r="AT170"/>
  <c r="AW168"/>
  <c r="AY168" s="1"/>
  <c r="BA168" s="1"/>
  <c r="AT168"/>
  <c r="AW166"/>
  <c r="AY166" s="1"/>
  <c r="BA166" s="1"/>
  <c r="AT166"/>
  <c r="AW164"/>
  <c r="AY164" s="1"/>
  <c r="BA164" s="1"/>
  <c r="AT164"/>
  <c r="AW162"/>
  <c r="AY162" s="1"/>
  <c r="BA162" s="1"/>
  <c r="AT162"/>
  <c r="AW160"/>
  <c r="AY160" s="1"/>
  <c r="BA160" s="1"/>
  <c r="AT160"/>
  <c r="AW158"/>
  <c r="AY158" s="1"/>
  <c r="BA158" s="1"/>
  <c r="AT158"/>
  <c r="AW155"/>
  <c r="AY155" s="1"/>
  <c r="BA155" s="1"/>
  <c r="AT155"/>
  <c r="AW153"/>
  <c r="AY153" s="1"/>
  <c r="BA153" s="1"/>
  <c r="AT153"/>
  <c r="AW151"/>
  <c r="AY151" s="1"/>
  <c r="BA151" s="1"/>
  <c r="AT151"/>
  <c r="AW149"/>
  <c r="AY149" s="1"/>
  <c r="BA149" s="1"/>
  <c r="AT149"/>
  <c r="AW147"/>
  <c r="AY147" s="1"/>
  <c r="BA147" s="1"/>
  <c r="AT147"/>
  <c r="AW145"/>
  <c r="AY145" s="1"/>
  <c r="BA145" s="1"/>
  <c r="AT145"/>
  <c r="AW142"/>
  <c r="AY142" s="1"/>
  <c r="BA142" s="1"/>
  <c r="AT142"/>
  <c r="AW140"/>
  <c r="AY140" s="1"/>
  <c r="BA140" s="1"/>
  <c r="AT140"/>
  <c r="AW138"/>
  <c r="AY138" s="1"/>
  <c r="BA138" s="1"/>
  <c r="AT138"/>
  <c r="AW135"/>
  <c r="AY135" s="1"/>
  <c r="BA135" s="1"/>
  <c r="AT135"/>
  <c r="AW133"/>
  <c r="AY133" s="1"/>
  <c r="BA133" s="1"/>
  <c r="AT133"/>
  <c r="AW131"/>
  <c r="AY131" s="1"/>
  <c r="BA131" s="1"/>
  <c r="AT131"/>
  <c r="AW129"/>
  <c r="AY129" s="1"/>
  <c r="BA129" s="1"/>
  <c r="AT129"/>
  <c r="AW126"/>
  <c r="AY126" s="1"/>
  <c r="BA126" s="1"/>
  <c r="AT126"/>
  <c r="AW124"/>
  <c r="AY124" s="1"/>
  <c r="BA124" s="1"/>
  <c r="AT124"/>
  <c r="AW122"/>
  <c r="AY122" s="1"/>
  <c r="BA122" s="1"/>
  <c r="AT122"/>
  <c r="AW119"/>
  <c r="AY119" s="1"/>
  <c r="BA119" s="1"/>
  <c r="AT119"/>
  <c r="AW117"/>
  <c r="AY117" s="1"/>
  <c r="BA117" s="1"/>
  <c r="AT117"/>
  <c r="AW115"/>
  <c r="AY115" s="1"/>
  <c r="BA115" s="1"/>
  <c r="AT115"/>
  <c r="AW113"/>
  <c r="AY113" s="1"/>
  <c r="BA113" s="1"/>
  <c r="AT113"/>
  <c r="AW111"/>
  <c r="AY111" s="1"/>
  <c r="BA111" s="1"/>
  <c r="AT111"/>
  <c r="AT109"/>
  <c r="AW109"/>
  <c r="AY109" s="1"/>
  <c r="BA109" s="1"/>
  <c r="AT107"/>
  <c r="AW107"/>
  <c r="AY107" s="1"/>
  <c r="BA107" s="1"/>
  <c r="AT105"/>
  <c r="AW105"/>
  <c r="AY105" s="1"/>
  <c r="BA105" s="1"/>
  <c r="AT102"/>
  <c r="AW102"/>
  <c r="AY102" s="1"/>
  <c r="BA102" s="1"/>
  <c r="AT100"/>
  <c r="AW100"/>
  <c r="AY100" s="1"/>
  <c r="BA100" s="1"/>
  <c r="AT98"/>
  <c r="AW98"/>
  <c r="AY98" s="1"/>
  <c r="BA98" s="1"/>
  <c r="AT96"/>
  <c r="AW96"/>
  <c r="AY96" s="1"/>
  <c r="BA96" s="1"/>
  <c r="AT94"/>
  <c r="AW94"/>
  <c r="AY94" s="1"/>
  <c r="BA94" s="1"/>
  <c r="AT92"/>
  <c r="AW92"/>
  <c r="AY92" s="1"/>
  <c r="BA92" s="1"/>
  <c r="AT89"/>
  <c r="AW89"/>
  <c r="AY89" s="1"/>
  <c r="BA89" s="1"/>
  <c r="AT87"/>
  <c r="AW87"/>
  <c r="AY87" s="1"/>
  <c r="BA87" s="1"/>
  <c r="AT85"/>
  <c r="AW85"/>
  <c r="AY85" s="1"/>
  <c r="BA85" s="1"/>
  <c r="AT83"/>
  <c r="AW83"/>
  <c r="AY83" s="1"/>
  <c r="BA83" s="1"/>
  <c r="AT81"/>
  <c r="AW81"/>
  <c r="AY81" s="1"/>
  <c r="BA81" s="1"/>
  <c r="AT78"/>
  <c r="AW78"/>
  <c r="AY78" s="1"/>
  <c r="BA78" s="1"/>
  <c r="AT76"/>
  <c r="AW76"/>
  <c r="AY76" s="1"/>
  <c r="BA76" s="1"/>
  <c r="AT74"/>
  <c r="AW74"/>
  <c r="AY74" s="1"/>
  <c r="BA74" s="1"/>
  <c r="AT72"/>
  <c r="AW72"/>
  <c r="AY72" s="1"/>
  <c r="BA72" s="1"/>
  <c r="AT69"/>
  <c r="AW69"/>
  <c r="AY69" s="1"/>
  <c r="BA69" s="1"/>
  <c r="AT67"/>
  <c r="AW67"/>
  <c r="AY67" s="1"/>
  <c r="BA67" s="1"/>
  <c r="AT64"/>
  <c r="AW64"/>
  <c r="AY64" s="1"/>
  <c r="BA64" s="1"/>
  <c r="AT62"/>
  <c r="AW62"/>
  <c r="AY62" s="1"/>
  <c r="BA62" s="1"/>
  <c r="AT60"/>
  <c r="AW60"/>
  <c r="AY60" s="1"/>
  <c r="BA60" s="1"/>
  <c r="AT58"/>
  <c r="AW58"/>
  <c r="AY58" s="1"/>
  <c r="BA58" s="1"/>
  <c r="AT56"/>
  <c r="AW56"/>
  <c r="AY56" s="1"/>
  <c r="BA56" s="1"/>
  <c r="AT54"/>
  <c r="AW54"/>
  <c r="AY54" s="1"/>
  <c r="BA54" s="1"/>
  <c r="AT51"/>
  <c r="AW51"/>
  <c r="AY51" s="1"/>
  <c r="BA51" s="1"/>
  <c r="AT49"/>
  <c r="AW49"/>
  <c r="AY49" s="1"/>
  <c r="BA49" s="1"/>
  <c r="AW366"/>
  <c r="AY366" s="1"/>
  <c r="BA366" s="1"/>
  <c r="AT366"/>
  <c r="AW362"/>
  <c r="AY362" s="1"/>
  <c r="BA362" s="1"/>
  <c r="AT362"/>
  <c r="AW358"/>
  <c r="AY358" s="1"/>
  <c r="BA358" s="1"/>
  <c r="AT358"/>
  <c r="AW353"/>
  <c r="AY353" s="1"/>
  <c r="BA353" s="1"/>
  <c r="AT353"/>
  <c r="AW349"/>
  <c r="AY349" s="1"/>
  <c r="BA349" s="1"/>
  <c r="AT349"/>
  <c r="AW344"/>
  <c r="AY344" s="1"/>
  <c r="BA344" s="1"/>
  <c r="AT344"/>
  <c r="AW338"/>
  <c r="AY338" s="1"/>
  <c r="BA338" s="1"/>
  <c r="AT338"/>
  <c r="AW334"/>
  <c r="AY334" s="1"/>
  <c r="BA334" s="1"/>
  <c r="AT334"/>
  <c r="AW329"/>
  <c r="AY329" s="1"/>
  <c r="BA329" s="1"/>
  <c r="AT329"/>
  <c r="AW325"/>
  <c r="AY325" s="1"/>
  <c r="BA325" s="1"/>
  <c r="AT325"/>
  <c r="AW320"/>
  <c r="AY320" s="1"/>
  <c r="BA320" s="1"/>
  <c r="AT320"/>
  <c r="AW318"/>
  <c r="AY318" s="1"/>
  <c r="BA318" s="1"/>
  <c r="AT318"/>
  <c r="AW314"/>
  <c r="AY314" s="1"/>
  <c r="BA314" s="1"/>
  <c r="AT314"/>
  <c r="AW310"/>
  <c r="AY310" s="1"/>
  <c r="BA310" s="1"/>
  <c r="AT310"/>
  <c r="AW306"/>
  <c r="AY306" s="1"/>
  <c r="BA306" s="1"/>
  <c r="AT306"/>
  <c r="AW303"/>
  <c r="AY303" s="1"/>
  <c r="BA303" s="1"/>
  <c r="AT303"/>
  <c r="AW297"/>
  <c r="AY297" s="1"/>
  <c r="BA297" s="1"/>
  <c r="AT297"/>
  <c r="AW293"/>
  <c r="AY293" s="1"/>
  <c r="BA293" s="1"/>
  <c r="AT293"/>
  <c r="AW289"/>
  <c r="AY289" s="1"/>
  <c r="BA289" s="1"/>
  <c r="AT289"/>
  <c r="AW287"/>
  <c r="AY287" s="1"/>
  <c r="BA287" s="1"/>
  <c r="AT287"/>
  <c r="AW281"/>
  <c r="AY281" s="1"/>
  <c r="BA281" s="1"/>
  <c r="AT281"/>
  <c r="AW276"/>
  <c r="AY276" s="1"/>
  <c r="BA276" s="1"/>
  <c r="AT276"/>
  <c r="AW272"/>
  <c r="AY272" s="1"/>
  <c r="BA272" s="1"/>
  <c r="AT272"/>
  <c r="AW268"/>
  <c r="AY268" s="1"/>
  <c r="BA268" s="1"/>
  <c r="AT268"/>
  <c r="AW264"/>
  <c r="AY264" s="1"/>
  <c r="BA264" s="1"/>
  <c r="AT264"/>
  <c r="AW259"/>
  <c r="AY259" s="1"/>
  <c r="BA259" s="1"/>
  <c r="AT259"/>
  <c r="AW255"/>
  <c r="AY255" s="1"/>
  <c r="BA255" s="1"/>
  <c r="AT255"/>
  <c r="AW250"/>
  <c r="AY250" s="1"/>
  <c r="BA250" s="1"/>
  <c r="AT250"/>
  <c r="AW246"/>
  <c r="AY246" s="1"/>
  <c r="BA246" s="1"/>
  <c r="AT246"/>
  <c r="AW242"/>
  <c r="AY242" s="1"/>
  <c r="BA242" s="1"/>
  <c r="AT242"/>
  <c r="AW240"/>
  <c r="AY240" s="1"/>
  <c r="BA240" s="1"/>
  <c r="AT240"/>
  <c r="AW235"/>
  <c r="AY235" s="1"/>
  <c r="BA235" s="1"/>
  <c r="AT235"/>
  <c r="AW228"/>
  <c r="AY228" s="1"/>
  <c r="BA228" s="1"/>
  <c r="AT228"/>
  <c r="AW224"/>
  <c r="AY224" s="1"/>
  <c r="BA224" s="1"/>
  <c r="AT224"/>
  <c r="AW222"/>
  <c r="AY222" s="1"/>
  <c r="BA222" s="1"/>
  <c r="AT222"/>
  <c r="AW217"/>
  <c r="AY217" s="1"/>
  <c r="BA217" s="1"/>
  <c r="AT217"/>
  <c r="AW215"/>
  <c r="AY215" s="1"/>
  <c r="BA215" s="1"/>
  <c r="AT215"/>
  <c r="AW213"/>
  <c r="AY213" s="1"/>
  <c r="BA213" s="1"/>
  <c r="AT213"/>
  <c r="AW211"/>
  <c r="AY211" s="1"/>
  <c r="BA211" s="1"/>
  <c r="AT211"/>
  <c r="AW209"/>
  <c r="AY209" s="1"/>
  <c r="BA209" s="1"/>
  <c r="AT209"/>
  <c r="AW207"/>
  <c r="AY207" s="1"/>
  <c r="BA207" s="1"/>
  <c r="AT207"/>
  <c r="AW204"/>
  <c r="AY204" s="1"/>
  <c r="BA204" s="1"/>
  <c r="AT204"/>
  <c r="AW202"/>
  <c r="AY202" s="1"/>
  <c r="BA202" s="1"/>
  <c r="AT202"/>
  <c r="AW200"/>
  <c r="AY200" s="1"/>
  <c r="BA200" s="1"/>
  <c r="AT200"/>
  <c r="AW198"/>
  <c r="AY198" s="1"/>
  <c r="BA198" s="1"/>
  <c r="AT198"/>
  <c r="AW196"/>
  <c r="AY196" s="1"/>
  <c r="BA196" s="1"/>
  <c r="AT196"/>
  <c r="AW194"/>
  <c r="AY194" s="1"/>
  <c r="BA194" s="1"/>
  <c r="AT194"/>
  <c r="AW191"/>
  <c r="AY191" s="1"/>
  <c r="BA191" s="1"/>
  <c r="AT191"/>
  <c r="AW189"/>
  <c r="AY189" s="1"/>
  <c r="BA189" s="1"/>
  <c r="AT189"/>
  <c r="AW187"/>
  <c r="AY187" s="1"/>
  <c r="BA187" s="1"/>
  <c r="AT187"/>
  <c r="AW185"/>
  <c r="AY185" s="1"/>
  <c r="BA185" s="1"/>
  <c r="AT185"/>
  <c r="AW183"/>
  <c r="AY183" s="1"/>
  <c r="BA183" s="1"/>
  <c r="AT183"/>
  <c r="AW181"/>
  <c r="AY181" s="1"/>
  <c r="BA181" s="1"/>
  <c r="AT181"/>
  <c r="AW179"/>
  <c r="AY179" s="1"/>
  <c r="BA179" s="1"/>
  <c r="AT179"/>
  <c r="AW176"/>
  <c r="AY176" s="1"/>
  <c r="BA176" s="1"/>
  <c r="AT176"/>
  <c r="AW174"/>
  <c r="AY174" s="1"/>
  <c r="BA174" s="1"/>
  <c r="AT174"/>
  <c r="AW172"/>
  <c r="AY172" s="1"/>
  <c r="BA172" s="1"/>
  <c r="AT172"/>
  <c r="AW169"/>
  <c r="AY169" s="1"/>
  <c r="BA169" s="1"/>
  <c r="AT169"/>
  <c r="AW167"/>
  <c r="AY167" s="1"/>
  <c r="BA167" s="1"/>
  <c r="AT167"/>
  <c r="AW165"/>
  <c r="AY165" s="1"/>
  <c r="BA165" s="1"/>
  <c r="AT165"/>
  <c r="AW163"/>
  <c r="AY163" s="1"/>
  <c r="BA163" s="1"/>
  <c r="AT163"/>
  <c r="AW161"/>
  <c r="AY161" s="1"/>
  <c r="BA161" s="1"/>
  <c r="AT161"/>
  <c r="AW159"/>
  <c r="AY159" s="1"/>
  <c r="BA159" s="1"/>
  <c r="AT159"/>
  <c r="AW156"/>
  <c r="AY156" s="1"/>
  <c r="BA156" s="1"/>
  <c r="AT156"/>
  <c r="AW154"/>
  <c r="AY154" s="1"/>
  <c r="BA154" s="1"/>
  <c r="AT154"/>
  <c r="AW152"/>
  <c r="AY152" s="1"/>
  <c r="BA152" s="1"/>
  <c r="AT152"/>
  <c r="AW150"/>
  <c r="AY150" s="1"/>
  <c r="BA150" s="1"/>
  <c r="AT150"/>
  <c r="AW148"/>
  <c r="AY148" s="1"/>
  <c r="BA148" s="1"/>
  <c r="AT148"/>
  <c r="AW146"/>
  <c r="AY146" s="1"/>
  <c r="BA146" s="1"/>
  <c r="AT146"/>
  <c r="AW143"/>
  <c r="AY143" s="1"/>
  <c r="BA143" s="1"/>
  <c r="AT143"/>
  <c r="AW141"/>
  <c r="AY141" s="1"/>
  <c r="BA141" s="1"/>
  <c r="AT141"/>
  <c r="AW139"/>
  <c r="AY139" s="1"/>
  <c r="BA139" s="1"/>
  <c r="AT139"/>
  <c r="AW136"/>
  <c r="AY136" s="1"/>
  <c r="BA136" s="1"/>
  <c r="AT136"/>
  <c r="AW134"/>
  <c r="AY134" s="1"/>
  <c r="BA134" s="1"/>
  <c r="AT134"/>
  <c r="AW132"/>
  <c r="AY132" s="1"/>
  <c r="BA132" s="1"/>
  <c r="AT132"/>
  <c r="AW130"/>
  <c r="AY130" s="1"/>
  <c r="BA130" s="1"/>
  <c r="AT130"/>
  <c r="AW127"/>
  <c r="AY127" s="1"/>
  <c r="BA127" s="1"/>
  <c r="AT127"/>
  <c r="AW125"/>
  <c r="AY125" s="1"/>
  <c r="BA125" s="1"/>
  <c r="AT125"/>
  <c r="AW123"/>
  <c r="AY123" s="1"/>
  <c r="BA123" s="1"/>
  <c r="AT123"/>
  <c r="AW121"/>
  <c r="AY121" s="1"/>
  <c r="BA121" s="1"/>
  <c r="AT121"/>
  <c r="AW118"/>
  <c r="AY118" s="1"/>
  <c r="BA118" s="1"/>
  <c r="AT118"/>
  <c r="AW116"/>
  <c r="AY116" s="1"/>
  <c r="BA116" s="1"/>
  <c r="AT116"/>
  <c r="AW114"/>
  <c r="AY114" s="1"/>
  <c r="BA114" s="1"/>
  <c r="AT114"/>
  <c r="AW112"/>
  <c r="AY112" s="1"/>
  <c r="BA112" s="1"/>
  <c r="AT112"/>
  <c r="AT110"/>
  <c r="AW110"/>
  <c r="AY110" s="1"/>
  <c r="BA110" s="1"/>
  <c r="AT108"/>
  <c r="AW108"/>
  <c r="AY108" s="1"/>
  <c r="BA108" s="1"/>
  <c r="AT106"/>
  <c r="AW106"/>
  <c r="AY106" s="1"/>
  <c r="BA106" s="1"/>
  <c r="AT103"/>
  <c r="AW103"/>
  <c r="AY103" s="1"/>
  <c r="BA103" s="1"/>
  <c r="AT101"/>
  <c r="AW101"/>
  <c r="AY101" s="1"/>
  <c r="BA101" s="1"/>
  <c r="AT99"/>
  <c r="AW99"/>
  <c r="AY99" s="1"/>
  <c r="BA99" s="1"/>
  <c r="AT97"/>
  <c r="AW97"/>
  <c r="AY97" s="1"/>
  <c r="BA97" s="1"/>
  <c r="AT95"/>
  <c r="AW95"/>
  <c r="AY95" s="1"/>
  <c r="BA95" s="1"/>
  <c r="AT93"/>
  <c r="AW93"/>
  <c r="AY93" s="1"/>
  <c r="BA93" s="1"/>
  <c r="AT91"/>
  <c r="AW91"/>
  <c r="AY91" s="1"/>
  <c r="BA91" s="1"/>
  <c r="AT88"/>
  <c r="AW88"/>
  <c r="AY88" s="1"/>
  <c r="BA88" s="1"/>
  <c r="AT86"/>
  <c r="AW86"/>
  <c r="AY86" s="1"/>
  <c r="BA86" s="1"/>
  <c r="AT84"/>
  <c r="AW84"/>
  <c r="AY84" s="1"/>
  <c r="BA84" s="1"/>
  <c r="AT82"/>
  <c r="AW82"/>
  <c r="AY82" s="1"/>
  <c r="BA82" s="1"/>
  <c r="AT79"/>
  <c r="AW79"/>
  <c r="AY79" s="1"/>
  <c r="BA79" s="1"/>
  <c r="AT77"/>
  <c r="AW77"/>
  <c r="AY77" s="1"/>
  <c r="BA77" s="1"/>
  <c r="AT75"/>
  <c r="AW75"/>
  <c r="AY75" s="1"/>
  <c r="BA75" s="1"/>
  <c r="AT73"/>
  <c r="AW73"/>
  <c r="AY73" s="1"/>
  <c r="BA73" s="1"/>
  <c r="AT70"/>
  <c r="AW70"/>
  <c r="AY70" s="1"/>
  <c r="BA70" s="1"/>
  <c r="AT68"/>
  <c r="AW68"/>
  <c r="AY68" s="1"/>
  <c r="BA68" s="1"/>
  <c r="AT66"/>
  <c r="AW66"/>
  <c r="AY66" s="1"/>
  <c r="BA66" s="1"/>
  <c r="AT63"/>
  <c r="AW63"/>
  <c r="AY63" s="1"/>
  <c r="BA63" s="1"/>
  <c r="AT61"/>
  <c r="AW61"/>
  <c r="AY61" s="1"/>
  <c r="BA61" s="1"/>
  <c r="AT59"/>
  <c r="AW59"/>
  <c r="AY59" s="1"/>
  <c r="BA59" s="1"/>
  <c r="AT57"/>
  <c r="AW57"/>
  <c r="AY57" s="1"/>
  <c r="BA57" s="1"/>
  <c r="AT55"/>
  <c r="AW55"/>
  <c r="AY55" s="1"/>
  <c r="BA55" s="1"/>
  <c r="AT53"/>
  <c r="AW53"/>
  <c r="AY53" s="1"/>
  <c r="BA53" s="1"/>
  <c r="AT50"/>
  <c r="AW50"/>
  <c r="AY50" s="1"/>
  <c r="BA50" s="1"/>
  <c r="AT48"/>
  <c r="AW48"/>
  <c r="AY48" s="1"/>
  <c r="BA48" s="1"/>
  <c r="AY18" l="1"/>
  <c r="AW17"/>
  <c r="AW6"/>
  <c r="AY7"/>
  <c r="BA45"/>
  <c r="AY45"/>
  <c r="AW45"/>
  <c r="AW369" s="1"/>
  <c r="O17"/>
  <c r="N17"/>
  <c r="O6"/>
  <c r="N6"/>
  <c r="BA18" l="1"/>
  <c r="BA17" s="1"/>
  <c r="AY17"/>
  <c r="BA7"/>
  <c r="AY6"/>
  <c r="AY369"/>
  <c r="B58" i="8"/>
  <c r="B47"/>
  <c r="AR17" i="7"/>
  <c r="AR6"/>
  <c r="AQ6"/>
  <c r="AQ17"/>
  <c r="AQ45"/>
  <c r="R17"/>
  <c r="S17"/>
  <c r="S369" s="1"/>
  <c r="P17"/>
  <c r="N369"/>
  <c r="P6"/>
  <c r="K17"/>
  <c r="J17"/>
  <c r="K6"/>
  <c r="K369" s="1"/>
  <c r="J6"/>
  <c r="J369" s="1"/>
  <c r="B6"/>
  <c r="B57" i="8"/>
  <c r="C7"/>
  <c r="BA369" i="7" l="1"/>
  <c r="BA6"/>
  <c r="L17"/>
  <c r="BC45"/>
  <c r="BC17"/>
  <c r="L369"/>
  <c r="AQ369"/>
  <c r="L6"/>
  <c r="O369"/>
  <c r="P369" s="1"/>
  <c r="T17"/>
  <c r="BC369" l="1"/>
  <c r="B7" i="8"/>
  <c r="AS6" i="7"/>
  <c r="R19" i="8"/>
  <c r="W45" i="7"/>
  <c r="V45"/>
  <c r="W17"/>
  <c r="X17" s="1"/>
  <c r="V17"/>
  <c r="S45"/>
  <c r="R45"/>
  <c r="L8" i="8"/>
  <c r="O45" i="7"/>
  <c r="N45"/>
  <c r="C45"/>
  <c r="B45"/>
  <c r="C17"/>
  <c r="B17"/>
  <c r="B369" s="1"/>
  <c r="C6"/>
  <c r="C369" s="1"/>
  <c r="D369" l="1"/>
  <c r="D6"/>
  <c r="D17"/>
  <c r="T45"/>
  <c r="X45"/>
  <c r="D45"/>
  <c r="P45"/>
  <c r="AR45" l="1"/>
  <c r="AR369" s="1"/>
  <c r="I7" i="8" l="1"/>
  <c r="J7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AG18" s="1"/>
  <c r="C34"/>
  <c r="D34" s="1"/>
  <c r="AG34" s="1"/>
  <c r="C11"/>
  <c r="D11" s="1"/>
  <c r="AG11" s="1"/>
  <c r="C20"/>
  <c r="D20" s="1"/>
  <c r="AG20" s="1"/>
  <c r="C28"/>
  <c r="D28" s="1"/>
  <c r="AG28" s="1"/>
  <c r="C36"/>
  <c r="D36" s="1"/>
  <c r="AG36" s="1"/>
  <c r="C44"/>
  <c r="D44" s="1"/>
  <c r="AG44" s="1"/>
  <c r="C50"/>
  <c r="D50" s="1"/>
  <c r="AG50" s="1"/>
  <c r="C58"/>
  <c r="D58" s="1"/>
  <c r="AG58" s="1"/>
  <c r="Z58" s="1"/>
  <c r="C62"/>
  <c r="D62" s="1"/>
  <c r="AG62" s="1"/>
  <c r="C72"/>
  <c r="D72" s="1"/>
  <c r="AG72" s="1"/>
  <c r="C81"/>
  <c r="D81" s="1"/>
  <c r="AG81" s="1"/>
  <c r="C89"/>
  <c r="D89" s="1"/>
  <c r="AG89" s="1"/>
  <c r="C98"/>
  <c r="D98" s="1"/>
  <c r="AG98" s="1"/>
  <c r="C107"/>
  <c r="D107" s="1"/>
  <c r="AG107" s="1"/>
  <c r="C115"/>
  <c r="D115" s="1"/>
  <c r="AG115" s="1"/>
  <c r="C119"/>
  <c r="D119" s="1"/>
  <c r="AG119" s="1"/>
  <c r="C129"/>
  <c r="D129" s="1"/>
  <c r="AG129" s="1"/>
  <c r="C136"/>
  <c r="D136" s="1"/>
  <c r="AG136" s="1"/>
  <c r="C146"/>
  <c r="D146" s="1"/>
  <c r="AG146" s="1"/>
  <c r="C154"/>
  <c r="D154" s="1"/>
  <c r="AG154" s="1"/>
  <c r="C167"/>
  <c r="D167" s="1"/>
  <c r="AG167" s="1"/>
  <c r="C184"/>
  <c r="D184" s="1"/>
  <c r="AG184" s="1"/>
  <c r="C8"/>
  <c r="D8" s="1"/>
  <c r="AG8" s="1"/>
  <c r="C12"/>
  <c r="D12" s="1"/>
  <c r="AG12" s="1"/>
  <c r="C16"/>
  <c r="D16" s="1"/>
  <c r="AG16" s="1"/>
  <c r="C21"/>
  <c r="D21" s="1"/>
  <c r="AG21" s="1"/>
  <c r="C25"/>
  <c r="D25" s="1"/>
  <c r="AG25" s="1"/>
  <c r="C29"/>
  <c r="D29" s="1"/>
  <c r="AG29" s="1"/>
  <c r="C33"/>
  <c r="D33" s="1"/>
  <c r="AG33" s="1"/>
  <c r="C37"/>
  <c r="D37" s="1"/>
  <c r="AG37" s="1"/>
  <c r="C41"/>
  <c r="D41" s="1"/>
  <c r="AG41" s="1"/>
  <c r="C47"/>
  <c r="D47" s="1"/>
  <c r="AG47" s="1"/>
  <c r="Z47" s="1"/>
  <c r="C51"/>
  <c r="D51" s="1"/>
  <c r="AG51" s="1"/>
  <c r="C56"/>
  <c r="D56" s="1"/>
  <c r="AG56" s="1"/>
  <c r="C59"/>
  <c r="D59" s="1"/>
  <c r="AG59" s="1"/>
  <c r="C63"/>
  <c r="D63" s="1"/>
  <c r="AG63" s="1"/>
  <c r="C68"/>
  <c r="D68" s="1"/>
  <c r="AG68" s="1"/>
  <c r="C73"/>
  <c r="D73" s="1"/>
  <c r="AG73" s="1"/>
  <c r="C77"/>
  <c r="D77" s="1"/>
  <c r="AG77" s="1"/>
  <c r="C82"/>
  <c r="D82" s="1"/>
  <c r="AG82" s="1"/>
  <c r="C86"/>
  <c r="D86" s="1"/>
  <c r="AG86" s="1"/>
  <c r="C91"/>
  <c r="D91" s="1"/>
  <c r="AG91" s="1"/>
  <c r="C95"/>
  <c r="D95" s="1"/>
  <c r="AG95" s="1"/>
  <c r="C99"/>
  <c r="D99" s="1"/>
  <c r="AG99" s="1"/>
  <c r="C103"/>
  <c r="D103" s="1"/>
  <c r="AG103" s="1"/>
  <c r="C108"/>
  <c r="D108" s="1"/>
  <c r="AG108" s="1"/>
  <c r="C112"/>
  <c r="D112" s="1"/>
  <c r="AG112" s="1"/>
  <c r="C116"/>
  <c r="D116" s="1"/>
  <c r="AG116" s="1"/>
  <c r="C121"/>
  <c r="D121" s="1"/>
  <c r="AG121" s="1"/>
  <c r="C125"/>
  <c r="D125" s="1"/>
  <c r="AG125" s="1"/>
  <c r="C130"/>
  <c r="D130" s="1"/>
  <c r="AG130" s="1"/>
  <c r="C133"/>
  <c r="D133" s="1"/>
  <c r="AG133" s="1"/>
  <c r="C138"/>
  <c r="D138" s="1"/>
  <c r="AG138" s="1"/>
  <c r="C142"/>
  <c r="D142" s="1"/>
  <c r="AG142" s="1"/>
  <c r="C147"/>
  <c r="D147" s="1"/>
  <c r="AG147" s="1"/>
  <c r="C151"/>
  <c r="D151" s="1"/>
  <c r="AG151" s="1"/>
  <c r="C155"/>
  <c r="D155" s="1"/>
  <c r="AG155" s="1"/>
  <c r="C160"/>
  <c r="D160" s="1"/>
  <c r="AG160" s="1"/>
  <c r="C164"/>
  <c r="D164" s="1"/>
  <c r="AG164" s="1"/>
  <c r="C168"/>
  <c r="D168" s="1"/>
  <c r="AG168" s="1"/>
  <c r="C173"/>
  <c r="D173" s="1"/>
  <c r="AG173" s="1"/>
  <c r="C175"/>
  <c r="D175" s="1"/>
  <c r="AG175" s="1"/>
  <c r="C181"/>
  <c r="D181" s="1"/>
  <c r="AG181" s="1"/>
  <c r="C185"/>
  <c r="D185" s="1"/>
  <c r="AG185" s="1"/>
  <c r="C189"/>
  <c r="D189" s="1"/>
  <c r="AG189" s="1"/>
  <c r="C194"/>
  <c r="D194" s="1"/>
  <c r="AG194" s="1"/>
  <c r="C198"/>
  <c r="D198" s="1"/>
  <c r="AG198" s="1"/>
  <c r="C202"/>
  <c r="D202" s="1"/>
  <c r="AG202" s="1"/>
  <c r="C207"/>
  <c r="D207" s="1"/>
  <c r="AG207" s="1"/>
  <c r="C211"/>
  <c r="D211" s="1"/>
  <c r="AG211" s="1"/>
  <c r="C215"/>
  <c r="D215" s="1"/>
  <c r="AG215" s="1"/>
  <c r="C220"/>
  <c r="D220" s="1"/>
  <c r="AG220" s="1"/>
  <c r="C224"/>
  <c r="D224" s="1"/>
  <c r="AG224" s="1"/>
  <c r="C228"/>
  <c r="D228" s="1"/>
  <c r="AG228" s="1"/>
  <c r="C233"/>
  <c r="D233" s="1"/>
  <c r="AG233" s="1"/>
  <c r="C237"/>
  <c r="D237" s="1"/>
  <c r="AG237" s="1"/>
  <c r="C242"/>
  <c r="D242" s="1"/>
  <c r="AG242" s="1"/>
  <c r="C246"/>
  <c r="D246" s="1"/>
  <c r="AG246" s="1"/>
  <c r="C250"/>
  <c r="D250" s="1"/>
  <c r="AG250" s="1"/>
  <c r="C255"/>
  <c r="D255" s="1"/>
  <c r="AG255" s="1"/>
  <c r="C259"/>
  <c r="D259" s="1"/>
  <c r="AG259" s="1"/>
  <c r="C264"/>
  <c r="D264" s="1"/>
  <c r="AG264" s="1"/>
  <c r="C268"/>
  <c r="D268" s="1"/>
  <c r="AG268" s="1"/>
  <c r="C272"/>
  <c r="D272" s="1"/>
  <c r="AG272" s="1"/>
  <c r="C276"/>
  <c r="D276" s="1"/>
  <c r="AG276" s="1"/>
  <c r="C281"/>
  <c r="D281" s="1"/>
  <c r="AG281" s="1"/>
  <c r="C285"/>
  <c r="D285" s="1"/>
  <c r="AG285" s="1"/>
  <c r="C289"/>
  <c r="D289" s="1"/>
  <c r="AG289" s="1"/>
  <c r="C293"/>
  <c r="D293" s="1"/>
  <c r="AG293" s="1"/>
  <c r="C297"/>
  <c r="D297" s="1"/>
  <c r="AG297" s="1"/>
  <c r="C301"/>
  <c r="D301" s="1"/>
  <c r="AG301" s="1"/>
  <c r="C306"/>
  <c r="D306" s="1"/>
  <c r="AG306" s="1"/>
  <c r="C310"/>
  <c r="D310" s="1"/>
  <c r="AG310" s="1"/>
  <c r="C314"/>
  <c r="D314" s="1"/>
  <c r="AG314" s="1"/>
  <c r="C318"/>
  <c r="D318" s="1"/>
  <c r="AG318" s="1"/>
  <c r="C323"/>
  <c r="D323" s="1"/>
  <c r="AG323" s="1"/>
  <c r="C327"/>
  <c r="D327" s="1"/>
  <c r="AG327" s="1"/>
  <c r="C331"/>
  <c r="D331" s="1"/>
  <c r="AG331" s="1"/>
  <c r="C336"/>
  <c r="D336" s="1"/>
  <c r="AG336" s="1"/>
  <c r="C340"/>
  <c r="D340" s="1"/>
  <c r="AG340" s="1"/>
  <c r="C344"/>
  <c r="D344" s="1"/>
  <c r="AG344" s="1"/>
  <c r="C349"/>
  <c r="D349" s="1"/>
  <c r="AG349" s="1"/>
  <c r="C352"/>
  <c r="D352" s="1"/>
  <c r="AG352" s="1"/>
  <c r="C357"/>
  <c r="D357" s="1"/>
  <c r="AG357" s="1"/>
  <c r="C361"/>
  <c r="D361" s="1"/>
  <c r="AG361" s="1"/>
  <c r="C365"/>
  <c r="D365" s="1"/>
  <c r="AG365" s="1"/>
  <c r="C9"/>
  <c r="D9" s="1"/>
  <c r="AG9" s="1"/>
  <c r="C26"/>
  <c r="D26" s="1"/>
  <c r="AG26" s="1"/>
  <c r="C42"/>
  <c r="D42" s="1"/>
  <c r="AG42" s="1"/>
  <c r="C53"/>
  <c r="D53" s="1"/>
  <c r="AG53" s="1"/>
  <c r="C60"/>
  <c r="D60" s="1"/>
  <c r="AG60" s="1"/>
  <c r="C74"/>
  <c r="D74" s="1"/>
  <c r="AG74" s="1"/>
  <c r="C83"/>
  <c r="D83" s="1"/>
  <c r="AG83" s="1"/>
  <c r="C92"/>
  <c r="D92" s="1"/>
  <c r="AG92" s="1"/>
  <c r="C100"/>
  <c r="D100" s="1"/>
  <c r="AG100" s="1"/>
  <c r="C113"/>
  <c r="D113" s="1"/>
  <c r="AG113" s="1"/>
  <c r="C122"/>
  <c r="D122" s="1"/>
  <c r="AG122" s="1"/>
  <c r="C126"/>
  <c r="D126" s="1"/>
  <c r="AG126" s="1"/>
  <c r="C134"/>
  <c r="D134" s="1"/>
  <c r="AG134" s="1"/>
  <c r="C139"/>
  <c r="D139" s="1"/>
  <c r="AG139" s="1"/>
  <c r="C143"/>
  <c r="D143" s="1"/>
  <c r="AG143" s="1"/>
  <c r="C148"/>
  <c r="D148" s="1"/>
  <c r="AG148" s="1"/>
  <c r="C152"/>
  <c r="D152" s="1"/>
  <c r="AG152" s="1"/>
  <c r="C156"/>
  <c r="D156" s="1"/>
  <c r="AG156" s="1"/>
  <c r="C161"/>
  <c r="D161" s="1"/>
  <c r="AG161" s="1"/>
  <c r="C165"/>
  <c r="D165" s="1"/>
  <c r="AG165" s="1"/>
  <c r="C169"/>
  <c r="D169" s="1"/>
  <c r="AG169" s="1"/>
  <c r="C174"/>
  <c r="D174" s="1"/>
  <c r="AG174" s="1"/>
  <c r="C177"/>
  <c r="D177" s="1"/>
  <c r="AG177" s="1"/>
  <c r="C182"/>
  <c r="D182" s="1"/>
  <c r="AG182" s="1"/>
  <c r="C186"/>
  <c r="D186" s="1"/>
  <c r="AG186" s="1"/>
  <c r="C190"/>
  <c r="D190" s="1"/>
  <c r="AG190" s="1"/>
  <c r="C195"/>
  <c r="D195" s="1"/>
  <c r="AG195" s="1"/>
  <c r="C199"/>
  <c r="D199" s="1"/>
  <c r="AG199" s="1"/>
  <c r="C203"/>
  <c r="D203" s="1"/>
  <c r="AG203" s="1"/>
  <c r="C208"/>
  <c r="D208" s="1"/>
  <c r="AG208" s="1"/>
  <c r="C212"/>
  <c r="D212" s="1"/>
  <c r="AG212" s="1"/>
  <c r="C216"/>
  <c r="D216" s="1"/>
  <c r="AG216" s="1"/>
  <c r="C221"/>
  <c r="D221" s="1"/>
  <c r="AG221" s="1"/>
  <c r="C225"/>
  <c r="D225" s="1"/>
  <c r="AG225" s="1"/>
  <c r="C230"/>
  <c r="D230" s="1"/>
  <c r="AG230" s="1"/>
  <c r="C234"/>
  <c r="D234" s="1"/>
  <c r="AG234" s="1"/>
  <c r="C239"/>
  <c r="D239" s="1"/>
  <c r="AG239" s="1"/>
  <c r="C243"/>
  <c r="D243" s="1"/>
  <c r="AG243" s="1"/>
  <c r="C247"/>
  <c r="D247" s="1"/>
  <c r="AG247" s="1"/>
  <c r="C251"/>
  <c r="D251" s="1"/>
  <c r="AG251" s="1"/>
  <c r="C256"/>
  <c r="D256" s="1"/>
  <c r="AG256" s="1"/>
  <c r="C260"/>
  <c r="D260" s="1"/>
  <c r="AG260" s="1"/>
  <c r="C265"/>
  <c r="D265" s="1"/>
  <c r="AG265" s="1"/>
  <c r="C269"/>
  <c r="D269" s="1"/>
  <c r="AG269" s="1"/>
  <c r="C273"/>
  <c r="D273" s="1"/>
  <c r="AG273" s="1"/>
  <c r="C277"/>
  <c r="D277" s="1"/>
  <c r="AG277" s="1"/>
  <c r="C282"/>
  <c r="D282" s="1"/>
  <c r="AG282" s="1"/>
  <c r="C286"/>
  <c r="D286" s="1"/>
  <c r="AG286" s="1"/>
  <c r="C290"/>
  <c r="D290" s="1"/>
  <c r="AG290" s="1"/>
  <c r="C294"/>
  <c r="D294" s="1"/>
  <c r="AG294" s="1"/>
  <c r="C298"/>
  <c r="D298" s="1"/>
  <c r="AG298" s="1"/>
  <c r="C302"/>
  <c r="D302" s="1"/>
  <c r="AG302" s="1"/>
  <c r="C307"/>
  <c r="D307" s="1"/>
  <c r="AG307" s="1"/>
  <c r="C311"/>
  <c r="D311" s="1"/>
  <c r="AG311" s="1"/>
  <c r="C315"/>
  <c r="D315" s="1"/>
  <c r="AG315" s="1"/>
  <c r="C319"/>
  <c r="D319" s="1"/>
  <c r="AG319" s="1"/>
  <c r="C324"/>
  <c r="D324" s="1"/>
  <c r="AG324" s="1"/>
  <c r="C328"/>
  <c r="D328" s="1"/>
  <c r="AG328" s="1"/>
  <c r="C332"/>
  <c r="D332" s="1"/>
  <c r="AG332" s="1"/>
  <c r="C337"/>
  <c r="D337" s="1"/>
  <c r="AG337" s="1"/>
  <c r="C341"/>
  <c r="D341" s="1"/>
  <c r="AG341" s="1"/>
  <c r="C346"/>
  <c r="D346" s="1"/>
  <c r="AG346" s="1"/>
  <c r="C350"/>
  <c r="D350" s="1"/>
  <c r="AG350" s="1"/>
  <c r="C353"/>
  <c r="D353" s="1"/>
  <c r="AG353" s="1"/>
  <c r="C358"/>
  <c r="D358" s="1"/>
  <c r="AG358" s="1"/>
  <c r="C362"/>
  <c r="D362" s="1"/>
  <c r="AG362" s="1"/>
  <c r="C366"/>
  <c r="D366" s="1"/>
  <c r="AG366" s="1"/>
  <c r="C22"/>
  <c r="D22" s="1"/>
  <c r="AG22" s="1"/>
  <c r="C38"/>
  <c r="D38" s="1"/>
  <c r="AG38" s="1"/>
  <c r="C48"/>
  <c r="D48" s="1"/>
  <c r="AG48" s="1"/>
  <c r="C57"/>
  <c r="D57" s="1"/>
  <c r="AG57" s="1"/>
  <c r="Z57" s="1"/>
  <c r="C64"/>
  <c r="D64" s="1"/>
  <c r="AG64" s="1"/>
  <c r="C69"/>
  <c r="D69" s="1"/>
  <c r="AG69" s="1"/>
  <c r="C78"/>
  <c r="D78" s="1"/>
  <c r="AG78" s="1"/>
  <c r="C87"/>
  <c r="D87" s="1"/>
  <c r="AG87" s="1"/>
  <c r="C96"/>
  <c r="D96" s="1"/>
  <c r="AG96" s="1"/>
  <c r="C105"/>
  <c r="D105" s="1"/>
  <c r="AG105" s="1"/>
  <c r="C109"/>
  <c r="D109" s="1"/>
  <c r="AG109" s="1"/>
  <c r="C117"/>
  <c r="D117" s="1"/>
  <c r="AG117" s="1"/>
  <c r="C131"/>
  <c r="D131" s="1"/>
  <c r="AG131" s="1"/>
  <c r="C10"/>
  <c r="D10" s="1"/>
  <c r="AG10" s="1"/>
  <c r="C14"/>
  <c r="D14" s="1"/>
  <c r="AG14" s="1"/>
  <c r="C19"/>
  <c r="D19" s="1"/>
  <c r="AG19" s="1"/>
  <c r="C23"/>
  <c r="D23" s="1"/>
  <c r="AG23" s="1"/>
  <c r="C27"/>
  <c r="D27" s="1"/>
  <c r="AG27" s="1"/>
  <c r="C31"/>
  <c r="D31" s="1"/>
  <c r="AG31" s="1"/>
  <c r="C35"/>
  <c r="D35" s="1"/>
  <c r="AG35" s="1"/>
  <c r="C39"/>
  <c r="D39" s="1"/>
  <c r="AG39" s="1"/>
  <c r="C43"/>
  <c r="D43" s="1"/>
  <c r="AG43" s="1"/>
  <c r="C49"/>
  <c r="D49" s="1"/>
  <c r="AG49" s="1"/>
  <c r="C54"/>
  <c r="D54" s="1"/>
  <c r="AG54" s="1"/>
  <c r="C61"/>
  <c r="D61" s="1"/>
  <c r="AG61" s="1"/>
  <c r="C66"/>
  <c r="D66" s="1"/>
  <c r="AG66" s="1"/>
  <c r="C70"/>
  <c r="D70" s="1"/>
  <c r="AG70" s="1"/>
  <c r="C75"/>
  <c r="D75" s="1"/>
  <c r="AG75" s="1"/>
  <c r="C79"/>
  <c r="D79" s="1"/>
  <c r="AG79" s="1"/>
  <c r="C84"/>
  <c r="D84" s="1"/>
  <c r="AG84" s="1"/>
  <c r="C88"/>
  <c r="D88" s="1"/>
  <c r="AG88" s="1"/>
  <c r="C93"/>
  <c r="D93" s="1"/>
  <c r="AG93" s="1"/>
  <c r="C97"/>
  <c r="D97" s="1"/>
  <c r="AG97" s="1"/>
  <c r="C101"/>
  <c r="D101" s="1"/>
  <c r="AG101" s="1"/>
  <c r="C106"/>
  <c r="D106" s="1"/>
  <c r="AG106" s="1"/>
  <c r="C110"/>
  <c r="D110" s="1"/>
  <c r="AG110" s="1"/>
  <c r="C114"/>
  <c r="D114" s="1"/>
  <c r="AG114" s="1"/>
  <c r="C118"/>
  <c r="D118" s="1"/>
  <c r="AG118" s="1"/>
  <c r="C123"/>
  <c r="D123" s="1"/>
  <c r="AG123" s="1"/>
  <c r="C127"/>
  <c r="D127" s="1"/>
  <c r="AG127" s="1"/>
  <c r="C132"/>
  <c r="D132" s="1"/>
  <c r="AG132" s="1"/>
  <c r="C135"/>
  <c r="D135" s="1"/>
  <c r="AG135" s="1"/>
  <c r="C140"/>
  <c r="D140" s="1"/>
  <c r="AG140" s="1"/>
  <c r="C145"/>
  <c r="D145" s="1"/>
  <c r="AG145" s="1"/>
  <c r="C149"/>
  <c r="D149" s="1"/>
  <c r="AG149" s="1"/>
  <c r="C153"/>
  <c r="D153" s="1"/>
  <c r="AG153" s="1"/>
  <c r="C158"/>
  <c r="D158" s="1"/>
  <c r="AG158" s="1"/>
  <c r="C162"/>
  <c r="D162" s="1"/>
  <c r="AG162" s="1"/>
  <c r="C166"/>
  <c r="D166" s="1"/>
  <c r="AG166" s="1"/>
  <c r="C170"/>
  <c r="D170" s="1"/>
  <c r="AG170" s="1"/>
  <c r="C179"/>
  <c r="D179" s="1"/>
  <c r="AG179" s="1"/>
  <c r="C183"/>
  <c r="D183" s="1"/>
  <c r="AG183" s="1"/>
  <c r="C187"/>
  <c r="D187" s="1"/>
  <c r="AG187" s="1"/>
  <c r="C191"/>
  <c r="D191" s="1"/>
  <c r="AG191" s="1"/>
  <c r="C196"/>
  <c r="D196" s="1"/>
  <c r="AG196" s="1"/>
  <c r="C200"/>
  <c r="D200" s="1"/>
  <c r="AG200" s="1"/>
  <c r="C204"/>
  <c r="D204" s="1"/>
  <c r="AG204" s="1"/>
  <c r="C209"/>
  <c r="D209" s="1"/>
  <c r="AG209" s="1"/>
  <c r="C213"/>
  <c r="D213" s="1"/>
  <c r="AG213" s="1"/>
  <c r="C217"/>
  <c r="D217" s="1"/>
  <c r="AG217" s="1"/>
  <c r="C222"/>
  <c r="D222" s="1"/>
  <c r="AG222" s="1"/>
  <c r="C226"/>
  <c r="D226" s="1"/>
  <c r="AG226" s="1"/>
  <c r="C231"/>
  <c r="D231" s="1"/>
  <c r="AG231" s="1"/>
  <c r="C235"/>
  <c r="D235" s="1"/>
  <c r="AG235" s="1"/>
  <c r="C240"/>
  <c r="D240" s="1"/>
  <c r="AG240" s="1"/>
  <c r="C244"/>
  <c r="D244" s="1"/>
  <c r="AG244" s="1"/>
  <c r="C248"/>
  <c r="D248" s="1"/>
  <c r="AG248" s="1"/>
  <c r="C252"/>
  <c r="D252" s="1"/>
  <c r="AG252" s="1"/>
  <c r="C257"/>
  <c r="D257" s="1"/>
  <c r="AG257" s="1"/>
  <c r="C261"/>
  <c r="D261" s="1"/>
  <c r="AG261" s="1"/>
  <c r="C266"/>
  <c r="D266" s="1"/>
  <c r="AG266" s="1"/>
  <c r="C270"/>
  <c r="D270" s="1"/>
  <c r="AG270" s="1"/>
  <c r="C274"/>
  <c r="D274" s="1"/>
  <c r="AG274" s="1"/>
  <c r="C278"/>
  <c r="D278" s="1"/>
  <c r="AG278" s="1"/>
  <c r="C283"/>
  <c r="D283" s="1"/>
  <c r="AG283" s="1"/>
  <c r="C287"/>
  <c r="D287" s="1"/>
  <c r="AG287" s="1"/>
  <c r="C291"/>
  <c r="D291" s="1"/>
  <c r="AG291" s="1"/>
  <c r="C295"/>
  <c r="D295" s="1"/>
  <c r="AG295" s="1"/>
  <c r="C299"/>
  <c r="D299" s="1"/>
  <c r="AG299" s="1"/>
  <c r="C303"/>
  <c r="D303" s="1"/>
  <c r="AG303" s="1"/>
  <c r="C308"/>
  <c r="D308" s="1"/>
  <c r="AG308" s="1"/>
  <c r="C312"/>
  <c r="D312" s="1"/>
  <c r="AG312" s="1"/>
  <c r="C316"/>
  <c r="D316" s="1"/>
  <c r="AG316" s="1"/>
  <c r="C320"/>
  <c r="D320" s="1"/>
  <c r="AG320" s="1"/>
  <c r="C325"/>
  <c r="D325" s="1"/>
  <c r="AG325" s="1"/>
  <c r="C329"/>
  <c r="D329" s="1"/>
  <c r="AG329" s="1"/>
  <c r="C334"/>
  <c r="D334" s="1"/>
  <c r="AG334" s="1"/>
  <c r="C338"/>
  <c r="D338" s="1"/>
  <c r="AG338" s="1"/>
  <c r="C342"/>
  <c r="D342" s="1"/>
  <c r="AG342" s="1"/>
  <c r="C347"/>
  <c r="D347" s="1"/>
  <c r="AG347" s="1"/>
  <c r="C354"/>
  <c r="D354" s="1"/>
  <c r="AG354" s="1"/>
  <c r="C359"/>
  <c r="D359" s="1"/>
  <c r="AG359" s="1"/>
  <c r="C363"/>
  <c r="D363" s="1"/>
  <c r="AG363" s="1"/>
  <c r="C367"/>
  <c r="D367" s="1"/>
  <c r="AG367" s="1"/>
  <c r="C13"/>
  <c r="D13" s="1"/>
  <c r="AG13" s="1"/>
  <c r="C30"/>
  <c r="D30" s="1"/>
  <c r="AG30" s="1"/>
  <c r="D7"/>
  <c r="C15"/>
  <c r="D15" s="1"/>
  <c r="AG15" s="1"/>
  <c r="C24"/>
  <c r="D24" s="1"/>
  <c r="AG24" s="1"/>
  <c r="C32"/>
  <c r="D32" s="1"/>
  <c r="AG32" s="1"/>
  <c r="C40"/>
  <c r="D40" s="1"/>
  <c r="AG40" s="1"/>
  <c r="C55"/>
  <c r="D55" s="1"/>
  <c r="AG55" s="1"/>
  <c r="C67"/>
  <c r="D67" s="1"/>
  <c r="AG67" s="1"/>
  <c r="C76"/>
  <c r="D76" s="1"/>
  <c r="AG76" s="1"/>
  <c r="C85"/>
  <c r="D85" s="1"/>
  <c r="AG85" s="1"/>
  <c r="C94"/>
  <c r="D94" s="1"/>
  <c r="AG94" s="1"/>
  <c r="C102"/>
  <c r="D102" s="1"/>
  <c r="AG102" s="1"/>
  <c r="C111"/>
  <c r="D111" s="1"/>
  <c r="AG111" s="1"/>
  <c r="C124"/>
  <c r="D124" s="1"/>
  <c r="AG124" s="1"/>
  <c r="C141"/>
  <c r="D141" s="1"/>
  <c r="AG141" s="1"/>
  <c r="C150"/>
  <c r="D150" s="1"/>
  <c r="AG150" s="1"/>
  <c r="C159"/>
  <c r="D159" s="1"/>
  <c r="AG159" s="1"/>
  <c r="C163"/>
  <c r="D163" s="1"/>
  <c r="AG163" s="1"/>
  <c r="C172"/>
  <c r="D172" s="1"/>
  <c r="AG172" s="1"/>
  <c r="C176"/>
  <c r="D176" s="1"/>
  <c r="AG176" s="1"/>
  <c r="C180"/>
  <c r="D180" s="1"/>
  <c r="AG180" s="1"/>
  <c r="C188"/>
  <c r="D188" s="1"/>
  <c r="AG188" s="1"/>
  <c r="C193"/>
  <c r="D193" s="1"/>
  <c r="AG193" s="1"/>
  <c r="C197"/>
  <c r="D197" s="1"/>
  <c r="AG197" s="1"/>
  <c r="C201"/>
  <c r="D201" s="1"/>
  <c r="AG201" s="1"/>
  <c r="C206"/>
  <c r="D206" s="1"/>
  <c r="AG206" s="1"/>
  <c r="C210"/>
  <c r="D210" s="1"/>
  <c r="AG210" s="1"/>
  <c r="C214"/>
  <c r="D214" s="1"/>
  <c r="AG214" s="1"/>
  <c r="C218"/>
  <c r="D218" s="1"/>
  <c r="AG218" s="1"/>
  <c r="C223"/>
  <c r="D223" s="1"/>
  <c r="AG223" s="1"/>
  <c r="C227"/>
  <c r="D227" s="1"/>
  <c r="AG227" s="1"/>
  <c r="C232"/>
  <c r="D232" s="1"/>
  <c r="AG232" s="1"/>
  <c r="C236"/>
  <c r="D236" s="1"/>
  <c r="AG236" s="1"/>
  <c r="C241"/>
  <c r="D241" s="1"/>
  <c r="AG241" s="1"/>
  <c r="C245"/>
  <c r="D245" s="1"/>
  <c r="AG245" s="1"/>
  <c r="C249"/>
  <c r="D249" s="1"/>
  <c r="AG249" s="1"/>
  <c r="C253"/>
  <c r="D253" s="1"/>
  <c r="AG253" s="1"/>
  <c r="C258"/>
  <c r="D258" s="1"/>
  <c r="AG258" s="1"/>
  <c r="C263"/>
  <c r="D263" s="1"/>
  <c r="AG263" s="1"/>
  <c r="C267"/>
  <c r="D267" s="1"/>
  <c r="AG267" s="1"/>
  <c r="C271"/>
  <c r="D271" s="1"/>
  <c r="AG271" s="1"/>
  <c r="C275"/>
  <c r="D275" s="1"/>
  <c r="AG275" s="1"/>
  <c r="C279"/>
  <c r="D279" s="1"/>
  <c r="AG279" s="1"/>
  <c r="C284"/>
  <c r="D284" s="1"/>
  <c r="AG284" s="1"/>
  <c r="C288"/>
  <c r="D288" s="1"/>
  <c r="AG288" s="1"/>
  <c r="C292"/>
  <c r="D292" s="1"/>
  <c r="AG292" s="1"/>
  <c r="C296"/>
  <c r="D296" s="1"/>
  <c r="AG296" s="1"/>
  <c r="C300"/>
  <c r="D300" s="1"/>
  <c r="AG300" s="1"/>
  <c r="C304"/>
  <c r="D304" s="1"/>
  <c r="AG304" s="1"/>
  <c r="C309"/>
  <c r="D309" s="1"/>
  <c r="AG309" s="1"/>
  <c r="C313"/>
  <c r="D313" s="1"/>
  <c r="AG313" s="1"/>
  <c r="C317"/>
  <c r="D317" s="1"/>
  <c r="AG317" s="1"/>
  <c r="C322"/>
  <c r="D322" s="1"/>
  <c r="AG322" s="1"/>
  <c r="C326"/>
  <c r="D326" s="1"/>
  <c r="AG326" s="1"/>
  <c r="C330"/>
  <c r="D330" s="1"/>
  <c r="AG330" s="1"/>
  <c r="C335"/>
  <c r="D335" s="1"/>
  <c r="AG335" s="1"/>
  <c r="C339"/>
  <c r="D339" s="1"/>
  <c r="AG339" s="1"/>
  <c r="C343"/>
  <c r="D343" s="1"/>
  <c r="AG343" s="1"/>
  <c r="C348"/>
  <c r="D348" s="1"/>
  <c r="AG348" s="1"/>
  <c r="C351"/>
  <c r="D351" s="1"/>
  <c r="AG351" s="1"/>
  <c r="C355"/>
  <c r="D355" s="1"/>
  <c r="AG355" s="1"/>
  <c r="C360"/>
  <c r="D360" s="1"/>
  <c r="AG360" s="1"/>
  <c r="C364"/>
  <c r="D364" s="1"/>
  <c r="AG364" s="1"/>
  <c r="C368"/>
  <c r="D368" s="1"/>
  <c r="AG368" s="1"/>
  <c r="AG7" l="1"/>
  <c r="E7"/>
  <c r="B367"/>
  <c r="Z367" s="1"/>
  <c r="B334"/>
  <c r="Z334" s="1"/>
  <c r="B316"/>
  <c r="Z316" s="1"/>
  <c r="B299"/>
  <c r="Z299" s="1"/>
  <c r="B283"/>
  <c r="Z283" s="1"/>
  <c r="B266"/>
  <c r="Z266" s="1"/>
  <c r="B248"/>
  <c r="Z248" s="1"/>
  <c r="B231"/>
  <c r="Z231" s="1"/>
  <c r="B213"/>
  <c r="Z213" s="1"/>
  <c r="B196"/>
  <c r="Z196" s="1"/>
  <c r="B187"/>
  <c r="Z187" s="1"/>
  <c r="B158"/>
  <c r="Z158" s="1"/>
  <c r="B140"/>
  <c r="Z140" s="1"/>
  <c r="B123"/>
  <c r="Z123" s="1"/>
  <c r="B106"/>
  <c r="Z106" s="1"/>
  <c r="B88"/>
  <c r="Z88" s="1"/>
  <c r="B61"/>
  <c r="Z61" s="1"/>
  <c r="B368"/>
  <c r="Z368" s="1"/>
  <c r="B360"/>
  <c r="Z360" s="1"/>
  <c r="B351"/>
  <c r="Z351" s="1"/>
  <c r="B343"/>
  <c r="Z343" s="1"/>
  <c r="B335"/>
  <c r="Z335" s="1"/>
  <c r="B326"/>
  <c r="Z326" s="1"/>
  <c r="B317"/>
  <c r="Z317" s="1"/>
  <c r="B309"/>
  <c r="Z309" s="1"/>
  <c r="B300"/>
  <c r="Z300" s="1"/>
  <c r="B292"/>
  <c r="Z292" s="1"/>
  <c r="B284"/>
  <c r="Z284" s="1"/>
  <c r="B275"/>
  <c r="Z275" s="1"/>
  <c r="B267"/>
  <c r="Z267" s="1"/>
  <c r="B258"/>
  <c r="Z258" s="1"/>
  <c r="B249"/>
  <c r="Z249" s="1"/>
  <c r="B241"/>
  <c r="Z241" s="1"/>
  <c r="B232"/>
  <c r="Z232" s="1"/>
  <c r="B223"/>
  <c r="Z223" s="1"/>
  <c r="B214"/>
  <c r="Z214" s="1"/>
  <c r="B206"/>
  <c r="Z206" s="1"/>
  <c r="B197"/>
  <c r="Z197" s="1"/>
  <c r="B188"/>
  <c r="Z188" s="1"/>
  <c r="B176"/>
  <c r="Z176" s="1"/>
  <c r="B172"/>
  <c r="Z172" s="1"/>
  <c r="B159"/>
  <c r="Z159" s="1"/>
  <c r="B141"/>
  <c r="Z141" s="1"/>
  <c r="B124"/>
  <c r="Z124" s="1"/>
  <c r="B102"/>
  <c r="Z102" s="1"/>
  <c r="B85"/>
  <c r="Z85" s="1"/>
  <c r="B67"/>
  <c r="Z67" s="1"/>
  <c r="B40"/>
  <c r="B24"/>
  <c r="B13"/>
  <c r="B167"/>
  <c r="Z167" s="1"/>
  <c r="B146"/>
  <c r="Z146" s="1"/>
  <c r="B129"/>
  <c r="Z129" s="1"/>
  <c r="B115"/>
  <c r="Z115" s="1"/>
  <c r="B98"/>
  <c r="Z98" s="1"/>
  <c r="B81"/>
  <c r="Z81" s="1"/>
  <c r="B62"/>
  <c r="Z62" s="1"/>
  <c r="B50"/>
  <c r="Z50" s="1"/>
  <c r="B36"/>
  <c r="B20"/>
  <c r="B34"/>
  <c r="B354"/>
  <c r="Z354" s="1"/>
  <c r="B338"/>
  <c r="Z338" s="1"/>
  <c r="B320"/>
  <c r="Z320" s="1"/>
  <c r="B303"/>
  <c r="Z303" s="1"/>
  <c r="B287"/>
  <c r="Z287" s="1"/>
  <c r="B270"/>
  <c r="Z270" s="1"/>
  <c r="B252"/>
  <c r="Z252" s="1"/>
  <c r="B235"/>
  <c r="Z235" s="1"/>
  <c r="B217"/>
  <c r="Z217" s="1"/>
  <c r="B200"/>
  <c r="Z200" s="1"/>
  <c r="B162"/>
  <c r="Z162" s="1"/>
  <c r="B145"/>
  <c r="Z145" s="1"/>
  <c r="B127"/>
  <c r="Z127" s="1"/>
  <c r="B110"/>
  <c r="Z110" s="1"/>
  <c r="B93"/>
  <c r="Z93" s="1"/>
  <c r="B75"/>
  <c r="Z75" s="1"/>
  <c r="B66"/>
  <c r="Z66" s="1"/>
  <c r="B49"/>
  <c r="Z49" s="1"/>
  <c r="B39"/>
  <c r="B31"/>
  <c r="B23"/>
  <c r="B14"/>
  <c r="B131"/>
  <c r="Z131" s="1"/>
  <c r="B109"/>
  <c r="Z109" s="1"/>
  <c r="B96"/>
  <c r="Z96" s="1"/>
  <c r="B78"/>
  <c r="Z78" s="1"/>
  <c r="B64"/>
  <c r="Z64" s="1"/>
  <c r="B48"/>
  <c r="Z48" s="1"/>
  <c r="Z45" s="1"/>
  <c r="B22"/>
  <c r="B362"/>
  <c r="Z362" s="1"/>
  <c r="B353"/>
  <c r="Z353" s="1"/>
  <c r="B346"/>
  <c r="Z346" s="1"/>
  <c r="B337"/>
  <c r="Z337" s="1"/>
  <c r="B328"/>
  <c r="Z328" s="1"/>
  <c r="B319"/>
  <c r="Z319" s="1"/>
  <c r="B311"/>
  <c r="Z311" s="1"/>
  <c r="B302"/>
  <c r="Z302" s="1"/>
  <c r="B294"/>
  <c r="Z294" s="1"/>
  <c r="B286"/>
  <c r="Z286" s="1"/>
  <c r="B277"/>
  <c r="Z277" s="1"/>
  <c r="B269"/>
  <c r="Z269" s="1"/>
  <c r="B260"/>
  <c r="Z260" s="1"/>
  <c r="B251"/>
  <c r="Z251" s="1"/>
  <c r="B243"/>
  <c r="Z243" s="1"/>
  <c r="B234"/>
  <c r="Z234" s="1"/>
  <c r="B225"/>
  <c r="Z225" s="1"/>
  <c r="B216"/>
  <c r="Z216" s="1"/>
  <c r="B208"/>
  <c r="Z208" s="1"/>
  <c r="B199"/>
  <c r="Z199" s="1"/>
  <c r="B190"/>
  <c r="Z190" s="1"/>
  <c r="B182"/>
  <c r="Z182" s="1"/>
  <c r="B169"/>
  <c r="Z169" s="1"/>
  <c r="B161"/>
  <c r="Z161" s="1"/>
  <c r="B152"/>
  <c r="Z152" s="1"/>
  <c r="B143"/>
  <c r="Z143" s="1"/>
  <c r="B134"/>
  <c r="Z134" s="1"/>
  <c r="B122"/>
  <c r="Z122" s="1"/>
  <c r="B100"/>
  <c r="Z100" s="1"/>
  <c r="B83"/>
  <c r="Z83" s="1"/>
  <c r="B60"/>
  <c r="Z60" s="1"/>
  <c r="B42"/>
  <c r="B9"/>
  <c r="B361"/>
  <c r="Z361" s="1"/>
  <c r="B352"/>
  <c r="Z352" s="1"/>
  <c r="B344"/>
  <c r="Z344" s="1"/>
  <c r="B336"/>
  <c r="Z336" s="1"/>
  <c r="B327"/>
  <c r="Z327" s="1"/>
  <c r="B318"/>
  <c r="Z318" s="1"/>
  <c r="B310"/>
  <c r="Z310" s="1"/>
  <c r="B301"/>
  <c r="Z301" s="1"/>
  <c r="B293"/>
  <c r="Z293" s="1"/>
  <c r="B285"/>
  <c r="Z285" s="1"/>
  <c r="B276"/>
  <c r="Z276" s="1"/>
  <c r="B268"/>
  <c r="Z268" s="1"/>
  <c r="B259"/>
  <c r="Z259" s="1"/>
  <c r="B250"/>
  <c r="Z250" s="1"/>
  <c r="B242"/>
  <c r="Z242" s="1"/>
  <c r="B233"/>
  <c r="Z233" s="1"/>
  <c r="B224"/>
  <c r="Z224" s="1"/>
  <c r="B215"/>
  <c r="Z215" s="1"/>
  <c r="B207"/>
  <c r="Z207" s="1"/>
  <c r="B198"/>
  <c r="Z198" s="1"/>
  <c r="B189"/>
  <c r="Z189" s="1"/>
  <c r="B181"/>
  <c r="Z181" s="1"/>
  <c r="B175"/>
  <c r="Z175" s="1"/>
  <c r="B168"/>
  <c r="Z168" s="1"/>
  <c r="B160"/>
  <c r="Z160" s="1"/>
  <c r="B151"/>
  <c r="Z151" s="1"/>
  <c r="B142"/>
  <c r="Z142" s="1"/>
  <c r="B133"/>
  <c r="Z133" s="1"/>
  <c r="B125"/>
  <c r="Z125" s="1"/>
  <c r="B116"/>
  <c r="Z116" s="1"/>
  <c r="B108"/>
  <c r="Z108" s="1"/>
  <c r="B99"/>
  <c r="Z99" s="1"/>
  <c r="B91"/>
  <c r="Z91" s="1"/>
  <c r="B82"/>
  <c r="Z82" s="1"/>
  <c r="B73"/>
  <c r="Z73" s="1"/>
  <c r="B63"/>
  <c r="Z63" s="1"/>
  <c r="B56"/>
  <c r="Z56" s="1"/>
  <c r="AS45" i="7"/>
  <c r="B37" i="8"/>
  <c r="B29"/>
  <c r="B21"/>
  <c r="B12"/>
  <c r="B363"/>
  <c r="Z363" s="1"/>
  <c r="B347"/>
  <c r="Z347" s="1"/>
  <c r="B329"/>
  <c r="Z329" s="1"/>
  <c r="B312"/>
  <c r="Z312" s="1"/>
  <c r="B295"/>
  <c r="Z295" s="1"/>
  <c r="B278"/>
  <c r="Z278" s="1"/>
  <c r="B261"/>
  <c r="Z261" s="1"/>
  <c r="B244"/>
  <c r="Z244" s="1"/>
  <c r="B226"/>
  <c r="Z226" s="1"/>
  <c r="B209"/>
  <c r="Z209" s="1"/>
  <c r="B191"/>
  <c r="Z191" s="1"/>
  <c r="B183"/>
  <c r="Z183" s="1"/>
  <c r="B170"/>
  <c r="Z170" s="1"/>
  <c r="B153"/>
  <c r="Z153" s="1"/>
  <c r="B135"/>
  <c r="Z135" s="1"/>
  <c r="B118"/>
  <c r="Z118" s="1"/>
  <c r="B101"/>
  <c r="Z101" s="1"/>
  <c r="B84"/>
  <c r="Z84" s="1"/>
  <c r="B364"/>
  <c r="Z364" s="1"/>
  <c r="B355"/>
  <c r="Z355" s="1"/>
  <c r="B348"/>
  <c r="Z348" s="1"/>
  <c r="B339"/>
  <c r="Z339" s="1"/>
  <c r="B330"/>
  <c r="Z330" s="1"/>
  <c r="B322"/>
  <c r="Z322" s="1"/>
  <c r="B313"/>
  <c r="Z313" s="1"/>
  <c r="B304"/>
  <c r="Z304" s="1"/>
  <c r="B296"/>
  <c r="Z296" s="1"/>
  <c r="B288"/>
  <c r="Z288" s="1"/>
  <c r="B279"/>
  <c r="Z279" s="1"/>
  <c r="B271"/>
  <c r="Z271" s="1"/>
  <c r="B263"/>
  <c r="Z263" s="1"/>
  <c r="B253"/>
  <c r="Z253" s="1"/>
  <c r="B245"/>
  <c r="Z245" s="1"/>
  <c r="B236"/>
  <c r="Z236" s="1"/>
  <c r="B227"/>
  <c r="Z227" s="1"/>
  <c r="B218"/>
  <c r="Z218" s="1"/>
  <c r="B210"/>
  <c r="Z210" s="1"/>
  <c r="B201"/>
  <c r="Z201" s="1"/>
  <c r="B193"/>
  <c r="Z193" s="1"/>
  <c r="B180"/>
  <c r="Z180" s="1"/>
  <c r="B163"/>
  <c r="Z163" s="1"/>
  <c r="B150"/>
  <c r="Z150" s="1"/>
  <c r="B111"/>
  <c r="Z111" s="1"/>
  <c r="B94"/>
  <c r="Z94" s="1"/>
  <c r="B76"/>
  <c r="Z76" s="1"/>
  <c r="B55"/>
  <c r="Z55" s="1"/>
  <c r="B32"/>
  <c r="B15"/>
  <c r="B30"/>
  <c r="B184"/>
  <c r="Z184" s="1"/>
  <c r="B154"/>
  <c r="Z154" s="1"/>
  <c r="B136"/>
  <c r="Z136" s="1"/>
  <c r="B119"/>
  <c r="Z119" s="1"/>
  <c r="B107"/>
  <c r="Z107" s="1"/>
  <c r="B89"/>
  <c r="Z89" s="1"/>
  <c r="B72"/>
  <c r="Z72" s="1"/>
  <c r="B44"/>
  <c r="B28"/>
  <c r="B11"/>
  <c r="AS17" i="7"/>
  <c r="B359" i="8"/>
  <c r="Z359" s="1"/>
  <c r="B342"/>
  <c r="Z342" s="1"/>
  <c r="B325"/>
  <c r="Z325" s="1"/>
  <c r="B308"/>
  <c r="Z308" s="1"/>
  <c r="B291"/>
  <c r="Z291" s="1"/>
  <c r="B274"/>
  <c r="Z274" s="1"/>
  <c r="B257"/>
  <c r="Z257" s="1"/>
  <c r="B240"/>
  <c r="Z240" s="1"/>
  <c r="B222"/>
  <c r="Z222" s="1"/>
  <c r="B204"/>
  <c r="Z204" s="1"/>
  <c r="B179"/>
  <c r="Z179" s="1"/>
  <c r="B166"/>
  <c r="Z166" s="1"/>
  <c r="B149"/>
  <c r="Z149" s="1"/>
  <c r="B132"/>
  <c r="Z132" s="1"/>
  <c r="B114"/>
  <c r="Z114" s="1"/>
  <c r="B97"/>
  <c r="Z97" s="1"/>
  <c r="B79"/>
  <c r="Z79" s="1"/>
  <c r="B70"/>
  <c r="Z70" s="1"/>
  <c r="B54"/>
  <c r="Z54" s="1"/>
  <c r="B43"/>
  <c r="B35"/>
  <c r="B27"/>
  <c r="B19"/>
  <c r="B10"/>
  <c r="B117"/>
  <c r="Z117" s="1"/>
  <c r="B105"/>
  <c r="Z105" s="1"/>
  <c r="B87"/>
  <c r="Z87" s="1"/>
  <c r="B69"/>
  <c r="Z69" s="1"/>
  <c r="B38"/>
  <c r="B366"/>
  <c r="Z366" s="1"/>
  <c r="B358"/>
  <c r="Z358" s="1"/>
  <c r="B350"/>
  <c r="Z350" s="1"/>
  <c r="B341"/>
  <c r="Z341" s="1"/>
  <c r="B332"/>
  <c r="Z332" s="1"/>
  <c r="B324"/>
  <c r="Z324" s="1"/>
  <c r="B315"/>
  <c r="Z315" s="1"/>
  <c r="B307"/>
  <c r="Z307" s="1"/>
  <c r="B298"/>
  <c r="Z298" s="1"/>
  <c r="B290"/>
  <c r="Z290" s="1"/>
  <c r="B282"/>
  <c r="Z282" s="1"/>
  <c r="B273"/>
  <c r="Z273" s="1"/>
  <c r="B265"/>
  <c r="Z265" s="1"/>
  <c r="B256"/>
  <c r="Z256" s="1"/>
  <c r="B247"/>
  <c r="Z247" s="1"/>
  <c r="B239"/>
  <c r="Z239" s="1"/>
  <c r="B230"/>
  <c r="Z230" s="1"/>
  <c r="B221"/>
  <c r="Z221" s="1"/>
  <c r="B212"/>
  <c r="Z212" s="1"/>
  <c r="B203"/>
  <c r="Z203" s="1"/>
  <c r="B195"/>
  <c r="Z195" s="1"/>
  <c r="B186"/>
  <c r="Z186" s="1"/>
  <c r="B177"/>
  <c r="Z177" s="1"/>
  <c r="B174"/>
  <c r="Z174" s="1"/>
  <c r="B165"/>
  <c r="Z165" s="1"/>
  <c r="B156"/>
  <c r="Z156" s="1"/>
  <c r="B148"/>
  <c r="Z148" s="1"/>
  <c r="B139"/>
  <c r="Z139" s="1"/>
  <c r="B126"/>
  <c r="Z126" s="1"/>
  <c r="B113"/>
  <c r="Z113" s="1"/>
  <c r="B92"/>
  <c r="Z92" s="1"/>
  <c r="B74"/>
  <c r="Z74" s="1"/>
  <c r="B53"/>
  <c r="Z53" s="1"/>
  <c r="B26"/>
  <c r="B365"/>
  <c r="Z365" s="1"/>
  <c r="B357"/>
  <c r="Z357" s="1"/>
  <c r="B349"/>
  <c r="Z349" s="1"/>
  <c r="B340"/>
  <c r="Z340" s="1"/>
  <c r="B331"/>
  <c r="Z331" s="1"/>
  <c r="B323"/>
  <c r="Z323" s="1"/>
  <c r="B314"/>
  <c r="Z314" s="1"/>
  <c r="B306"/>
  <c r="Z306" s="1"/>
  <c r="B297"/>
  <c r="Z297" s="1"/>
  <c r="B289"/>
  <c r="Z289" s="1"/>
  <c r="B281"/>
  <c r="Z281" s="1"/>
  <c r="B272"/>
  <c r="Z272" s="1"/>
  <c r="B264"/>
  <c r="Z264" s="1"/>
  <c r="B255"/>
  <c r="Z255" s="1"/>
  <c r="B246"/>
  <c r="Z246" s="1"/>
  <c r="B237"/>
  <c r="Z237" s="1"/>
  <c r="B228"/>
  <c r="Z228" s="1"/>
  <c r="B220"/>
  <c r="Z220" s="1"/>
  <c r="B211"/>
  <c r="Z211" s="1"/>
  <c r="B202"/>
  <c r="Z202" s="1"/>
  <c r="B194"/>
  <c r="Z194" s="1"/>
  <c r="B185"/>
  <c r="Z185" s="1"/>
  <c r="B173"/>
  <c r="Z173" s="1"/>
  <c r="B164"/>
  <c r="Z164" s="1"/>
  <c r="B155"/>
  <c r="Z155" s="1"/>
  <c r="B147"/>
  <c r="Z147" s="1"/>
  <c r="B138"/>
  <c r="Z138" s="1"/>
  <c r="B130"/>
  <c r="Z130" s="1"/>
  <c r="B121"/>
  <c r="Z121" s="1"/>
  <c r="B112"/>
  <c r="Z112" s="1"/>
  <c r="B103"/>
  <c r="Z103" s="1"/>
  <c r="B95"/>
  <c r="Z95" s="1"/>
  <c r="B86"/>
  <c r="Z86" s="1"/>
  <c r="B77"/>
  <c r="Z77" s="1"/>
  <c r="B68"/>
  <c r="Z68" s="1"/>
  <c r="B59"/>
  <c r="Z59" s="1"/>
  <c r="B51"/>
  <c r="Z51" s="1"/>
  <c r="B41"/>
  <c r="B33"/>
  <c r="B25"/>
  <c r="B16"/>
  <c r="B8"/>
  <c r="N8" s="1"/>
  <c r="Z33" l="1"/>
  <c r="AC33"/>
  <c r="AF33"/>
  <c r="Z25"/>
  <c r="AC25"/>
  <c r="AF25"/>
  <c r="Z41"/>
  <c r="AC41"/>
  <c r="AF41"/>
  <c r="Z26"/>
  <c r="AC26"/>
  <c r="AF26"/>
  <c r="Z38"/>
  <c r="AF38"/>
  <c r="AC38"/>
  <c r="T19"/>
  <c r="Z19"/>
  <c r="AC19"/>
  <c r="AF19"/>
  <c r="Z35"/>
  <c r="AC35"/>
  <c r="AF35"/>
  <c r="Z44"/>
  <c r="AF44"/>
  <c r="AC44"/>
  <c r="Z30"/>
  <c r="AC30"/>
  <c r="AF30"/>
  <c r="AF32"/>
  <c r="Z32"/>
  <c r="AC32"/>
  <c r="Z21"/>
  <c r="AF21"/>
  <c r="AC21"/>
  <c r="Z37"/>
  <c r="AC37"/>
  <c r="AF37"/>
  <c r="Z42"/>
  <c r="AF42"/>
  <c r="AC42"/>
  <c r="Z22"/>
  <c r="AF22"/>
  <c r="AC22"/>
  <c r="Z23"/>
  <c r="AF23"/>
  <c r="AC23"/>
  <c r="Z39"/>
  <c r="AF39"/>
  <c r="AC39"/>
  <c r="Z20"/>
  <c r="AC20"/>
  <c r="AF20"/>
  <c r="Z40"/>
  <c r="AC40"/>
  <c r="AF40"/>
  <c r="Z27"/>
  <c r="AC27"/>
  <c r="AF27"/>
  <c r="Z43"/>
  <c r="AF43"/>
  <c r="AC43"/>
  <c r="Z28"/>
  <c r="AC28"/>
  <c r="AF28"/>
  <c r="Z29"/>
  <c r="AF29"/>
  <c r="AC29"/>
  <c r="Z31"/>
  <c r="AF31"/>
  <c r="AC31"/>
  <c r="Z34"/>
  <c r="AF34"/>
  <c r="AC34"/>
  <c r="Z36"/>
  <c r="AF36"/>
  <c r="AC36"/>
  <c r="Z24"/>
  <c r="AF24"/>
  <c r="AC24"/>
  <c r="Q19"/>
  <c r="K8"/>
  <c r="AS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T45" i="7"/>
  <c r="B18" i="8"/>
  <c r="AT17" i="7"/>
  <c r="B17" i="8" s="1"/>
  <c r="AT6" i="7"/>
  <c r="B6" i="8" s="1"/>
  <c r="AC18" l="1"/>
  <c r="AC17" s="1"/>
  <c r="AC369" s="1"/>
  <c r="AF18"/>
  <c r="AF17" s="1"/>
  <c r="AF369" s="1"/>
  <c r="Z18"/>
  <c r="Z17" s="1"/>
  <c r="Z369" s="1"/>
  <c r="B45"/>
  <c r="AT369" i="7"/>
  <c r="B369" i="8" s="1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T369" l="1"/>
  <c r="Q369"/>
  <c r="E369"/>
  <c r="K369"/>
  <c r="N369"/>
</calcChain>
</file>

<file path=xl/sharedStrings.xml><?xml version="1.0" encoding="utf-8"?>
<sst xmlns="http://schemas.openxmlformats.org/spreadsheetml/2006/main" count="12086" uniqueCount="429">
  <si>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</si>
  <si>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</si>
  <si>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</si>
  <si>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</si>
  <si>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</si>
  <si>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</si>
  <si>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</si>
  <si>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</si>
  <si>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</si>
  <si>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</si>
  <si>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</si>
  <si>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</si>
  <si>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</si>
  <si>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</si>
  <si>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</si>
  <si>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</si>
  <si>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</si>
  <si>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</si>
  <si>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</si>
  <si>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</si>
  <si>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</si>
  <si>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</si>
  <si>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</si>
  <si>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</si>
  <si>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</si>
  <si>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</si>
  <si>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</si>
  <si>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</si>
  <si>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</si>
  <si>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</si>
  <si>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</si>
  <si>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</si>
  <si>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</si>
  <si>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</si>
  <si>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</si>
  <si>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</si>
  <si>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</si>
  <si>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</si>
  <si>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</si>
  <si>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</si>
  <si>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</si>
  <si>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</si>
  <si>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</si>
  <si>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</si>
  <si>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</si>
  <si>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</si>
  <si>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</si>
  <si>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</si>
  <si>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</si>
  <si>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</si>
  <si>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</si>
  <si>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</si>
  <si>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</si>
  <si>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</si>
  <si>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</si>
  <si>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</si>
  <si>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</si>
  <si>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</si>
  <si>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</si>
  <si>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</si>
  <si>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</si>
  <si>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</si>
  <si>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</si>
  <si>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</si>
  <si>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</si>
  <si>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</si>
  <si>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</si>
  <si>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</si>
  <si>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</si>
  <si>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</si>
  <si>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</si>
  <si>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</si>
  <si>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</si>
  <si>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</si>
  <si>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</si>
  <si>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</si>
  <si>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</si>
  <si>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</si>
  <si>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</si>
  <si>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</si>
  <si>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</si>
  <si>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</si>
  <si>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</si>
  <si>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</si>
  <si>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</si>
  <si>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</si>
  <si>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</si>
  <si>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</si>
  <si>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</si>
  <si>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</si>
  <si>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</si>
  <si>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</si>
  <si>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</si>
  <si>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</si>
  <si>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</si>
  <si>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</si>
  <si>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</si>
  <si>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</si>
  <si>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</si>
  <si>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</si>
  <si>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</si>
  <si>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</si>
  <si>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</si>
  <si>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</si>
  <si>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</si>
  <si>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</si>
  <si>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</si>
  <si>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</si>
  <si>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</si>
  <si>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</si>
  <si>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</si>
  <si>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</si>
  <si>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</si>
  <si>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</si>
  <si>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</si>
  <si>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</si>
  <si>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</si>
  <si>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</si>
  <si>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</si>
  <si>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</si>
  <si>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</si>
  <si>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</si>
  <si>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</si>
  <si>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</si>
  <si>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</si>
  <si>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</si>
  <si>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</si>
  <si>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</si>
  <si>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</si>
  <si>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</si>
  <si>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</si>
  <si>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</si>
  <si>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</si>
  <si>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</si>
  <si>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</si>
  <si>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</si>
  <si>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</si>
  <si>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</si>
  <si>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</si>
  <si>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</si>
  <si>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</si>
  <si>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</si>
  <si>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</si>
  <si>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</si>
  <si>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</si>
  <si>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</si>
  <si>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</si>
  <si>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</si>
  <si>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</si>
  <si>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</si>
  <si>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</si>
  <si>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</si>
  <si>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</si>
  <si>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</si>
  <si>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</si>
  <si>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</si>
  <si>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</si>
  <si>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</si>
  <si>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</si>
  <si>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</si>
  <si>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</si>
  <si>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</si>
  <si>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</si>
  <si>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</si>
  <si>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</si>
  <si>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</si>
  <si>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</si>
  <si>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</si>
  <si>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</si>
  <si>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</si>
  <si>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</si>
  <si>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</si>
  <si>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</si>
  <si>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</si>
  <si>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</si>
  <si>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</si>
  <si>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</si>
  <si>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</si>
  <si>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</si>
  <si>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</si>
  <si>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</si>
  <si>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</si>
  <si>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</si>
  <si>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</si>
  <si>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</si>
  <si>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</si>
  <si>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</si>
  <si>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</si>
  <si>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</si>
  <si>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</si>
  <si>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</si>
  <si>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</si>
  <si>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</si>
  <si>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</si>
  <si>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</si>
  <si>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</si>
  <si>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</si>
  <si>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</si>
  <si>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</si>
  <si>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</si>
  <si>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</si>
  <si>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</si>
  <si>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</si>
  <si>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</si>
  <si>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</si>
  <si>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</si>
  <si>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</si>
  <si>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</si>
  <si>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</si>
  <si>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</si>
  <si>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</si>
  <si>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</si>
  <si>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</si>
  <si>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</si>
  <si>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</si>
  <si>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</si>
  <si>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</si>
  <si>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</si>
  <si>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</si>
  <si>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</si>
  <si>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</si>
  <si>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</si>
  <si>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</si>
  <si>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</si>
  <si>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</si>
  <si>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</si>
  <si>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</si>
  <si>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</si>
  <si>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</si>
  <si>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</si>
  <si>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</si>
  <si>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</si>
  <si>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</si>
  <si>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</si>
  <si>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</si>
  <si>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</si>
  <si>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</si>
  <si>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</si>
  <si>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</si>
  <si>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</si>
  <si>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</si>
  <si>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</si>
  <si>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</si>
  <si>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</si>
  <si>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</si>
  <si>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</si>
  <si>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</si>
  <si>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</si>
  <si>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</si>
  <si>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</si>
  <si>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</si>
  <si>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</si>
  <si>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</si>
  <si>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</si>
  <si>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</si>
  <si>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</si>
  <si>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</si>
  <si>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</si>
  <si>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</si>
  <si>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</si>
  <si>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</si>
  <si>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</si>
  <si>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</si>
  <si>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</si>
  <si>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</si>
  <si>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</si>
  <si>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</si>
  <si>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</si>
  <si>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</si>
  <si>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</si>
  <si>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</si>
  <si>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</si>
  <si>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</si>
  <si>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</si>
  <si>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</si>
  <si>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</si>
  <si>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</si>
  <si>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</si>
  <si>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</si>
  <si>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</si>
  <si>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</si>
  <si>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</si>
  <si>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</si>
  <si>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</si>
  <si>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</si>
  <si>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</si>
  <si>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</si>
  <si>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</si>
  <si>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</si>
  <si>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</si>
  <si>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</si>
  <si>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</si>
  <si>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</si>
  <si>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</si>
  <si>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</si>
  <si>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</si>
  <si>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</si>
  <si>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</si>
  <si>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</si>
  <si>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</si>
  <si>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</si>
  <si>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</si>
  <si>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</si>
  <si>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</si>
  <si>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</si>
  <si>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</si>
  <si>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</si>
  <si>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</si>
  <si>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</si>
  <si>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</si>
  <si>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</si>
  <si>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</si>
  <si>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</si>
  <si>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</si>
  <si>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</si>
  <si>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</si>
  <si>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</si>
  <si>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</si>
  <si>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</si>
  <si>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</si>
  <si>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</si>
  <si>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</si>
  <si>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</si>
  <si>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</si>
  <si>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</si>
  <si>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</si>
  <si>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</si>
  <si>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</si>
  <si>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</si>
  <si>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</si>
  <si>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</si>
  <si>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</si>
  <si>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</si>
  <si>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</si>
  <si>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</si>
  <si>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</si>
  <si>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</si>
  <si>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</si>
  <si>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</si>
  <si>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</si>
  <si>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</si>
  <si>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</si>
  <si>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</si>
  <si>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</si>
  <si>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</si>
  <si>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</si>
  <si>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</si>
  <si>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</si>
  <si>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</si>
  <si>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</si>
  <si>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</si>
  <si>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</si>
  <si>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</si>
  <si>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</si>
  <si>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</si>
  <si>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</si>
  <si>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</si>
  <si>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</si>
  <si>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</si>
  <si>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</si>
  <si>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</si>
  <si>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</si>
  <si>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</si>
  <si>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</si>
  <si>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</si>
  <si>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</si>
  <si>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</si>
  <si>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</si>
  <si>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</si>
  <si>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</si>
  <si>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</si>
  <si>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</si>
  <si>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</si>
  <si>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</si>
  <si>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</si>
  <si>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</si>
  <si>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</si>
  <si>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</si>
  <si>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</si>
  <si>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</si>
  <si>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</si>
  <si>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</si>
  <si>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</si>
  <si>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</si>
  <si>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</si>
  <si>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</si>
  <si>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</si>
  <si>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</si>
  <si>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</si>
  <si>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</si>
  <si>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</si>
  <si>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</si>
  <si>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Распределение за отчётный период с учетом корректировок</t>
  </si>
  <si>
    <t>За I квартал 2016 года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</si>
  <si>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</si>
  <si>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</si>
  <si>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</si>
  <si>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</si>
  <si>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Раннее предоставленные субсидии</t>
  </si>
  <si>
    <t>За январь</t>
  </si>
  <si>
    <t>За февраль</t>
  </si>
  <si>
    <t>44=43/11мес.*3 мес.</t>
  </si>
  <si>
    <t>45=44*42</t>
  </si>
  <si>
    <t>46=45-44</t>
  </si>
  <si>
    <t>28=27/26</t>
  </si>
  <si>
    <t>32=31/30</t>
  </si>
  <si>
    <t>36=35/34</t>
  </si>
  <si>
    <t>40=39/38</t>
  </si>
  <si>
    <t>49=45-47-48</t>
  </si>
  <si>
    <t>Распределение за отчётный период за вычетом предоставленных субсидий за январь-февраль 2016 года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</si>
  <si>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</si>
  <si>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</si>
  <si>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Корректировка распределения с учетом использования показателя 
"темп роста среднемесячной номинальной заработной платы" за февраль 2016 года</t>
  </si>
  <si>
    <t>53=51+52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</si>
  <si>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</si>
  <si>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2015 год</t>
  </si>
  <si>
    <t>55=53-54</t>
  </si>
  <si>
    <t>Оборот розничной торговли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</si>
  <si>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</si>
  <si>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</si>
  <si>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</si>
  <si>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</si>
  <si>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</si>
  <si>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</si>
  <si>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(20)=(2)*(22)/(33)</t>
  </si>
  <si>
    <t xml:space="preserve"> + / -
(20)=(2)*(25)/(33)</t>
  </si>
  <si>
    <t xml:space="preserve"> + / -
(20)=(2)*(28)/(33)</t>
  </si>
  <si>
    <t xml:space="preserve"> + / -
(20)=(2)*(31)/(33)</t>
  </si>
  <si>
    <t>Факторный анализ влияния отдельных показателей на итоговое распределение за I квартал 2016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</si>
</sst>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0_ ;[Red]\-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91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19" borderId="5" xfId="0" applyFont="1" applyFill="1" applyBorder="1" applyAlignment="1">
      <alignment horizontal="center" vertical="center" wrapText="1"/>
    </xf>
    <xf numFmtId="170" fontId="17" fillId="0" borderId="3" xfId="0" applyNumberFormat="1" applyFont="1" applyFill="1" applyBorder="1"/>
    <xf numFmtId="170" fontId="20" fillId="12" borderId="3" xfId="0" applyNumberFormat="1" applyFont="1" applyFill="1" applyBorder="1" applyAlignment="1">
      <alignment vertical="center"/>
    </xf>
    <xf numFmtId="170" fontId="17" fillId="0" borderId="3" xfId="0" applyNumberFormat="1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A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2187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0" width="10.21875" style="1" bestFit="1" customWidth="1"/>
    <col min="11" max="11" width="10.44140625" style="1" bestFit="1" customWidth="1"/>
    <col min="12" max="12" width="13" style="1" bestFit="1" customWidth="1"/>
    <col min="13" max="13" width="5.33203125" style="1" customWidth="1"/>
    <col min="14" max="14" width="16.2187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3" width="10.44140625" style="1" bestFit="1" customWidth="1"/>
    <col min="24" max="24" width="13" style="1" bestFit="1" customWidth="1"/>
    <col min="25" max="25" width="4.6640625" style="1" customWidth="1"/>
    <col min="26" max="26" width="11" style="1" customWidth="1"/>
    <col min="27" max="27" width="12.33203125" style="1" customWidth="1"/>
    <col min="28" max="28" width="13.77734375" style="1" customWidth="1"/>
    <col min="29" max="29" width="6.109375" style="1" customWidth="1"/>
    <col min="30" max="30" width="11.6640625" style="1" bestFit="1" customWidth="1"/>
    <col min="31" max="31" width="13.21875" style="1" customWidth="1"/>
    <col min="32" max="32" width="16.33203125" style="1" customWidth="1"/>
    <col min="33" max="33" width="5.5546875" style="1" customWidth="1"/>
    <col min="34" max="34" width="12.5546875" style="1" customWidth="1"/>
    <col min="35" max="35" width="12.21875" style="1" customWidth="1"/>
    <col min="36" max="36" width="16.109375" style="1" customWidth="1"/>
    <col min="37" max="37" width="5.77734375" style="1" customWidth="1"/>
    <col min="38" max="38" width="11.6640625" style="1" customWidth="1"/>
    <col min="39" max="39" width="13.21875" style="1" customWidth="1"/>
    <col min="40" max="40" width="14.5546875" style="1" customWidth="1"/>
    <col min="41" max="41" width="6.44140625" style="1" customWidth="1"/>
    <col min="42" max="42" width="13" style="1" customWidth="1"/>
    <col min="43" max="43" width="11.77734375" style="1" customWidth="1"/>
    <col min="44" max="44" width="19.6640625" style="1" customWidth="1"/>
    <col min="45" max="45" width="13.5546875" style="1" customWidth="1"/>
    <col min="46" max="54" width="14.33203125" style="1" customWidth="1"/>
    <col min="55" max="55" width="13.88671875" style="1" bestFit="1" customWidth="1"/>
    <col min="56" max="56" width="48" style="1" bestFit="1" customWidth="1"/>
    <col min="57" max="57" width="23.6640625" style="1" customWidth="1"/>
    <col min="58" max="16384" width="9.109375" style="1"/>
  </cols>
  <sheetData>
    <row r="1" spans="1:71" ht="21.75" customHeight="1">
      <c r="A1" s="83" t="s">
        <v>372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1" ht="15.55">
      <c r="A2" s="66" t="s">
        <v>393</v>
      </c>
      <c r="BC2" s="71" t="s">
        <v>383</v>
      </c>
    </row>
    <row r="3" spans="1:71" ht="134.35" customHeight="1">
      <c r="A3" s="76" t="s">
        <v>15</v>
      </c>
      <c r="B3" s="84" t="s">
        <v>389</v>
      </c>
      <c r="C3" s="84"/>
      <c r="D3" s="84"/>
      <c r="E3" s="84"/>
      <c r="F3" s="84" t="s">
        <v>375</v>
      </c>
      <c r="G3" s="84"/>
      <c r="H3" s="84"/>
      <c r="I3" s="84"/>
      <c r="J3" s="84" t="s">
        <v>386</v>
      </c>
      <c r="K3" s="84"/>
      <c r="L3" s="84"/>
      <c r="M3" s="84"/>
      <c r="N3" s="84" t="s">
        <v>378</v>
      </c>
      <c r="O3" s="84"/>
      <c r="P3" s="84"/>
      <c r="Q3" s="84"/>
      <c r="R3" s="84" t="s">
        <v>374</v>
      </c>
      <c r="S3" s="84"/>
      <c r="T3" s="84"/>
      <c r="U3" s="84"/>
      <c r="V3" s="84" t="s">
        <v>373</v>
      </c>
      <c r="W3" s="84"/>
      <c r="X3" s="84"/>
      <c r="Y3" s="84"/>
      <c r="Z3" s="79" t="s">
        <v>394</v>
      </c>
      <c r="AA3" s="79"/>
      <c r="AB3" s="79"/>
      <c r="AC3" s="79"/>
      <c r="AD3" s="79" t="s">
        <v>395</v>
      </c>
      <c r="AE3" s="79"/>
      <c r="AF3" s="79"/>
      <c r="AG3" s="79"/>
      <c r="AH3" s="79" t="s">
        <v>396</v>
      </c>
      <c r="AI3" s="79"/>
      <c r="AJ3" s="79"/>
      <c r="AK3" s="79"/>
      <c r="AL3" s="79" t="s">
        <v>397</v>
      </c>
      <c r="AM3" s="79"/>
      <c r="AN3" s="79"/>
      <c r="AO3" s="79"/>
      <c r="AP3" s="82" t="s">
        <v>390</v>
      </c>
      <c r="AQ3" s="77" t="s">
        <v>371</v>
      </c>
      <c r="AR3" s="78" t="s">
        <v>376</v>
      </c>
      <c r="AS3" s="78" t="s">
        <v>377</v>
      </c>
      <c r="AT3" s="78" t="s">
        <v>368</v>
      </c>
      <c r="AU3" s="80" t="s">
        <v>398</v>
      </c>
      <c r="AV3" s="81"/>
      <c r="AW3" s="78" t="s">
        <v>409</v>
      </c>
      <c r="AX3" s="78" t="s">
        <v>410</v>
      </c>
      <c r="AY3" s="78" t="s">
        <v>411</v>
      </c>
      <c r="AZ3" s="76" t="s">
        <v>412</v>
      </c>
      <c r="BA3" s="76" t="s">
        <v>392</v>
      </c>
      <c r="BB3" s="76" t="s">
        <v>415</v>
      </c>
      <c r="BC3" s="76" t="s">
        <v>414</v>
      </c>
    </row>
    <row r="4" spans="1:71" ht="42.05" customHeight="1">
      <c r="A4" s="76"/>
      <c r="B4" s="64" t="s">
        <v>360</v>
      </c>
      <c r="C4" s="64" t="s">
        <v>361</v>
      </c>
      <c r="D4" s="65" t="s">
        <v>391</v>
      </c>
      <c r="E4" s="64" t="s">
        <v>16</v>
      </c>
      <c r="F4" s="64" t="s">
        <v>360</v>
      </c>
      <c r="G4" s="64" t="s">
        <v>361</v>
      </c>
      <c r="H4" s="65" t="s">
        <v>391</v>
      </c>
      <c r="I4" s="64" t="s">
        <v>16</v>
      </c>
      <c r="J4" s="64" t="s">
        <v>360</v>
      </c>
      <c r="K4" s="64" t="s">
        <v>361</v>
      </c>
      <c r="L4" s="65" t="s">
        <v>391</v>
      </c>
      <c r="M4" s="64" t="s">
        <v>16</v>
      </c>
      <c r="N4" s="64" t="s">
        <v>360</v>
      </c>
      <c r="O4" s="64" t="s">
        <v>361</v>
      </c>
      <c r="P4" s="65" t="s">
        <v>391</v>
      </c>
      <c r="Q4" s="64" t="s">
        <v>16</v>
      </c>
      <c r="R4" s="64" t="s">
        <v>360</v>
      </c>
      <c r="S4" s="64" t="s">
        <v>361</v>
      </c>
      <c r="T4" s="65" t="s">
        <v>391</v>
      </c>
      <c r="U4" s="64" t="s">
        <v>16</v>
      </c>
      <c r="V4" s="64" t="s">
        <v>360</v>
      </c>
      <c r="W4" s="64" t="s">
        <v>361</v>
      </c>
      <c r="X4" s="65" t="s">
        <v>391</v>
      </c>
      <c r="Y4" s="64" t="s">
        <v>16</v>
      </c>
      <c r="Z4" s="67" t="s">
        <v>360</v>
      </c>
      <c r="AA4" s="67" t="s">
        <v>361</v>
      </c>
      <c r="AB4" s="67" t="s">
        <v>391</v>
      </c>
      <c r="AC4" s="67" t="s">
        <v>16</v>
      </c>
      <c r="AD4" s="67" t="s">
        <v>360</v>
      </c>
      <c r="AE4" s="67" t="s">
        <v>361</v>
      </c>
      <c r="AF4" s="67" t="s">
        <v>391</v>
      </c>
      <c r="AG4" s="67" t="s">
        <v>16</v>
      </c>
      <c r="AH4" s="67" t="s">
        <v>360</v>
      </c>
      <c r="AI4" s="67" t="s">
        <v>361</v>
      </c>
      <c r="AJ4" s="67" t="s">
        <v>391</v>
      </c>
      <c r="AK4" s="67" t="s">
        <v>16</v>
      </c>
      <c r="AL4" s="67" t="s">
        <v>360</v>
      </c>
      <c r="AM4" s="67" t="s">
        <v>361</v>
      </c>
      <c r="AN4" s="67" t="s">
        <v>391</v>
      </c>
      <c r="AO4" s="67" t="s">
        <v>16</v>
      </c>
      <c r="AP4" s="82"/>
      <c r="AQ4" s="77"/>
      <c r="AR4" s="78"/>
      <c r="AS4" s="78"/>
      <c r="AT4" s="78"/>
      <c r="AU4" s="68" t="s">
        <v>399</v>
      </c>
      <c r="AV4" s="68" t="s">
        <v>400</v>
      </c>
      <c r="AW4" s="78"/>
      <c r="AX4" s="78"/>
      <c r="AY4" s="78"/>
      <c r="AZ4" s="76"/>
      <c r="BA4" s="76"/>
      <c r="BB4" s="76"/>
      <c r="BC4" s="76"/>
    </row>
    <row r="5" spans="1:71" s="19" customFormat="1" ht="14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387</v>
      </c>
      <c r="U5" s="25">
        <v>21</v>
      </c>
      <c r="V5" s="25">
        <v>22</v>
      </c>
      <c r="W5" s="25">
        <v>23</v>
      </c>
      <c r="X5" s="25" t="s">
        <v>388</v>
      </c>
      <c r="Y5" s="25">
        <v>25</v>
      </c>
      <c r="Z5" s="25">
        <v>26</v>
      </c>
      <c r="AA5" s="25">
        <v>27</v>
      </c>
      <c r="AB5" s="25" t="s">
        <v>404</v>
      </c>
      <c r="AC5" s="25">
        <v>29</v>
      </c>
      <c r="AD5" s="25">
        <v>30</v>
      </c>
      <c r="AE5" s="25">
        <v>31</v>
      </c>
      <c r="AF5" s="25" t="s">
        <v>405</v>
      </c>
      <c r="AG5" s="25">
        <v>33</v>
      </c>
      <c r="AH5" s="25">
        <v>34</v>
      </c>
      <c r="AI5" s="25">
        <v>35</v>
      </c>
      <c r="AJ5" s="25" t="s">
        <v>406</v>
      </c>
      <c r="AK5" s="25">
        <v>37</v>
      </c>
      <c r="AL5" s="25">
        <v>38</v>
      </c>
      <c r="AM5" s="25">
        <v>39</v>
      </c>
      <c r="AN5" s="25" t="s">
        <v>407</v>
      </c>
      <c r="AO5" s="25">
        <v>41</v>
      </c>
      <c r="AP5" s="25">
        <v>42</v>
      </c>
      <c r="AQ5" s="25">
        <v>43</v>
      </c>
      <c r="AR5" s="25" t="s">
        <v>401</v>
      </c>
      <c r="AS5" s="25" t="s">
        <v>402</v>
      </c>
      <c r="AT5" s="25" t="s">
        <v>403</v>
      </c>
      <c r="AU5" s="25">
        <v>47</v>
      </c>
      <c r="AV5" s="25">
        <v>48</v>
      </c>
      <c r="AW5" s="25" t="s">
        <v>408</v>
      </c>
      <c r="AX5" s="25">
        <v>50</v>
      </c>
      <c r="AY5" s="25">
        <v>51</v>
      </c>
      <c r="AZ5" s="25">
        <v>52</v>
      </c>
      <c r="BA5" s="25" t="s">
        <v>413</v>
      </c>
      <c r="BB5" s="25">
        <v>54</v>
      </c>
      <c r="BC5" s="25" t="s">
        <v>416</v>
      </c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s="3" customFormat="1" ht="17" customHeight="1">
      <c r="A6" s="36" t="s">
        <v>4</v>
      </c>
      <c r="B6" s="34">
        <f>SUM(B7:B16)</f>
        <v>206858904</v>
      </c>
      <c r="C6" s="34">
        <f>SUM(C7:C16)</f>
        <v>194908428.89999998</v>
      </c>
      <c r="D6" s="6">
        <f>IF(C6/B6&gt;1.2,IF((C6/B6-1)*0.1+1.2&gt;1.3,1.3,(C6/B6-1.2)*0.1+1.2),C6/B6)</f>
        <v>0.94222885808193191</v>
      </c>
      <c r="E6" s="21"/>
      <c r="F6" s="37"/>
      <c r="G6" s="37"/>
      <c r="H6" s="6"/>
      <c r="I6" s="21"/>
      <c r="J6" s="34">
        <f>SUM(J7:J16)</f>
        <v>16150</v>
      </c>
      <c r="K6" s="34">
        <f>SUM(K7:K16)</f>
        <v>19455</v>
      </c>
      <c r="L6" s="6">
        <f>IF(J6/K6&gt;1.2,IF((J6/K6-1)*0.1+1.2&gt;1.3,1.3,(J6/K6-1.2)*0.1+1.2),J6/K6)</f>
        <v>0.8301207915702904</v>
      </c>
      <c r="M6" s="21"/>
      <c r="N6" s="34">
        <f>SUM(N7:N16)</f>
        <v>5125836.0000000009</v>
      </c>
      <c r="O6" s="34">
        <f>SUM(O7:O16)</f>
        <v>4941185.6000000006</v>
      </c>
      <c r="P6" s="6">
        <f>IF(O6/N6&gt;1.2,IF((O6/N6-1.2)*0.1+1.2&gt;1.3,1.3,(O6/N6-1.2)*0.1+1.2),O6/N6)</f>
        <v>0.96397652987727267</v>
      </c>
      <c r="Q6" s="21"/>
      <c r="R6" s="38"/>
      <c r="S6" s="38"/>
      <c r="T6" s="38"/>
      <c r="U6" s="21"/>
      <c r="V6" s="38"/>
      <c r="W6" s="39"/>
      <c r="X6" s="3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0">
        <f>SUM(AQ7:AQ16)</f>
        <v>2045058</v>
      </c>
      <c r="AR6" s="34">
        <f>SUM(AR7:AR16)</f>
        <v>557743.09090909082</v>
      </c>
      <c r="AS6" s="34">
        <f>SUM(AS7:AS16)</f>
        <v>527448</v>
      </c>
      <c r="AT6" s="34">
        <f>SUM(AT7:AT16)</f>
        <v>-30295.090909090901</v>
      </c>
      <c r="AU6" s="34">
        <f t="shared" ref="AU6:AZ6" si="0">SUM(AU7:AU16)</f>
        <v>180926.4</v>
      </c>
      <c r="AV6" s="34">
        <f t="shared" si="0"/>
        <v>176276.1</v>
      </c>
      <c r="AW6" s="34">
        <f t="shared" si="0"/>
        <v>170245.5</v>
      </c>
      <c r="AX6" s="34"/>
      <c r="AY6" s="34">
        <f t="shared" si="0"/>
        <v>170245.5</v>
      </c>
      <c r="AZ6" s="34">
        <f t="shared" si="0"/>
        <v>2354.1</v>
      </c>
      <c r="BA6" s="34">
        <f>SUM(BA7:BA16)</f>
        <v>172599.59999999998</v>
      </c>
      <c r="BB6" s="34">
        <f>SUM(BB7:BB16)</f>
        <v>37106.800000000003</v>
      </c>
      <c r="BC6" s="34">
        <f>SUM(BC7:BC16)</f>
        <v>135492.80000000002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" customFormat="1" ht="17" customHeight="1">
      <c r="A7" s="12" t="s">
        <v>5</v>
      </c>
      <c r="B7" s="35">
        <v>62102416</v>
      </c>
      <c r="C7" s="35">
        <v>59012735</v>
      </c>
      <c r="D7" s="4">
        <f>IF(E7=0,0,IF(B7=0,1,IF(C7&lt;0,0,IF(C7/B7&gt;1.2,IF((C7/B7-1.2)*0.1+1.2&gt;1.3,1.3,(C7/B7-1.2)*0.1+1.2),C7/B7))))</f>
        <v>0.95024861834682894</v>
      </c>
      <c r="E7" s="11">
        <v>15</v>
      </c>
      <c r="F7" s="59" t="s">
        <v>385</v>
      </c>
      <c r="G7" s="59" t="s">
        <v>385</v>
      </c>
      <c r="H7" s="59" t="s">
        <v>385</v>
      </c>
      <c r="I7" s="59" t="s">
        <v>385</v>
      </c>
      <c r="J7" s="45">
        <v>4650</v>
      </c>
      <c r="K7" s="45">
        <v>5321</v>
      </c>
      <c r="L7" s="4">
        <f>IF(M7=0,0,IF(J7=0,1,IF(K7&lt;0,0,IF(J7/K7&gt;1.2,IF((J7/K7-1.2)*0.1+1.2&gt;1.3,1.3,(J7/K7-1.2)*0.1+1.2),J7/K7))))</f>
        <v>0.87389588423228715</v>
      </c>
      <c r="M7" s="11">
        <v>5</v>
      </c>
      <c r="N7" s="35">
        <v>2942994.2</v>
      </c>
      <c r="O7" s="35">
        <v>2748992.4</v>
      </c>
      <c r="P7" s="4">
        <f>IF(Q7=0,0,IF(N7=0,1,IF(O7&lt;0,0,IF(O7/N7&gt;1.2,IF((O7/N7-1.2)*0.1+1.2&gt;1.3,1.3,(O7/N7-1.2)*0.1+1.2),O7/N7))))</f>
        <v>0.9340801283264506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5" t="s">
        <v>385</v>
      </c>
      <c r="AA7" s="5" t="s">
        <v>385</v>
      </c>
      <c r="AB7" s="5" t="s">
        <v>385</v>
      </c>
      <c r="AC7" s="5" t="s">
        <v>385</v>
      </c>
      <c r="AD7" s="5" t="s">
        <v>362</v>
      </c>
      <c r="AE7" s="5" t="s">
        <v>362</v>
      </c>
      <c r="AF7" s="5" t="s">
        <v>362</v>
      </c>
      <c r="AG7" s="5" t="s">
        <v>362</v>
      </c>
      <c r="AH7" s="5" t="s">
        <v>362</v>
      </c>
      <c r="AI7" s="5" t="s">
        <v>362</v>
      </c>
      <c r="AJ7" s="5" t="s">
        <v>362</v>
      </c>
      <c r="AK7" s="5" t="s">
        <v>362</v>
      </c>
      <c r="AL7" s="5" t="s">
        <v>362</v>
      </c>
      <c r="AM7" s="5" t="s">
        <v>362</v>
      </c>
      <c r="AN7" s="5" t="s">
        <v>362</v>
      </c>
      <c r="AO7" s="5" t="s">
        <v>362</v>
      </c>
      <c r="AP7" s="44">
        <f>(D7*E7+L7*M7+P7*Q7)/(E7+M7+Q7)</f>
        <v>0.93262028157232213</v>
      </c>
      <c r="AQ7" s="45">
        <v>501679</v>
      </c>
      <c r="AR7" s="35">
        <f>AQ7/11*3</f>
        <v>136821.54545454544</v>
      </c>
      <c r="AS7" s="35">
        <f>ROUND(AP7*AR7,1)</f>
        <v>127602.5</v>
      </c>
      <c r="AT7" s="35">
        <f>AS7-AR7</f>
        <v>-9219.0454545454413</v>
      </c>
      <c r="AU7" s="35">
        <v>39456.5</v>
      </c>
      <c r="AV7" s="35">
        <v>43964.100000000006</v>
      </c>
      <c r="AW7" s="35">
        <f>ROUND(AS7-SUM(AU7:AV7),1)</f>
        <v>44181.9</v>
      </c>
      <c r="AX7" s="35"/>
      <c r="AY7" s="35">
        <f>IF(OR(AW7&lt;0,AX7="+"),0,AW7)</f>
        <v>44181.9</v>
      </c>
      <c r="AZ7" s="35">
        <v>663.6</v>
      </c>
      <c r="BA7" s="35">
        <f>AY7+AZ7</f>
        <v>44845.5</v>
      </c>
      <c r="BB7" s="35">
        <f>MIN(BA7,16347.3)</f>
        <v>16347.3</v>
      </c>
      <c r="BC7" s="35">
        <f>IF((BA7-BB7)&gt;0,ROUND(BA7-BB7,1),0)</f>
        <v>28498.2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" customFormat="1" ht="17" customHeight="1">
      <c r="A8" s="12" t="s">
        <v>6</v>
      </c>
      <c r="B8" s="35">
        <v>100877468</v>
      </c>
      <c r="C8" s="35">
        <v>94259909</v>
      </c>
      <c r="D8" s="4">
        <f t="shared" ref="D8:D44" si="1">IF(E8=0,0,IF(B8=0,1,IF(C8&lt;0,0,IF(C8/B8&gt;1.2,IF((C8/B8-1.2)*0.1+1.2&gt;1.3,1.3,(C8/B8-1.2)*0.1+1.2),C8/B8))))</f>
        <v>0.93440002875567818</v>
      </c>
      <c r="E8" s="11">
        <v>15</v>
      </c>
      <c r="F8" s="59" t="s">
        <v>385</v>
      </c>
      <c r="G8" s="59" t="s">
        <v>385</v>
      </c>
      <c r="H8" s="59" t="s">
        <v>385</v>
      </c>
      <c r="I8" s="59" t="s">
        <v>385</v>
      </c>
      <c r="J8" s="45">
        <v>8000</v>
      </c>
      <c r="K8" s="45">
        <v>10073</v>
      </c>
      <c r="L8" s="4">
        <f t="shared" ref="L8:L44" si="2">IF(M8=0,0,IF(J8=0,1,IF(K8&lt;0,0,IF(J8/K8&gt;1.2,IF((J8/K8-1.2)*0.1+1.2&gt;1.3,1.3,(J8/K8-1.2)*0.1+1.2),J8/K8))))</f>
        <v>0.79420232304179494</v>
      </c>
      <c r="M8" s="11">
        <v>15</v>
      </c>
      <c r="N8" s="35">
        <v>1338902.6000000001</v>
      </c>
      <c r="O8" s="35">
        <v>1312377.2</v>
      </c>
      <c r="P8" s="4">
        <f t="shared" ref="P8:P44" si="3">IF(Q8=0,0,IF(N8=0,1,IF(O8&lt;0,0,IF(O8/N8&gt;1.2,IF((O8/N8-1.2)*0.1+1.2&gt;1.3,1.3,(O8/N8-1.2)*0.1+1.2),O8/N8))))</f>
        <v>0.9801887008061676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5" t="s">
        <v>385</v>
      </c>
      <c r="AA8" s="5" t="s">
        <v>385</v>
      </c>
      <c r="AB8" s="5" t="s">
        <v>385</v>
      </c>
      <c r="AC8" s="5" t="s">
        <v>385</v>
      </c>
      <c r="AD8" s="5" t="s">
        <v>362</v>
      </c>
      <c r="AE8" s="5" t="s">
        <v>362</v>
      </c>
      <c r="AF8" s="5" t="s">
        <v>362</v>
      </c>
      <c r="AG8" s="5" t="s">
        <v>362</v>
      </c>
      <c r="AH8" s="5" t="s">
        <v>362</v>
      </c>
      <c r="AI8" s="5" t="s">
        <v>362</v>
      </c>
      <c r="AJ8" s="5" t="s">
        <v>362</v>
      </c>
      <c r="AK8" s="5" t="s">
        <v>362</v>
      </c>
      <c r="AL8" s="5" t="s">
        <v>362</v>
      </c>
      <c r="AM8" s="5" t="s">
        <v>362</v>
      </c>
      <c r="AN8" s="5" t="s">
        <v>362</v>
      </c>
      <c r="AO8" s="5" t="s">
        <v>362</v>
      </c>
      <c r="AP8" s="44">
        <f t="shared" ref="AP8:AP15" si="4">(D8*E8+L8*M8+P8*Q8)/(E8+M8+Q8)</f>
        <v>0.91065618586170904</v>
      </c>
      <c r="AQ8" s="45">
        <v>415477</v>
      </c>
      <c r="AR8" s="35">
        <f t="shared" ref="AR8:AR44" si="5">AQ8/11*3</f>
        <v>113311.90909090909</v>
      </c>
      <c r="AS8" s="35">
        <f t="shared" ref="AS8:AS44" si="6">ROUND(AP8*AR8,1)</f>
        <v>103188.2</v>
      </c>
      <c r="AT8" s="35">
        <f t="shared" ref="AT8:AT44" si="7">AS8-AR8</f>
        <v>-10123.709090909091</v>
      </c>
      <c r="AU8" s="35">
        <v>40018.699999999997</v>
      </c>
      <c r="AV8" s="35">
        <v>38100</v>
      </c>
      <c r="AW8" s="35">
        <f t="shared" ref="AW8:AW44" si="8">ROUND(AS8-SUM(AU8:AV8),1)</f>
        <v>25069.5</v>
      </c>
      <c r="AX8" s="35"/>
      <c r="AY8" s="35">
        <f t="shared" ref="AY8:AY44" si="9">IF(OR(AW8&lt;0,AX8="+"),0,AW8)</f>
        <v>25069.5</v>
      </c>
      <c r="AZ8" s="35">
        <v>110.5</v>
      </c>
      <c r="BA8" s="35">
        <f t="shared" ref="BA8:BA16" si="10">AY8+AZ8</f>
        <v>25180</v>
      </c>
      <c r="BB8" s="35"/>
      <c r="BC8" s="35">
        <f t="shared" ref="BC8:BC43" si="11">IF((BA8-BB8)&gt;0,ROUND(BA8-BB8,1),0)</f>
        <v>25180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2" customFormat="1" ht="17" customHeight="1">
      <c r="A9" s="12" t="s">
        <v>7</v>
      </c>
      <c r="B9" s="35">
        <v>11659489</v>
      </c>
      <c r="C9" s="35">
        <v>9249842.5</v>
      </c>
      <c r="D9" s="4">
        <f t="shared" si="1"/>
        <v>0.7933317231998761</v>
      </c>
      <c r="E9" s="11">
        <v>15</v>
      </c>
      <c r="F9" s="59" t="s">
        <v>385</v>
      </c>
      <c r="G9" s="59" t="s">
        <v>385</v>
      </c>
      <c r="H9" s="59" t="s">
        <v>385</v>
      </c>
      <c r="I9" s="59" t="s">
        <v>385</v>
      </c>
      <c r="J9" s="45">
        <v>700</v>
      </c>
      <c r="K9" s="45">
        <v>732</v>
      </c>
      <c r="L9" s="4">
        <f t="shared" si="2"/>
        <v>0.95628415300546443</v>
      </c>
      <c r="M9" s="11">
        <v>5</v>
      </c>
      <c r="N9" s="35">
        <v>273814</v>
      </c>
      <c r="O9" s="35">
        <v>279061.09999999998</v>
      </c>
      <c r="P9" s="4">
        <f t="shared" si="3"/>
        <v>1.0191630084656007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5" t="s">
        <v>385</v>
      </c>
      <c r="AA9" s="5" t="s">
        <v>385</v>
      </c>
      <c r="AB9" s="5" t="s">
        <v>385</v>
      </c>
      <c r="AC9" s="5" t="s">
        <v>385</v>
      </c>
      <c r="AD9" s="5" t="s">
        <v>362</v>
      </c>
      <c r="AE9" s="5" t="s">
        <v>362</v>
      </c>
      <c r="AF9" s="5" t="s">
        <v>362</v>
      </c>
      <c r="AG9" s="5" t="s">
        <v>362</v>
      </c>
      <c r="AH9" s="5" t="s">
        <v>362</v>
      </c>
      <c r="AI9" s="5" t="s">
        <v>362</v>
      </c>
      <c r="AJ9" s="5" t="s">
        <v>362</v>
      </c>
      <c r="AK9" s="5" t="s">
        <v>362</v>
      </c>
      <c r="AL9" s="5" t="s">
        <v>362</v>
      </c>
      <c r="AM9" s="5" t="s">
        <v>362</v>
      </c>
      <c r="AN9" s="5" t="s">
        <v>362</v>
      </c>
      <c r="AO9" s="5" t="s">
        <v>362</v>
      </c>
      <c r="AP9" s="44">
        <f t="shared" si="4"/>
        <v>0.92661641955843699</v>
      </c>
      <c r="AQ9" s="45">
        <v>303620</v>
      </c>
      <c r="AR9" s="35">
        <f t="shared" si="5"/>
        <v>82805.454545454544</v>
      </c>
      <c r="AS9" s="35">
        <f t="shared" si="6"/>
        <v>76728.899999999994</v>
      </c>
      <c r="AT9" s="35">
        <f t="shared" si="7"/>
        <v>-6076.55454545455</v>
      </c>
      <c r="AU9" s="35">
        <v>25200.400000000001</v>
      </c>
      <c r="AV9" s="35">
        <v>25335.5</v>
      </c>
      <c r="AW9" s="35">
        <f t="shared" si="8"/>
        <v>26193</v>
      </c>
      <c r="AX9" s="35"/>
      <c r="AY9" s="35">
        <f t="shared" si="9"/>
        <v>26193</v>
      </c>
      <c r="AZ9" s="35">
        <v>626.70000000000005</v>
      </c>
      <c r="BA9" s="35">
        <f t="shared" si="10"/>
        <v>26819.7</v>
      </c>
      <c r="BB9" s="35">
        <f>MIN(BA9,11032.7)</f>
        <v>11032.7</v>
      </c>
      <c r="BC9" s="35">
        <f t="shared" si="11"/>
        <v>15787</v>
      </c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2" customFormat="1" ht="17" customHeight="1">
      <c r="A10" s="12" t="s">
        <v>8</v>
      </c>
      <c r="B10" s="35">
        <v>15966732</v>
      </c>
      <c r="C10" s="35">
        <v>14821060.9</v>
      </c>
      <c r="D10" s="4">
        <f t="shared" si="1"/>
        <v>0.92824636249922654</v>
      </c>
      <c r="E10" s="11">
        <v>15</v>
      </c>
      <c r="F10" s="59" t="s">
        <v>385</v>
      </c>
      <c r="G10" s="59" t="s">
        <v>385</v>
      </c>
      <c r="H10" s="59" t="s">
        <v>385</v>
      </c>
      <c r="I10" s="59" t="s">
        <v>385</v>
      </c>
      <c r="J10" s="45">
        <v>470</v>
      </c>
      <c r="K10" s="45">
        <v>542</v>
      </c>
      <c r="L10" s="4">
        <f t="shared" si="2"/>
        <v>0.86715867158671589</v>
      </c>
      <c r="M10" s="11">
        <v>10</v>
      </c>
      <c r="N10" s="35">
        <v>231540.5</v>
      </c>
      <c r="O10" s="35">
        <v>247860.7</v>
      </c>
      <c r="P10" s="4">
        <f t="shared" si="3"/>
        <v>1.0704852930696791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5" t="s">
        <v>385</v>
      </c>
      <c r="AA10" s="5" t="s">
        <v>385</v>
      </c>
      <c r="AB10" s="5" t="s">
        <v>385</v>
      </c>
      <c r="AC10" s="5" t="s">
        <v>385</v>
      </c>
      <c r="AD10" s="5" t="s">
        <v>362</v>
      </c>
      <c r="AE10" s="5" t="s">
        <v>362</v>
      </c>
      <c r="AF10" s="5" t="s">
        <v>362</v>
      </c>
      <c r="AG10" s="5" t="s">
        <v>362</v>
      </c>
      <c r="AH10" s="5" t="s">
        <v>362</v>
      </c>
      <c r="AI10" s="5" t="s">
        <v>362</v>
      </c>
      <c r="AJ10" s="5" t="s">
        <v>362</v>
      </c>
      <c r="AK10" s="5" t="s">
        <v>362</v>
      </c>
      <c r="AL10" s="5" t="s">
        <v>362</v>
      </c>
      <c r="AM10" s="5" t="s">
        <v>362</v>
      </c>
      <c r="AN10" s="5" t="s">
        <v>362</v>
      </c>
      <c r="AO10" s="5" t="s">
        <v>362</v>
      </c>
      <c r="AP10" s="44">
        <f t="shared" si="4"/>
        <v>0.97788862254998088</v>
      </c>
      <c r="AQ10" s="45">
        <v>158950</v>
      </c>
      <c r="AR10" s="35">
        <f t="shared" si="5"/>
        <v>43350</v>
      </c>
      <c r="AS10" s="35">
        <f t="shared" si="6"/>
        <v>42391.5</v>
      </c>
      <c r="AT10" s="35">
        <f t="shared" si="7"/>
        <v>-958.5</v>
      </c>
      <c r="AU10" s="35">
        <v>15166.6</v>
      </c>
      <c r="AV10" s="35">
        <v>14031.2</v>
      </c>
      <c r="AW10" s="35">
        <f t="shared" si="8"/>
        <v>13193.7</v>
      </c>
      <c r="AX10" s="35"/>
      <c r="AY10" s="35">
        <f t="shared" si="9"/>
        <v>13193.7</v>
      </c>
      <c r="AZ10" s="35">
        <v>63</v>
      </c>
      <c r="BA10" s="35">
        <f t="shared" si="10"/>
        <v>13256.7</v>
      </c>
      <c r="BB10" s="35"/>
      <c r="BC10" s="35">
        <f t="shared" si="11"/>
        <v>13256.7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2" customFormat="1" ht="17" customHeight="1">
      <c r="A11" s="12" t="s">
        <v>9</v>
      </c>
      <c r="B11" s="35">
        <v>2598504</v>
      </c>
      <c r="C11" s="35">
        <v>2443229.7000000002</v>
      </c>
      <c r="D11" s="4">
        <f t="shared" si="1"/>
        <v>0.94024473312336643</v>
      </c>
      <c r="E11" s="11">
        <v>15</v>
      </c>
      <c r="F11" s="59" t="s">
        <v>385</v>
      </c>
      <c r="G11" s="59" t="s">
        <v>385</v>
      </c>
      <c r="H11" s="59" t="s">
        <v>385</v>
      </c>
      <c r="I11" s="59" t="s">
        <v>385</v>
      </c>
      <c r="J11" s="45">
        <v>420</v>
      </c>
      <c r="K11" s="45">
        <v>400</v>
      </c>
      <c r="L11" s="4">
        <f t="shared" si="2"/>
        <v>1.05</v>
      </c>
      <c r="M11" s="11">
        <v>10</v>
      </c>
      <c r="N11" s="35">
        <v>58135.9</v>
      </c>
      <c r="O11" s="35">
        <v>64684.800000000003</v>
      </c>
      <c r="P11" s="4">
        <f t="shared" si="3"/>
        <v>1.1126481227606351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5" t="s">
        <v>385</v>
      </c>
      <c r="AA11" s="5" t="s">
        <v>385</v>
      </c>
      <c r="AB11" s="5" t="s">
        <v>385</v>
      </c>
      <c r="AC11" s="5" t="s">
        <v>385</v>
      </c>
      <c r="AD11" s="5" t="s">
        <v>362</v>
      </c>
      <c r="AE11" s="5" t="s">
        <v>362</v>
      </c>
      <c r="AF11" s="5" t="s">
        <v>362</v>
      </c>
      <c r="AG11" s="5" t="s">
        <v>362</v>
      </c>
      <c r="AH11" s="5" t="s">
        <v>362</v>
      </c>
      <c r="AI11" s="5" t="s">
        <v>362</v>
      </c>
      <c r="AJ11" s="5" t="s">
        <v>362</v>
      </c>
      <c r="AK11" s="5" t="s">
        <v>362</v>
      </c>
      <c r="AL11" s="5" t="s">
        <v>362</v>
      </c>
      <c r="AM11" s="5" t="s">
        <v>362</v>
      </c>
      <c r="AN11" s="5" t="s">
        <v>362</v>
      </c>
      <c r="AO11" s="5" t="s">
        <v>362</v>
      </c>
      <c r="AP11" s="44">
        <f t="shared" si="4"/>
        <v>1.04125852115696</v>
      </c>
      <c r="AQ11" s="45">
        <v>147978</v>
      </c>
      <c r="AR11" s="35">
        <f t="shared" si="5"/>
        <v>40357.63636363636</v>
      </c>
      <c r="AS11" s="35">
        <f t="shared" si="6"/>
        <v>42022.7</v>
      </c>
      <c r="AT11" s="35">
        <f t="shared" si="7"/>
        <v>1665.0636363636368</v>
      </c>
      <c r="AU11" s="35">
        <v>14715.4</v>
      </c>
      <c r="AV11" s="35">
        <v>13884.4</v>
      </c>
      <c r="AW11" s="35">
        <f t="shared" si="8"/>
        <v>13422.9</v>
      </c>
      <c r="AX11" s="35"/>
      <c r="AY11" s="35">
        <f t="shared" si="9"/>
        <v>13422.9</v>
      </c>
      <c r="AZ11" s="35">
        <v>-274.5</v>
      </c>
      <c r="BA11" s="35">
        <f t="shared" si="10"/>
        <v>13148.4</v>
      </c>
      <c r="BB11" s="35"/>
      <c r="BC11" s="35">
        <f t="shared" si="11"/>
        <v>13148.4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2" customFormat="1" ht="17" customHeight="1">
      <c r="A12" s="12" t="s">
        <v>10</v>
      </c>
      <c r="B12" s="35">
        <v>5382844</v>
      </c>
      <c r="C12" s="35">
        <v>4782347.4000000004</v>
      </c>
      <c r="D12" s="4">
        <f t="shared" si="1"/>
        <v>0.88844250362819366</v>
      </c>
      <c r="E12" s="11">
        <v>15</v>
      </c>
      <c r="F12" s="59" t="s">
        <v>385</v>
      </c>
      <c r="G12" s="59" t="s">
        <v>385</v>
      </c>
      <c r="H12" s="59" t="s">
        <v>385</v>
      </c>
      <c r="I12" s="59" t="s">
        <v>385</v>
      </c>
      <c r="J12" s="45">
        <v>350</v>
      </c>
      <c r="K12" s="45">
        <v>357</v>
      </c>
      <c r="L12" s="4">
        <f t="shared" si="2"/>
        <v>0.98039215686274506</v>
      </c>
      <c r="M12" s="11">
        <v>15</v>
      </c>
      <c r="N12" s="35">
        <v>76951.7</v>
      </c>
      <c r="O12" s="35">
        <v>83958.9</v>
      </c>
      <c r="P12" s="4">
        <f t="shared" si="3"/>
        <v>1.0910597166794236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5" t="s">
        <v>385</v>
      </c>
      <c r="AA12" s="5" t="s">
        <v>385</v>
      </c>
      <c r="AB12" s="5" t="s">
        <v>385</v>
      </c>
      <c r="AC12" s="5" t="s">
        <v>385</v>
      </c>
      <c r="AD12" s="5" t="s">
        <v>362</v>
      </c>
      <c r="AE12" s="5" t="s">
        <v>362</v>
      </c>
      <c r="AF12" s="5" t="s">
        <v>362</v>
      </c>
      <c r="AG12" s="5" t="s">
        <v>362</v>
      </c>
      <c r="AH12" s="5" t="s">
        <v>362</v>
      </c>
      <c r="AI12" s="5" t="s">
        <v>362</v>
      </c>
      <c r="AJ12" s="5" t="s">
        <v>362</v>
      </c>
      <c r="AK12" s="5" t="s">
        <v>362</v>
      </c>
      <c r="AL12" s="5" t="s">
        <v>362</v>
      </c>
      <c r="AM12" s="5" t="s">
        <v>362</v>
      </c>
      <c r="AN12" s="5" t="s">
        <v>362</v>
      </c>
      <c r="AO12" s="5" t="s">
        <v>362</v>
      </c>
      <c r="AP12" s="44">
        <f t="shared" si="4"/>
        <v>0.99707428481905114</v>
      </c>
      <c r="AQ12" s="45">
        <v>87371</v>
      </c>
      <c r="AR12" s="35">
        <f t="shared" si="5"/>
        <v>23828.454545454544</v>
      </c>
      <c r="AS12" s="35">
        <f t="shared" si="6"/>
        <v>23758.7</v>
      </c>
      <c r="AT12" s="35">
        <f t="shared" si="7"/>
        <v>-69.754545454543404</v>
      </c>
      <c r="AU12" s="35">
        <v>7878</v>
      </c>
      <c r="AV12" s="35">
        <v>7273.7</v>
      </c>
      <c r="AW12" s="35">
        <f t="shared" si="8"/>
        <v>8607</v>
      </c>
      <c r="AX12" s="35"/>
      <c r="AY12" s="35">
        <f t="shared" si="9"/>
        <v>8607</v>
      </c>
      <c r="AZ12" s="35">
        <v>102.8</v>
      </c>
      <c r="BA12" s="35">
        <f t="shared" si="10"/>
        <v>8709.7999999999993</v>
      </c>
      <c r="BB12" s="35"/>
      <c r="BC12" s="35">
        <f t="shared" si="11"/>
        <v>8709.7999999999993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2" customFormat="1" ht="17" customHeight="1">
      <c r="A13" s="12" t="s">
        <v>11</v>
      </c>
      <c r="B13" s="35">
        <v>6697582</v>
      </c>
      <c r="C13" s="35">
        <v>8877005.5999999996</v>
      </c>
      <c r="D13" s="4">
        <f t="shared" si="1"/>
        <v>1.2125404541519611</v>
      </c>
      <c r="E13" s="11">
        <v>15</v>
      </c>
      <c r="F13" s="59" t="s">
        <v>385</v>
      </c>
      <c r="G13" s="59" t="s">
        <v>385</v>
      </c>
      <c r="H13" s="59" t="s">
        <v>385</v>
      </c>
      <c r="I13" s="59" t="s">
        <v>385</v>
      </c>
      <c r="J13" s="45">
        <v>650</v>
      </c>
      <c r="K13" s="45">
        <v>956</v>
      </c>
      <c r="L13" s="4">
        <f t="shared" si="2"/>
        <v>0.67991631799163177</v>
      </c>
      <c r="M13" s="11">
        <v>10</v>
      </c>
      <c r="N13" s="35">
        <v>71731</v>
      </c>
      <c r="O13" s="35">
        <v>79078.399999999994</v>
      </c>
      <c r="P13" s="4">
        <f t="shared" si="3"/>
        <v>1.1024299117536349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5" t="s">
        <v>385</v>
      </c>
      <c r="AA13" s="5" t="s">
        <v>385</v>
      </c>
      <c r="AB13" s="5" t="s">
        <v>385</v>
      </c>
      <c r="AC13" s="5" t="s">
        <v>385</v>
      </c>
      <c r="AD13" s="5" t="s">
        <v>362</v>
      </c>
      <c r="AE13" s="5" t="s">
        <v>362</v>
      </c>
      <c r="AF13" s="5" t="s">
        <v>362</v>
      </c>
      <c r="AG13" s="5" t="s">
        <v>362</v>
      </c>
      <c r="AH13" s="5" t="s">
        <v>362</v>
      </c>
      <c r="AI13" s="5" t="s">
        <v>362</v>
      </c>
      <c r="AJ13" s="5" t="s">
        <v>362</v>
      </c>
      <c r="AK13" s="5" t="s">
        <v>362</v>
      </c>
      <c r="AL13" s="5" t="s">
        <v>362</v>
      </c>
      <c r="AM13" s="5" t="s">
        <v>362</v>
      </c>
      <c r="AN13" s="5" t="s">
        <v>362</v>
      </c>
      <c r="AO13" s="5" t="s">
        <v>362</v>
      </c>
      <c r="AP13" s="44">
        <f t="shared" si="4"/>
        <v>1.0452415161615207</v>
      </c>
      <c r="AQ13" s="45">
        <v>133896</v>
      </c>
      <c r="AR13" s="35">
        <f t="shared" si="5"/>
        <v>36517.090909090912</v>
      </c>
      <c r="AS13" s="35">
        <f t="shared" si="6"/>
        <v>38169.199999999997</v>
      </c>
      <c r="AT13" s="35">
        <f t="shared" si="7"/>
        <v>1652.1090909090854</v>
      </c>
      <c r="AU13" s="35">
        <v>13497</v>
      </c>
      <c r="AV13" s="35">
        <v>11136.3</v>
      </c>
      <c r="AW13" s="35">
        <f t="shared" si="8"/>
        <v>13535.9</v>
      </c>
      <c r="AX13" s="35"/>
      <c r="AY13" s="35">
        <f t="shared" si="9"/>
        <v>13535.9</v>
      </c>
      <c r="AZ13" s="35">
        <v>211.1</v>
      </c>
      <c r="BA13" s="35">
        <f t="shared" si="10"/>
        <v>13747</v>
      </c>
      <c r="BB13" s="35">
        <f>MIN(BA13,3540.4)</f>
        <v>3540.4</v>
      </c>
      <c r="BC13" s="35">
        <f t="shared" si="11"/>
        <v>10206.6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2" customFormat="1" ht="17" customHeight="1">
      <c r="A14" s="12" t="s">
        <v>12</v>
      </c>
      <c r="B14" s="35">
        <v>202026</v>
      </c>
      <c r="C14" s="35">
        <v>150327.9</v>
      </c>
      <c r="D14" s="4">
        <f t="shared" si="1"/>
        <v>0.74410174927979567</v>
      </c>
      <c r="E14" s="11">
        <v>15</v>
      </c>
      <c r="F14" s="59" t="s">
        <v>385</v>
      </c>
      <c r="G14" s="59" t="s">
        <v>385</v>
      </c>
      <c r="H14" s="59" t="s">
        <v>385</v>
      </c>
      <c r="I14" s="59" t="s">
        <v>385</v>
      </c>
      <c r="J14" s="45">
        <v>260</v>
      </c>
      <c r="K14" s="45">
        <v>383</v>
      </c>
      <c r="L14" s="4">
        <f t="shared" si="2"/>
        <v>0.6788511749347258</v>
      </c>
      <c r="M14" s="11">
        <v>15</v>
      </c>
      <c r="N14" s="35">
        <v>27004.799999999999</v>
      </c>
      <c r="O14" s="35">
        <v>23661.9</v>
      </c>
      <c r="P14" s="4">
        <f t="shared" si="3"/>
        <v>0.87621089584073952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5" t="s">
        <v>385</v>
      </c>
      <c r="AA14" s="5" t="s">
        <v>385</v>
      </c>
      <c r="AB14" s="5" t="s">
        <v>385</v>
      </c>
      <c r="AC14" s="5" t="s">
        <v>385</v>
      </c>
      <c r="AD14" s="5" t="s">
        <v>362</v>
      </c>
      <c r="AE14" s="5" t="s">
        <v>362</v>
      </c>
      <c r="AF14" s="5" t="s">
        <v>362</v>
      </c>
      <c r="AG14" s="5" t="s">
        <v>362</v>
      </c>
      <c r="AH14" s="5" t="s">
        <v>362</v>
      </c>
      <c r="AI14" s="5" t="s">
        <v>362</v>
      </c>
      <c r="AJ14" s="5" t="s">
        <v>362</v>
      </c>
      <c r="AK14" s="5" t="s">
        <v>362</v>
      </c>
      <c r="AL14" s="5" t="s">
        <v>362</v>
      </c>
      <c r="AM14" s="5" t="s">
        <v>362</v>
      </c>
      <c r="AN14" s="5" t="s">
        <v>362</v>
      </c>
      <c r="AO14" s="5" t="s">
        <v>362</v>
      </c>
      <c r="AP14" s="44">
        <f t="shared" si="4"/>
        <v>0.77737023560065222</v>
      </c>
      <c r="AQ14" s="45">
        <v>86632</v>
      </c>
      <c r="AR14" s="35">
        <f t="shared" si="5"/>
        <v>23626.909090909092</v>
      </c>
      <c r="AS14" s="35">
        <f t="shared" si="6"/>
        <v>18366.900000000001</v>
      </c>
      <c r="AT14" s="35">
        <f t="shared" si="7"/>
        <v>-5260.0090909090904</v>
      </c>
      <c r="AU14" s="35">
        <v>6895</v>
      </c>
      <c r="AV14" s="35">
        <v>5303.9</v>
      </c>
      <c r="AW14" s="35">
        <f t="shared" si="8"/>
        <v>6168</v>
      </c>
      <c r="AX14" s="35"/>
      <c r="AY14" s="35">
        <f t="shared" si="9"/>
        <v>6168</v>
      </c>
      <c r="AZ14" s="35">
        <v>459.6</v>
      </c>
      <c r="BA14" s="35">
        <f t="shared" si="10"/>
        <v>6627.6</v>
      </c>
      <c r="BB14" s="35"/>
      <c r="BC14" s="35">
        <f t="shared" si="11"/>
        <v>6627.6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2" customFormat="1" ht="17" customHeight="1">
      <c r="A15" s="12" t="s">
        <v>13</v>
      </c>
      <c r="B15" s="35">
        <v>1167832</v>
      </c>
      <c r="C15" s="35">
        <v>1092299.7</v>
      </c>
      <c r="D15" s="4">
        <f t="shared" si="1"/>
        <v>0.93532263202241417</v>
      </c>
      <c r="E15" s="11">
        <v>15</v>
      </c>
      <c r="F15" s="59" t="s">
        <v>385</v>
      </c>
      <c r="G15" s="59" t="s">
        <v>385</v>
      </c>
      <c r="H15" s="59" t="s">
        <v>385</v>
      </c>
      <c r="I15" s="59" t="s">
        <v>385</v>
      </c>
      <c r="J15" s="45">
        <v>470</v>
      </c>
      <c r="K15" s="45">
        <v>469</v>
      </c>
      <c r="L15" s="4">
        <f t="shared" si="2"/>
        <v>1.0021321961620469</v>
      </c>
      <c r="M15" s="11">
        <v>10</v>
      </c>
      <c r="N15" s="35">
        <v>67814.5</v>
      </c>
      <c r="O15" s="35">
        <v>63803.3</v>
      </c>
      <c r="P15" s="4">
        <f t="shared" si="3"/>
        <v>0.94085040809856302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5" t="s">
        <v>385</v>
      </c>
      <c r="AA15" s="5" t="s">
        <v>385</v>
      </c>
      <c r="AB15" s="5" t="s">
        <v>385</v>
      </c>
      <c r="AC15" s="5" t="s">
        <v>385</v>
      </c>
      <c r="AD15" s="5" t="s">
        <v>362</v>
      </c>
      <c r="AE15" s="5" t="s">
        <v>362</v>
      </c>
      <c r="AF15" s="5" t="s">
        <v>362</v>
      </c>
      <c r="AG15" s="5" t="s">
        <v>362</v>
      </c>
      <c r="AH15" s="5" t="s">
        <v>362</v>
      </c>
      <c r="AI15" s="5" t="s">
        <v>362</v>
      </c>
      <c r="AJ15" s="5" t="s">
        <v>362</v>
      </c>
      <c r="AK15" s="5" t="s">
        <v>362</v>
      </c>
      <c r="AL15" s="5" t="s">
        <v>362</v>
      </c>
      <c r="AM15" s="5" t="s">
        <v>362</v>
      </c>
      <c r="AN15" s="5" t="s">
        <v>362</v>
      </c>
      <c r="AO15" s="5" t="s">
        <v>362</v>
      </c>
      <c r="AP15" s="44">
        <f t="shared" si="4"/>
        <v>0.95262599119839864</v>
      </c>
      <c r="AQ15" s="45">
        <v>136101</v>
      </c>
      <c r="AR15" s="35">
        <f t="shared" si="5"/>
        <v>37118.454545454544</v>
      </c>
      <c r="AS15" s="35">
        <f t="shared" si="6"/>
        <v>35360</v>
      </c>
      <c r="AT15" s="35">
        <f t="shared" si="7"/>
        <v>-1758.4545454545441</v>
      </c>
      <c r="AU15" s="35">
        <v>11667.4</v>
      </c>
      <c r="AV15" s="35">
        <v>11056.2</v>
      </c>
      <c r="AW15" s="35">
        <f t="shared" si="8"/>
        <v>12636.4</v>
      </c>
      <c r="AX15" s="35"/>
      <c r="AY15" s="35">
        <f t="shared" si="9"/>
        <v>12636.4</v>
      </c>
      <c r="AZ15" s="35">
        <v>266.10000000000002</v>
      </c>
      <c r="BA15" s="35">
        <f t="shared" si="10"/>
        <v>12902.5</v>
      </c>
      <c r="BB15" s="35">
        <f>MIN(BA15,6186.4)</f>
        <v>6186.4</v>
      </c>
      <c r="BC15" s="35">
        <f t="shared" si="11"/>
        <v>6716.1</v>
      </c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2" customFormat="1" ht="17" customHeight="1">
      <c r="A16" s="12" t="s">
        <v>14</v>
      </c>
      <c r="B16" s="35">
        <v>204011</v>
      </c>
      <c r="C16" s="35">
        <v>219671.2</v>
      </c>
      <c r="D16" s="4">
        <f t="shared" si="1"/>
        <v>1.0767615471714762</v>
      </c>
      <c r="E16" s="11">
        <v>15</v>
      </c>
      <c r="F16" s="59" t="s">
        <v>385</v>
      </c>
      <c r="G16" s="59" t="s">
        <v>385</v>
      </c>
      <c r="H16" s="59" t="s">
        <v>385</v>
      </c>
      <c r="I16" s="59" t="s">
        <v>385</v>
      </c>
      <c r="J16" s="45">
        <v>180</v>
      </c>
      <c r="K16" s="45">
        <v>222</v>
      </c>
      <c r="L16" s="4">
        <f t="shared" si="2"/>
        <v>0.81081081081081086</v>
      </c>
      <c r="M16" s="11">
        <v>10</v>
      </c>
      <c r="N16" s="35">
        <v>36946.800000000003</v>
      </c>
      <c r="O16" s="35">
        <v>37706.9</v>
      </c>
      <c r="P16" s="4">
        <f t="shared" si="3"/>
        <v>1.020572823627486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5" t="s">
        <v>385</v>
      </c>
      <c r="AA16" s="5" t="s">
        <v>385</v>
      </c>
      <c r="AB16" s="5" t="s">
        <v>385</v>
      </c>
      <c r="AC16" s="5" t="s">
        <v>385</v>
      </c>
      <c r="AD16" s="5" t="s">
        <v>362</v>
      </c>
      <c r="AE16" s="5" t="s">
        <v>362</v>
      </c>
      <c r="AF16" s="5" t="s">
        <v>362</v>
      </c>
      <c r="AG16" s="5" t="s">
        <v>362</v>
      </c>
      <c r="AH16" s="5" t="s">
        <v>362</v>
      </c>
      <c r="AI16" s="5" t="s">
        <v>362</v>
      </c>
      <c r="AJ16" s="5" t="s">
        <v>362</v>
      </c>
      <c r="AK16" s="5" t="s">
        <v>362</v>
      </c>
      <c r="AL16" s="5" t="s">
        <v>362</v>
      </c>
      <c r="AM16" s="5" t="s">
        <v>362</v>
      </c>
      <c r="AN16" s="5" t="s">
        <v>362</v>
      </c>
      <c r="AO16" s="5" t="s">
        <v>362</v>
      </c>
      <c r="AP16" s="44">
        <f>(D16*E16+L16*M16+P16*Q16)/(E16+M16+Q16)</f>
        <v>0.99268861751622162</v>
      </c>
      <c r="AQ16" s="45">
        <v>73354</v>
      </c>
      <c r="AR16" s="35">
        <f t="shared" si="5"/>
        <v>20005.636363636364</v>
      </c>
      <c r="AS16" s="35">
        <f t="shared" si="6"/>
        <v>19859.400000000001</v>
      </c>
      <c r="AT16" s="35">
        <f t="shared" si="7"/>
        <v>-146.23636363636251</v>
      </c>
      <c r="AU16" s="35">
        <v>6431.4</v>
      </c>
      <c r="AV16" s="35">
        <v>6190.8</v>
      </c>
      <c r="AW16" s="35">
        <f t="shared" si="8"/>
        <v>7237.2</v>
      </c>
      <c r="AX16" s="35"/>
      <c r="AY16" s="35">
        <f t="shared" si="9"/>
        <v>7237.2</v>
      </c>
      <c r="AZ16" s="35">
        <v>125.2</v>
      </c>
      <c r="BA16" s="35">
        <f t="shared" si="10"/>
        <v>7362.4</v>
      </c>
      <c r="BB16" s="35"/>
      <c r="BC16" s="35">
        <f t="shared" si="11"/>
        <v>7362.4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2" customFormat="1" ht="17" customHeight="1">
      <c r="A17" s="15" t="s">
        <v>20</v>
      </c>
      <c r="B17" s="34">
        <f>SUM(B18:B44)</f>
        <v>23262530</v>
      </c>
      <c r="C17" s="34">
        <f>SUM(C18:C44)</f>
        <v>23334794.600000005</v>
      </c>
      <c r="D17" s="6">
        <f>IF(C17/B17&gt;1.2,IF((C17/B17-1.2)*0.1+1.2&gt;1.3,1.3,(C17/B17-1.2)*0.1+1.2),C17/B17)</f>
        <v>1.0031064806794447</v>
      </c>
      <c r="E17" s="21"/>
      <c r="F17" s="20"/>
      <c r="G17" s="20"/>
      <c r="H17" s="6"/>
      <c r="I17" s="21"/>
      <c r="J17" s="34">
        <f>SUM(J18:J44)</f>
        <v>6765</v>
      </c>
      <c r="K17" s="34">
        <f>SUM(K18:K44)</f>
        <v>6769</v>
      </c>
      <c r="L17" s="6">
        <f>IF(J17/K17&gt;1.2,IF((J17/K17-1)*0.1+1.2&gt;1.3,1.3,(J17/K17-1.2)*0.1+1.2),J17/K17)</f>
        <v>0.99940907076377605</v>
      </c>
      <c r="M17" s="21"/>
      <c r="N17" s="34">
        <f>SUM(N18:N44)</f>
        <v>1016151.6000000001</v>
      </c>
      <c r="O17" s="34">
        <f>SUM(O18:O44)</f>
        <v>1015794.5</v>
      </c>
      <c r="P17" s="6">
        <f>IF(O17/N17&gt;1.2,IF((O17/N17-1.2)*0.1+1.2&gt;1.3,1.3,(O17/N17-1.2)*0.1+1.2),O17/N17)</f>
        <v>0.99964857605892654</v>
      </c>
      <c r="Q17" s="21"/>
      <c r="R17" s="34">
        <f>SUM(R18:R44)</f>
        <v>35712.400000000001</v>
      </c>
      <c r="S17" s="34">
        <f>SUM(S18:S44)</f>
        <v>38588.400000000001</v>
      </c>
      <c r="T17" s="6">
        <f>IF(S17/R17&gt;1.2,IF((S17/R17-1.2)*0.1+1.2&gt;1.3,1.3,(S17/R17-1.2)*0.1+1.2),S17/R17)</f>
        <v>1.080532252102911</v>
      </c>
      <c r="U17" s="21"/>
      <c r="V17" s="34">
        <f>SUM(V18:V44)</f>
        <v>15720.699999999999</v>
      </c>
      <c r="W17" s="34">
        <f>SUM(W18:W44)</f>
        <v>19938.099999999999</v>
      </c>
      <c r="X17" s="6">
        <f>IF(W17/V17&gt;1.2,IF((W17/V17-1.2)*0.1+1.2&gt;1.3,1.3,(W17/V17-1.2)*0.1+1.2),W17/V17)</f>
        <v>1.2068270496860827</v>
      </c>
      <c r="Y17" s="21"/>
      <c r="Z17" s="21"/>
      <c r="AA17" s="21"/>
      <c r="AB17" s="21"/>
      <c r="AC17" s="21"/>
      <c r="AD17" s="34">
        <f>SUM(AD18:AD44)</f>
        <v>106350</v>
      </c>
      <c r="AE17" s="34">
        <f>SUM(AE18:AE44)</f>
        <v>107608</v>
      </c>
      <c r="AF17" s="6">
        <f>IF(AE17/AD17&gt;1.2,IF((AE17/AD17-1.2)*0.1+1.2&gt;1.3,1.3,(AE17/AD17-1.2)*0.1+1.2),AE17/AD17)</f>
        <v>1.0118288669487541</v>
      </c>
      <c r="AG17" s="21"/>
      <c r="AH17" s="34">
        <f>SUM(AH18:AH44)</f>
        <v>91325.7</v>
      </c>
      <c r="AI17" s="34">
        <f>SUM(AI18:AI44)</f>
        <v>92932.89999999998</v>
      </c>
      <c r="AJ17" s="6">
        <f>IF(AI17/AH17&gt;1.2,IF((AI17/AH17-1.2)*0.1+1.2&gt;1.3,1.3,(AI17/AH17-1.2)*0.1+1.2),AI17/AH17)</f>
        <v>1.0175985511197831</v>
      </c>
      <c r="AK17" s="21"/>
      <c r="AL17" s="34">
        <f>SUM(AL18:AL44)</f>
        <v>40223.399999999994</v>
      </c>
      <c r="AM17" s="34">
        <f>SUM(AM18:AM44)</f>
        <v>42813.600000000013</v>
      </c>
      <c r="AN17" s="6">
        <f>IF(AM17/AL17&gt;1.2,IF((AM17/AL17-1.2)*0.1+1.2&gt;1.3,1.3,(AM17/AL17-1.2)*0.1+1.2),AM17/AL17)</f>
        <v>1.0643953519593077</v>
      </c>
      <c r="AO17" s="21"/>
      <c r="AP17" s="22"/>
      <c r="AQ17" s="20">
        <f>SUM(AQ18:AQ44)</f>
        <v>1157823</v>
      </c>
      <c r="AR17" s="34">
        <f>SUM(AR18:AR44)</f>
        <v>315769.90909090906</v>
      </c>
      <c r="AS17" s="34">
        <f>SUM(AS18:AS44)</f>
        <v>325066.09999999998</v>
      </c>
      <c r="AT17" s="34">
        <f>SUM(AT18:AT44)</f>
        <v>9296.1909090909121</v>
      </c>
      <c r="AU17" s="34">
        <f t="shared" ref="AU17:AZ17" si="12">SUM(AU18:AU44)</f>
        <v>107125.29999999999</v>
      </c>
      <c r="AV17" s="34">
        <f t="shared" si="12"/>
        <v>106505.90000000001</v>
      </c>
      <c r="AW17" s="34">
        <f t="shared" si="12"/>
        <v>111434.90000000001</v>
      </c>
      <c r="AX17" s="34"/>
      <c r="AY17" s="34">
        <f t="shared" si="12"/>
        <v>111434.90000000001</v>
      </c>
      <c r="AZ17" s="34">
        <f t="shared" si="12"/>
        <v>6.4999999999999858</v>
      </c>
      <c r="BA17" s="34">
        <f>SUM(BA18:BA44)</f>
        <v>111441.40000000002</v>
      </c>
      <c r="BB17" s="34">
        <f>SUM(BB18:BB44)</f>
        <v>8760.9</v>
      </c>
      <c r="BC17" s="34">
        <f t="shared" ref="BC17" si="13">SUM(BC18:BC44)</f>
        <v>102680.5</v>
      </c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2" customFormat="1" ht="17" customHeight="1">
      <c r="A18" s="13" t="s">
        <v>0</v>
      </c>
      <c r="B18" s="35">
        <v>17357</v>
      </c>
      <c r="C18" s="35">
        <v>20669.5</v>
      </c>
      <c r="D18" s="4">
        <f t="shared" si="1"/>
        <v>1.1908451921414991</v>
      </c>
      <c r="E18" s="11">
        <v>10</v>
      </c>
      <c r="F18" s="59" t="s">
        <v>385</v>
      </c>
      <c r="G18" s="59" t="s">
        <v>385</v>
      </c>
      <c r="H18" s="59" t="s">
        <v>385</v>
      </c>
      <c r="I18" s="59" t="s">
        <v>385</v>
      </c>
      <c r="J18" s="45">
        <v>160</v>
      </c>
      <c r="K18" s="45">
        <v>166</v>
      </c>
      <c r="L18" s="4">
        <f t="shared" si="2"/>
        <v>0.96385542168674698</v>
      </c>
      <c r="M18" s="11">
        <v>15</v>
      </c>
      <c r="N18" s="35">
        <v>8830.5</v>
      </c>
      <c r="O18" s="35">
        <v>9737.6</v>
      </c>
      <c r="P18" s="4">
        <f t="shared" si="3"/>
        <v>1.1027235150897459</v>
      </c>
      <c r="Q18" s="11">
        <v>20</v>
      </c>
      <c r="R18" s="35">
        <v>132</v>
      </c>
      <c r="S18" s="35">
        <v>157.6</v>
      </c>
      <c r="T18" s="4">
        <f>IF(U18=0,0,IF(R18=0,1,IF(S18&lt;0,0,IF(S18/R18&gt;1.2,IF((S18/R18-1.2)*0.1+1.2&gt;1.3,1.3,(S18/R18-1.2)*0.1+1.2),S18/R18))))</f>
        <v>1.1939393939393939</v>
      </c>
      <c r="U18" s="11">
        <v>10</v>
      </c>
      <c r="V18" s="35">
        <v>45</v>
      </c>
      <c r="W18" s="35">
        <v>48</v>
      </c>
      <c r="X18" s="4">
        <f>IF(Y18=0,0,IF(V18=0,1,IF(W18&lt;0,0,IF(W18/V18&gt;1.2,IF((W18/V18-1.2)*0.1+1.2&gt;1.3,1.3,(W18/V18-1.2)*0.1+1.2),W18/V18))))</f>
        <v>1.0666666666666667</v>
      </c>
      <c r="Y18" s="11">
        <v>10</v>
      </c>
      <c r="Z18" s="11" t="s">
        <v>385</v>
      </c>
      <c r="AA18" s="11" t="s">
        <v>385</v>
      </c>
      <c r="AB18" s="11" t="s">
        <v>385</v>
      </c>
      <c r="AC18" s="11" t="s">
        <v>385</v>
      </c>
      <c r="AD18" s="11">
        <v>3989</v>
      </c>
      <c r="AE18" s="11">
        <v>3947</v>
      </c>
      <c r="AF18" s="4">
        <f>IF(AG18=0,0,IF(AD18=0,1,IF(AE18&lt;0,0,IF(AE18/AD18&gt;1.2,IF((AE18/AD18-1.2)*0.1+1.2&gt;1.3,1.3,(AE18/AD18-1.2)*0.1+1.2),AE18/AD18))))</f>
        <v>0.9894710453747807</v>
      </c>
      <c r="AG18" s="11">
        <v>15</v>
      </c>
      <c r="AH18" s="11">
        <v>2840</v>
      </c>
      <c r="AI18" s="11">
        <v>2911.5</v>
      </c>
      <c r="AJ18" s="4">
        <f>IF(AK18=0,0,IF(AH18=0,1,IF(AI18&lt;0,0,IF(AI18/AH18&gt;1.2,IF((AI18/AH18-1.2)*0.1+1.2&gt;1.3,1.3,(AI18/AH18-1.2)*0.1+1.2),AI18/AH18))))</f>
        <v>1.0251760563380281</v>
      </c>
      <c r="AK18" s="11">
        <v>10</v>
      </c>
      <c r="AL18" s="11">
        <v>950</v>
      </c>
      <c r="AM18" s="11">
        <v>1245.7</v>
      </c>
      <c r="AN18" s="4">
        <f>IF(AO18=0,0,IF(AL18=0,1,IF(AM18&lt;0,0,IF(AM18/AL18&gt;1.2,IF((AM18/AL18-1.2)*0.1+1.2&gt;1.3,1.3,(AM18/AL18-1.2)*0.1+1.2),AM18/AL18))))</f>
        <v>1.2111263157894736</v>
      </c>
      <c r="AO18" s="11">
        <v>10</v>
      </c>
      <c r="AP18" s="44">
        <f>(D18*E18+L18*M18+P18*Q18+T18*U18+X18*Y18+AF18*AG18+AJ18*AK18+AN18*AO18)/(E18+M18+Q18+U18+Y18+AG18+AK18+AO18)</f>
        <v>1.0823190355646846</v>
      </c>
      <c r="AQ18" s="45">
        <v>26817</v>
      </c>
      <c r="AR18" s="35">
        <f t="shared" si="5"/>
        <v>7313.727272727273</v>
      </c>
      <c r="AS18" s="35">
        <f t="shared" si="6"/>
        <v>7915.8</v>
      </c>
      <c r="AT18" s="35">
        <f t="shared" si="7"/>
        <v>602.07272727272721</v>
      </c>
      <c r="AU18" s="35">
        <v>2644.3</v>
      </c>
      <c r="AV18" s="35">
        <v>2395.8000000000002</v>
      </c>
      <c r="AW18" s="35">
        <f t="shared" si="8"/>
        <v>2875.7</v>
      </c>
      <c r="AX18" s="35"/>
      <c r="AY18" s="35">
        <f t="shared" si="9"/>
        <v>2875.7</v>
      </c>
      <c r="AZ18" s="35">
        <v>-5.6</v>
      </c>
      <c r="BA18" s="35">
        <f>AY18+AZ18</f>
        <v>2870.1</v>
      </c>
      <c r="BB18" s="35">
        <f>MIN(BA18,179.1)</f>
        <v>179.1</v>
      </c>
      <c r="BC18" s="35">
        <f t="shared" si="11"/>
        <v>2691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2" customFormat="1" ht="17" customHeight="1">
      <c r="A19" s="13" t="s">
        <v>21</v>
      </c>
      <c r="B19" s="35">
        <v>2799360</v>
      </c>
      <c r="C19" s="35">
        <v>2358633.2999999998</v>
      </c>
      <c r="D19" s="4">
        <f t="shared" si="1"/>
        <v>0.84256162122770917</v>
      </c>
      <c r="E19" s="11">
        <v>10</v>
      </c>
      <c r="F19" s="59" t="s">
        <v>385</v>
      </c>
      <c r="G19" s="59" t="s">
        <v>385</v>
      </c>
      <c r="H19" s="59" t="s">
        <v>385</v>
      </c>
      <c r="I19" s="59" t="s">
        <v>385</v>
      </c>
      <c r="J19" s="45">
        <v>270</v>
      </c>
      <c r="K19" s="45">
        <v>250</v>
      </c>
      <c r="L19" s="4">
        <f t="shared" si="2"/>
        <v>1.08</v>
      </c>
      <c r="M19" s="11">
        <v>5</v>
      </c>
      <c r="N19" s="35">
        <v>44993.9</v>
      </c>
      <c r="O19" s="35">
        <v>45413.4</v>
      </c>
      <c r="P19" s="4">
        <f t="shared" si="3"/>
        <v>1.0093234860725564</v>
      </c>
      <c r="Q19" s="11">
        <v>20</v>
      </c>
      <c r="R19" s="35">
        <v>1774</v>
      </c>
      <c r="S19" s="35">
        <v>1842.8</v>
      </c>
      <c r="T19" s="4">
        <f t="shared" ref="T19:T44" si="14">IF(U19=0,0,IF(R19=0,1,IF(S19&lt;0,0,IF(S19/R19&gt;1.2,IF((S19/R19-1.2)*0.1+1.2&gt;1.3,1.3,(S19/R19-1.2)*0.1+1.2),S19/R19))))</f>
        <v>1.0387824126268319</v>
      </c>
      <c r="U19" s="11">
        <v>5</v>
      </c>
      <c r="V19" s="35">
        <v>200.1</v>
      </c>
      <c r="W19" s="35">
        <v>200.5</v>
      </c>
      <c r="X19" s="4">
        <f t="shared" ref="X19:X44" si="15">IF(Y19=0,0,IF(V19=0,1,IF(W19&lt;0,0,IF(W19/V19&gt;1.2,IF((W19/V19-1.2)*0.1+1.2&gt;1.3,1.3,(W19/V19-1.2)*0.1+1.2),W19/V19))))</f>
        <v>1.0019990004997501</v>
      </c>
      <c r="Y19" s="11">
        <v>5</v>
      </c>
      <c r="Z19" s="11" t="s">
        <v>385</v>
      </c>
      <c r="AA19" s="11" t="s">
        <v>385</v>
      </c>
      <c r="AB19" s="11" t="s">
        <v>385</v>
      </c>
      <c r="AC19" s="11" t="s">
        <v>385</v>
      </c>
      <c r="AD19" s="11">
        <v>4500</v>
      </c>
      <c r="AE19" s="11">
        <v>4779</v>
      </c>
      <c r="AF19" s="4">
        <f t="shared" ref="AF19:AF44" si="16">IF(AG19=0,0,IF(AD19=0,1,IF(AE19&lt;0,0,IF(AE19/AD19&gt;1.2,IF((AE19/AD19-1.2)*0.1+1.2&gt;1.3,1.3,(AE19/AD19-1.2)*0.1+1.2),AE19/AD19))))</f>
        <v>1.0620000000000001</v>
      </c>
      <c r="AG19" s="11">
        <v>20</v>
      </c>
      <c r="AH19" s="11">
        <v>4400</v>
      </c>
      <c r="AI19" s="11">
        <v>4441.6000000000004</v>
      </c>
      <c r="AJ19" s="4">
        <f t="shared" ref="AJ19:AJ43" si="17">IF(AK19=0,0,IF(AH19=0,1,IF(AI19&lt;0,0,IF(AI19/AH19&gt;1.2,IF((AI19/AH19-1.2)*0.1+1.2&gt;1.3,1.3,(AI19/AH19-1.2)*0.1+1.2),AI19/AH19))))</f>
        <v>1.0094545454545456</v>
      </c>
      <c r="AK19" s="11">
        <v>15</v>
      </c>
      <c r="AL19" s="11">
        <v>900</v>
      </c>
      <c r="AM19" s="11">
        <v>820.1</v>
      </c>
      <c r="AN19" s="4">
        <f t="shared" ref="AN19:AN43" si="18">IF(AO19=0,0,IF(AL19=0,1,IF(AM19&lt;0,0,IF(AM19/AL19&gt;1.2,IF((AM19/AL19-1.2)*0.1+1.2&gt;1.3,1.3,(AM19/AL19-1.2)*0.1+1.2),AM19/AL19))))</f>
        <v>0.91122222222222227</v>
      </c>
      <c r="AO19" s="11">
        <v>5</v>
      </c>
      <c r="AP19" s="44">
        <f t="shared" ref="AP19:AP44" si="19">(D19*E19+L19*M19+P19*Q19+T19*U19+X19*Y19+AF19*AG19+AJ19*AK19+AN19*AO19)/(E19+M19+Q19+U19+Y19+AG19+AK19+AO19)</f>
        <v>1.0018108504975343</v>
      </c>
      <c r="AQ19" s="45">
        <v>43887</v>
      </c>
      <c r="AR19" s="35">
        <f t="shared" si="5"/>
        <v>11969.181818181818</v>
      </c>
      <c r="AS19" s="35">
        <f t="shared" si="6"/>
        <v>11990.9</v>
      </c>
      <c r="AT19" s="35">
        <f t="shared" si="7"/>
        <v>21.71818181818162</v>
      </c>
      <c r="AU19" s="35">
        <v>3615.3</v>
      </c>
      <c r="AV19" s="35">
        <v>3953.7</v>
      </c>
      <c r="AW19" s="35">
        <f t="shared" si="8"/>
        <v>4421.8999999999996</v>
      </c>
      <c r="AX19" s="35"/>
      <c r="AY19" s="35">
        <f t="shared" si="9"/>
        <v>4421.8999999999996</v>
      </c>
      <c r="AZ19" s="35">
        <v>14.8</v>
      </c>
      <c r="BA19" s="35">
        <f t="shared" ref="BA19:BA44" si="20">AY19+AZ19</f>
        <v>4436.7</v>
      </c>
      <c r="BB19" s="35"/>
      <c r="BC19" s="35">
        <f t="shared" si="11"/>
        <v>4436.7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2" customFormat="1" ht="17" customHeight="1">
      <c r="A20" s="13" t="s">
        <v>22</v>
      </c>
      <c r="B20" s="35">
        <v>609449</v>
      </c>
      <c r="C20" s="35">
        <v>562423.9</v>
      </c>
      <c r="D20" s="4">
        <f t="shared" si="1"/>
        <v>0.92283997512507199</v>
      </c>
      <c r="E20" s="11">
        <v>10</v>
      </c>
      <c r="F20" s="59" t="s">
        <v>385</v>
      </c>
      <c r="G20" s="59" t="s">
        <v>385</v>
      </c>
      <c r="H20" s="59" t="s">
        <v>385</v>
      </c>
      <c r="I20" s="59" t="s">
        <v>385</v>
      </c>
      <c r="J20" s="45">
        <v>130</v>
      </c>
      <c r="K20" s="45">
        <v>124</v>
      </c>
      <c r="L20" s="4">
        <f t="shared" si="2"/>
        <v>1.0483870967741935</v>
      </c>
      <c r="M20" s="11">
        <v>10</v>
      </c>
      <c r="N20" s="35">
        <v>19898.599999999999</v>
      </c>
      <c r="O20" s="35">
        <v>18500.7</v>
      </c>
      <c r="P20" s="4">
        <f t="shared" si="3"/>
        <v>0.92974882655061175</v>
      </c>
      <c r="Q20" s="11">
        <v>20</v>
      </c>
      <c r="R20" s="35">
        <v>2731.2</v>
      </c>
      <c r="S20" s="35">
        <v>2743.7</v>
      </c>
      <c r="T20" s="4">
        <f t="shared" si="14"/>
        <v>1.0045767428236672</v>
      </c>
      <c r="U20" s="11">
        <v>10</v>
      </c>
      <c r="V20" s="35">
        <v>514.29999999999995</v>
      </c>
      <c r="W20" s="35">
        <v>578</v>
      </c>
      <c r="X20" s="4">
        <f t="shared" si="15"/>
        <v>1.1238576706202605</v>
      </c>
      <c r="Y20" s="11">
        <v>5</v>
      </c>
      <c r="Z20" s="11" t="s">
        <v>385</v>
      </c>
      <c r="AA20" s="11" t="s">
        <v>385</v>
      </c>
      <c r="AB20" s="11" t="s">
        <v>385</v>
      </c>
      <c r="AC20" s="11" t="s">
        <v>385</v>
      </c>
      <c r="AD20" s="11">
        <v>3030</v>
      </c>
      <c r="AE20" s="11">
        <v>3110</v>
      </c>
      <c r="AF20" s="4">
        <f t="shared" si="16"/>
        <v>1.0264026402640265</v>
      </c>
      <c r="AG20" s="11">
        <v>20</v>
      </c>
      <c r="AH20" s="11">
        <v>4000</v>
      </c>
      <c r="AI20" s="11">
        <v>3679.1</v>
      </c>
      <c r="AJ20" s="4">
        <f t="shared" si="17"/>
        <v>0.91977500000000001</v>
      </c>
      <c r="AK20" s="11">
        <v>20</v>
      </c>
      <c r="AL20" s="11">
        <v>1035</v>
      </c>
      <c r="AM20" s="11">
        <v>1065.5999999999999</v>
      </c>
      <c r="AN20" s="4">
        <f t="shared" si="18"/>
        <v>1.0295652173913044</v>
      </c>
      <c r="AO20" s="11">
        <v>5</v>
      </c>
      <c r="AP20" s="44">
        <f t="shared" si="19"/>
        <v>0.98043681923579928</v>
      </c>
      <c r="AQ20" s="45">
        <v>32285</v>
      </c>
      <c r="AR20" s="35">
        <f t="shared" si="5"/>
        <v>8805</v>
      </c>
      <c r="AS20" s="35">
        <f t="shared" si="6"/>
        <v>8632.7000000000007</v>
      </c>
      <c r="AT20" s="35">
        <f t="shared" si="7"/>
        <v>-172.29999999999927</v>
      </c>
      <c r="AU20" s="35">
        <v>3053.4</v>
      </c>
      <c r="AV20" s="35">
        <v>3028.2000000000003</v>
      </c>
      <c r="AW20" s="35">
        <f t="shared" si="8"/>
        <v>2551.1</v>
      </c>
      <c r="AX20" s="35"/>
      <c r="AY20" s="35">
        <f t="shared" si="9"/>
        <v>2551.1</v>
      </c>
      <c r="AZ20" s="35">
        <v>6.3</v>
      </c>
      <c r="BA20" s="35">
        <f t="shared" si="20"/>
        <v>2557.4</v>
      </c>
      <c r="BB20" s="35">
        <f>MIN(BA20,788.2)</f>
        <v>788.2</v>
      </c>
      <c r="BC20" s="35">
        <f t="shared" si="11"/>
        <v>1769.2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s="2" customFormat="1" ht="17" customHeight="1">
      <c r="A21" s="13" t="s">
        <v>23</v>
      </c>
      <c r="B21" s="35">
        <v>58584</v>
      </c>
      <c r="C21" s="35">
        <v>61372.1</v>
      </c>
      <c r="D21" s="4">
        <f t="shared" si="1"/>
        <v>1.047591492557695</v>
      </c>
      <c r="E21" s="11">
        <v>10</v>
      </c>
      <c r="F21" s="59" t="s">
        <v>385</v>
      </c>
      <c r="G21" s="59" t="s">
        <v>385</v>
      </c>
      <c r="H21" s="59" t="s">
        <v>385</v>
      </c>
      <c r="I21" s="59" t="s">
        <v>385</v>
      </c>
      <c r="J21" s="45">
        <v>390</v>
      </c>
      <c r="K21" s="45">
        <v>369</v>
      </c>
      <c r="L21" s="4">
        <f t="shared" si="2"/>
        <v>1.056910569105691</v>
      </c>
      <c r="M21" s="11">
        <v>10</v>
      </c>
      <c r="N21" s="35">
        <v>20941.7</v>
      </c>
      <c r="O21" s="35">
        <v>22860.400000000001</v>
      </c>
      <c r="P21" s="4">
        <f t="shared" si="3"/>
        <v>1.0916210240811395</v>
      </c>
      <c r="Q21" s="11">
        <v>20</v>
      </c>
      <c r="R21" s="35">
        <v>711</v>
      </c>
      <c r="S21" s="35">
        <v>754.8</v>
      </c>
      <c r="T21" s="4">
        <f t="shared" si="14"/>
        <v>1.0616033755274261</v>
      </c>
      <c r="U21" s="11">
        <v>5</v>
      </c>
      <c r="V21" s="35">
        <v>129</v>
      </c>
      <c r="W21" s="35">
        <v>144.1</v>
      </c>
      <c r="X21" s="4">
        <f t="shared" si="15"/>
        <v>1.1170542635658913</v>
      </c>
      <c r="Y21" s="11">
        <v>5</v>
      </c>
      <c r="Z21" s="11" t="s">
        <v>385</v>
      </c>
      <c r="AA21" s="11" t="s">
        <v>385</v>
      </c>
      <c r="AB21" s="11" t="s">
        <v>385</v>
      </c>
      <c r="AC21" s="11" t="s">
        <v>385</v>
      </c>
      <c r="AD21" s="11">
        <v>4900</v>
      </c>
      <c r="AE21" s="11">
        <v>4900</v>
      </c>
      <c r="AF21" s="4">
        <f t="shared" si="16"/>
        <v>1</v>
      </c>
      <c r="AG21" s="11">
        <v>15</v>
      </c>
      <c r="AH21" s="11">
        <v>3500</v>
      </c>
      <c r="AI21" s="11">
        <v>3499.3</v>
      </c>
      <c r="AJ21" s="4">
        <f t="shared" si="17"/>
        <v>0.99980000000000002</v>
      </c>
      <c r="AK21" s="11">
        <v>10</v>
      </c>
      <c r="AL21" s="11">
        <v>580</v>
      </c>
      <c r="AM21" s="11">
        <v>1169.9000000000001</v>
      </c>
      <c r="AN21" s="4">
        <f t="shared" si="18"/>
        <v>1.2817068965517242</v>
      </c>
      <c r="AO21" s="11">
        <v>10</v>
      </c>
      <c r="AP21" s="44">
        <f t="shared" si="19"/>
        <v>1.0774799795204761</v>
      </c>
      <c r="AQ21" s="45">
        <v>36362</v>
      </c>
      <c r="AR21" s="35">
        <f t="shared" si="5"/>
        <v>9916.9090909090901</v>
      </c>
      <c r="AS21" s="35">
        <f t="shared" si="6"/>
        <v>10685.3</v>
      </c>
      <c r="AT21" s="35">
        <f t="shared" si="7"/>
        <v>768.39090909090919</v>
      </c>
      <c r="AU21" s="35">
        <v>3527.6</v>
      </c>
      <c r="AV21" s="35">
        <v>3301.3</v>
      </c>
      <c r="AW21" s="35">
        <f t="shared" si="8"/>
        <v>3856.4</v>
      </c>
      <c r="AX21" s="35"/>
      <c r="AY21" s="35">
        <f t="shared" si="9"/>
        <v>3856.4</v>
      </c>
      <c r="AZ21" s="35">
        <v>16.899999999999999</v>
      </c>
      <c r="BA21" s="35">
        <f t="shared" si="20"/>
        <v>3873.3</v>
      </c>
      <c r="BB21" s="35"/>
      <c r="BC21" s="35">
        <f t="shared" si="11"/>
        <v>3873.3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2" customFormat="1" ht="17" customHeight="1">
      <c r="A22" s="13" t="s">
        <v>24</v>
      </c>
      <c r="B22" s="35">
        <v>64014</v>
      </c>
      <c r="C22" s="35">
        <v>72584</v>
      </c>
      <c r="D22" s="4">
        <f t="shared" si="1"/>
        <v>1.1338769644140345</v>
      </c>
      <c r="E22" s="11">
        <v>10</v>
      </c>
      <c r="F22" s="59" t="s">
        <v>385</v>
      </c>
      <c r="G22" s="59" t="s">
        <v>385</v>
      </c>
      <c r="H22" s="59" t="s">
        <v>385</v>
      </c>
      <c r="I22" s="59" t="s">
        <v>385</v>
      </c>
      <c r="J22" s="45">
        <v>400</v>
      </c>
      <c r="K22" s="45">
        <v>368</v>
      </c>
      <c r="L22" s="4">
        <f t="shared" si="2"/>
        <v>1.0869565217391304</v>
      </c>
      <c r="M22" s="11">
        <v>10</v>
      </c>
      <c r="N22" s="35">
        <v>23874.2</v>
      </c>
      <c r="O22" s="35">
        <v>20355.2</v>
      </c>
      <c r="P22" s="4">
        <f t="shared" si="3"/>
        <v>0.85260239086545309</v>
      </c>
      <c r="Q22" s="11">
        <v>20</v>
      </c>
      <c r="R22" s="35">
        <v>925.9</v>
      </c>
      <c r="S22" s="35">
        <v>1118</v>
      </c>
      <c r="T22" s="4">
        <f t="shared" si="14"/>
        <v>1.200747380926666</v>
      </c>
      <c r="U22" s="11">
        <v>5</v>
      </c>
      <c r="V22" s="35">
        <v>117.5</v>
      </c>
      <c r="W22" s="35">
        <v>137.9</v>
      </c>
      <c r="X22" s="4">
        <f t="shared" si="15"/>
        <v>1.1736170212765957</v>
      </c>
      <c r="Y22" s="11">
        <v>5</v>
      </c>
      <c r="Z22" s="11" t="s">
        <v>385</v>
      </c>
      <c r="AA22" s="11" t="s">
        <v>385</v>
      </c>
      <c r="AB22" s="11" t="s">
        <v>385</v>
      </c>
      <c r="AC22" s="11" t="s">
        <v>385</v>
      </c>
      <c r="AD22" s="11">
        <v>10475</v>
      </c>
      <c r="AE22" s="11">
        <v>10323</v>
      </c>
      <c r="AF22" s="4">
        <f t="shared" si="16"/>
        <v>0.98548926014319804</v>
      </c>
      <c r="AG22" s="11">
        <v>20</v>
      </c>
      <c r="AH22" s="11">
        <v>4666</v>
      </c>
      <c r="AI22" s="11">
        <v>5596.8</v>
      </c>
      <c r="AJ22" s="4">
        <f t="shared" si="17"/>
        <v>1.1994856408058294</v>
      </c>
      <c r="AK22" s="11">
        <v>10</v>
      </c>
      <c r="AL22" s="11">
        <v>576</v>
      </c>
      <c r="AM22" s="11">
        <v>1579.7</v>
      </c>
      <c r="AN22" s="4">
        <f t="shared" si="18"/>
        <v>1.3</v>
      </c>
      <c r="AO22" s="11">
        <v>10</v>
      </c>
      <c r="AP22" s="44">
        <f t="shared" si="19"/>
        <v>1.0648538477864364</v>
      </c>
      <c r="AQ22" s="45">
        <v>47804</v>
      </c>
      <c r="AR22" s="35">
        <f t="shared" si="5"/>
        <v>13037.454545454546</v>
      </c>
      <c r="AS22" s="35">
        <f t="shared" si="6"/>
        <v>13883</v>
      </c>
      <c r="AT22" s="35">
        <f t="shared" si="7"/>
        <v>845.54545454545405</v>
      </c>
      <c r="AU22" s="35">
        <v>4866.3999999999996</v>
      </c>
      <c r="AV22" s="35">
        <v>4138.3999999999996</v>
      </c>
      <c r="AW22" s="35">
        <f t="shared" si="8"/>
        <v>4878.2</v>
      </c>
      <c r="AX22" s="35"/>
      <c r="AY22" s="35">
        <f t="shared" si="9"/>
        <v>4878.2</v>
      </c>
      <c r="AZ22" s="35">
        <v>7.7</v>
      </c>
      <c r="BA22" s="35">
        <f t="shared" si="20"/>
        <v>4885.8999999999996</v>
      </c>
      <c r="BB22" s="35">
        <f>MIN(BA22,1360.8)</f>
        <v>1360.8</v>
      </c>
      <c r="BC22" s="35">
        <f t="shared" si="11"/>
        <v>3525.1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s="2" customFormat="1" ht="17" customHeight="1">
      <c r="A23" s="13" t="s">
        <v>25</v>
      </c>
      <c r="B23" s="35">
        <v>65411</v>
      </c>
      <c r="C23" s="35">
        <v>72365</v>
      </c>
      <c r="D23" s="4">
        <f t="shared" si="1"/>
        <v>1.1063123939398571</v>
      </c>
      <c r="E23" s="11">
        <v>10</v>
      </c>
      <c r="F23" s="59" t="s">
        <v>385</v>
      </c>
      <c r="G23" s="59" t="s">
        <v>385</v>
      </c>
      <c r="H23" s="59" t="s">
        <v>385</v>
      </c>
      <c r="I23" s="59" t="s">
        <v>385</v>
      </c>
      <c r="J23" s="45">
        <v>280</v>
      </c>
      <c r="K23" s="45">
        <v>280</v>
      </c>
      <c r="L23" s="4">
        <f t="shared" si="2"/>
        <v>1</v>
      </c>
      <c r="M23" s="11">
        <v>15</v>
      </c>
      <c r="N23" s="35">
        <v>19753.7</v>
      </c>
      <c r="O23" s="35">
        <v>18557.7</v>
      </c>
      <c r="P23" s="4">
        <f t="shared" si="3"/>
        <v>0.93945438069829956</v>
      </c>
      <c r="Q23" s="11">
        <v>20</v>
      </c>
      <c r="R23" s="35">
        <v>1143.5999999999999</v>
      </c>
      <c r="S23" s="35">
        <v>1307.9000000000001</v>
      </c>
      <c r="T23" s="4">
        <f t="shared" si="14"/>
        <v>1.1436691150752012</v>
      </c>
      <c r="U23" s="11">
        <v>5</v>
      </c>
      <c r="V23" s="35">
        <v>85.6</v>
      </c>
      <c r="W23" s="35">
        <v>97.2</v>
      </c>
      <c r="X23" s="4">
        <f t="shared" si="15"/>
        <v>1.1355140186915889</v>
      </c>
      <c r="Y23" s="11">
        <v>5</v>
      </c>
      <c r="Z23" s="11" t="s">
        <v>385</v>
      </c>
      <c r="AA23" s="11" t="s">
        <v>385</v>
      </c>
      <c r="AB23" s="11" t="s">
        <v>385</v>
      </c>
      <c r="AC23" s="11" t="s">
        <v>385</v>
      </c>
      <c r="AD23" s="11">
        <v>4182</v>
      </c>
      <c r="AE23" s="11">
        <v>4182</v>
      </c>
      <c r="AF23" s="4">
        <f t="shared" si="16"/>
        <v>1</v>
      </c>
      <c r="AG23" s="11">
        <v>20</v>
      </c>
      <c r="AH23" s="11">
        <v>3150</v>
      </c>
      <c r="AI23" s="11">
        <v>2668.3</v>
      </c>
      <c r="AJ23" s="4">
        <f t="shared" si="17"/>
        <v>0.8470793650793651</v>
      </c>
      <c r="AK23" s="11">
        <v>10</v>
      </c>
      <c r="AL23" s="11">
        <v>840</v>
      </c>
      <c r="AM23" s="11">
        <v>818</v>
      </c>
      <c r="AN23" s="4">
        <f t="shared" si="18"/>
        <v>0.97380952380952379</v>
      </c>
      <c r="AO23" s="11">
        <v>10</v>
      </c>
      <c r="AP23" s="44">
        <f t="shared" si="19"/>
        <v>0.99428438011670961</v>
      </c>
      <c r="AQ23" s="45">
        <v>41275</v>
      </c>
      <c r="AR23" s="35">
        <f t="shared" si="5"/>
        <v>11256.818181818182</v>
      </c>
      <c r="AS23" s="35">
        <f t="shared" si="6"/>
        <v>11192.5</v>
      </c>
      <c r="AT23" s="35">
        <f t="shared" si="7"/>
        <v>-64.318181818181984</v>
      </c>
      <c r="AU23" s="35">
        <v>3401.6</v>
      </c>
      <c r="AV23" s="35">
        <v>3786.5</v>
      </c>
      <c r="AW23" s="35">
        <f t="shared" si="8"/>
        <v>4004.4</v>
      </c>
      <c r="AX23" s="35"/>
      <c r="AY23" s="35">
        <f t="shared" si="9"/>
        <v>4004.4</v>
      </c>
      <c r="AZ23" s="35">
        <v>-5.8</v>
      </c>
      <c r="BA23" s="35">
        <f t="shared" si="20"/>
        <v>3998.6</v>
      </c>
      <c r="BB23" s="35"/>
      <c r="BC23" s="35">
        <f t="shared" si="11"/>
        <v>3998.6</v>
      </c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s="2" customFormat="1" ht="17" customHeight="1">
      <c r="A24" s="13" t="s">
        <v>26</v>
      </c>
      <c r="B24" s="35">
        <v>3622129</v>
      </c>
      <c r="C24" s="35">
        <v>4386051.4000000004</v>
      </c>
      <c r="D24" s="4">
        <f t="shared" si="1"/>
        <v>1.2010904249959071</v>
      </c>
      <c r="E24" s="11">
        <v>10</v>
      </c>
      <c r="F24" s="59" t="s">
        <v>385</v>
      </c>
      <c r="G24" s="59" t="s">
        <v>385</v>
      </c>
      <c r="H24" s="59" t="s">
        <v>385</v>
      </c>
      <c r="I24" s="59" t="s">
        <v>385</v>
      </c>
      <c r="J24" s="45">
        <v>180</v>
      </c>
      <c r="K24" s="45">
        <v>180</v>
      </c>
      <c r="L24" s="4">
        <f t="shared" si="2"/>
        <v>1</v>
      </c>
      <c r="M24" s="11">
        <v>5</v>
      </c>
      <c r="N24" s="35">
        <v>183803.3</v>
      </c>
      <c r="O24" s="35">
        <v>198782</v>
      </c>
      <c r="P24" s="4">
        <f t="shared" si="3"/>
        <v>1.0814930961522455</v>
      </c>
      <c r="Q24" s="11">
        <v>20</v>
      </c>
      <c r="R24" s="35">
        <v>998.7</v>
      </c>
      <c r="S24" s="35">
        <v>1285.8</v>
      </c>
      <c r="T24" s="4">
        <f t="shared" si="14"/>
        <v>1.2087473715830579</v>
      </c>
      <c r="U24" s="11">
        <v>5</v>
      </c>
      <c r="V24" s="35">
        <v>536.6</v>
      </c>
      <c r="W24" s="35">
        <v>639.70000000000005</v>
      </c>
      <c r="X24" s="4">
        <f t="shared" si="15"/>
        <v>1.1921356690272085</v>
      </c>
      <c r="Y24" s="11">
        <v>5</v>
      </c>
      <c r="Z24" s="11" t="s">
        <v>385</v>
      </c>
      <c r="AA24" s="11" t="s">
        <v>385</v>
      </c>
      <c r="AB24" s="11" t="s">
        <v>385</v>
      </c>
      <c r="AC24" s="11" t="s">
        <v>385</v>
      </c>
      <c r="AD24" s="11">
        <v>4794</v>
      </c>
      <c r="AE24" s="11">
        <v>4434</v>
      </c>
      <c r="AF24" s="4">
        <f t="shared" si="16"/>
        <v>0.92490613266583233</v>
      </c>
      <c r="AG24" s="11">
        <v>20</v>
      </c>
      <c r="AH24" s="11">
        <v>3100</v>
      </c>
      <c r="AI24" s="11">
        <v>3491.1</v>
      </c>
      <c r="AJ24" s="4">
        <f t="shared" si="17"/>
        <v>1.1261612903225806</v>
      </c>
      <c r="AK24" s="11">
        <v>15</v>
      </c>
      <c r="AL24" s="11">
        <v>970</v>
      </c>
      <c r="AM24" s="11">
        <v>1373.4</v>
      </c>
      <c r="AN24" s="4">
        <f t="shared" si="18"/>
        <v>1.2215876288659793</v>
      </c>
      <c r="AO24" s="11">
        <v>10</v>
      </c>
      <c r="AP24" s="44">
        <f t="shared" si="19"/>
        <v>1.091684440809672</v>
      </c>
      <c r="AQ24" s="45">
        <v>35766</v>
      </c>
      <c r="AR24" s="35">
        <f t="shared" si="5"/>
        <v>9754.363636363636</v>
      </c>
      <c r="AS24" s="35">
        <f t="shared" si="6"/>
        <v>10648.7</v>
      </c>
      <c r="AT24" s="35">
        <f t="shared" si="7"/>
        <v>894.33636363636469</v>
      </c>
      <c r="AU24" s="35">
        <v>3708</v>
      </c>
      <c r="AV24" s="35">
        <v>3617.3999999999996</v>
      </c>
      <c r="AW24" s="35">
        <f t="shared" si="8"/>
        <v>3323.3</v>
      </c>
      <c r="AX24" s="35"/>
      <c r="AY24" s="35">
        <f t="shared" si="9"/>
        <v>3323.3</v>
      </c>
      <c r="AZ24" s="35">
        <v>-12.3</v>
      </c>
      <c r="BA24" s="35">
        <f t="shared" si="20"/>
        <v>3311</v>
      </c>
      <c r="BB24" s="35">
        <f>MIN(BA24,1625.7)</f>
        <v>1625.7</v>
      </c>
      <c r="BC24" s="35">
        <f t="shared" si="11"/>
        <v>1685.3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2" customFormat="1" ht="17" customHeight="1">
      <c r="A25" s="13" t="s">
        <v>27</v>
      </c>
      <c r="B25" s="35">
        <v>42388</v>
      </c>
      <c r="C25" s="35">
        <v>49423.1</v>
      </c>
      <c r="D25" s="4">
        <f t="shared" si="1"/>
        <v>1.1659691422100593</v>
      </c>
      <c r="E25" s="11">
        <v>10</v>
      </c>
      <c r="F25" s="59" t="s">
        <v>385</v>
      </c>
      <c r="G25" s="59" t="s">
        <v>385</v>
      </c>
      <c r="H25" s="59" t="s">
        <v>385</v>
      </c>
      <c r="I25" s="59" t="s">
        <v>385</v>
      </c>
      <c r="J25" s="45">
        <v>70</v>
      </c>
      <c r="K25" s="45">
        <v>65</v>
      </c>
      <c r="L25" s="4">
        <f t="shared" si="2"/>
        <v>1.0769230769230769</v>
      </c>
      <c r="M25" s="11">
        <v>10</v>
      </c>
      <c r="N25" s="35">
        <v>9747.1</v>
      </c>
      <c r="O25" s="35">
        <v>9335.1</v>
      </c>
      <c r="P25" s="4">
        <f t="shared" si="3"/>
        <v>0.95773101743082556</v>
      </c>
      <c r="Q25" s="11">
        <v>20</v>
      </c>
      <c r="R25" s="35">
        <v>302</v>
      </c>
      <c r="S25" s="35">
        <v>349.9</v>
      </c>
      <c r="T25" s="4">
        <f t="shared" si="14"/>
        <v>1.1586092715231788</v>
      </c>
      <c r="U25" s="11">
        <v>5</v>
      </c>
      <c r="V25" s="35">
        <v>39</v>
      </c>
      <c r="W25" s="35">
        <v>42.9</v>
      </c>
      <c r="X25" s="4">
        <f t="shared" si="15"/>
        <v>1.0999999999999999</v>
      </c>
      <c r="Y25" s="11">
        <v>5</v>
      </c>
      <c r="Z25" s="11" t="s">
        <v>385</v>
      </c>
      <c r="AA25" s="11" t="s">
        <v>385</v>
      </c>
      <c r="AB25" s="11" t="s">
        <v>385</v>
      </c>
      <c r="AC25" s="11" t="s">
        <v>385</v>
      </c>
      <c r="AD25" s="11">
        <v>1497</v>
      </c>
      <c r="AE25" s="11">
        <v>1357</v>
      </c>
      <c r="AF25" s="4">
        <f t="shared" si="16"/>
        <v>0.90647962591850373</v>
      </c>
      <c r="AG25" s="11">
        <v>20</v>
      </c>
      <c r="AH25" s="11">
        <v>1259.0999999999999</v>
      </c>
      <c r="AI25" s="11">
        <v>1212.7</v>
      </c>
      <c r="AJ25" s="4">
        <f t="shared" si="17"/>
        <v>0.9631482805178303</v>
      </c>
      <c r="AK25" s="11">
        <v>10</v>
      </c>
      <c r="AL25" s="11">
        <v>405</v>
      </c>
      <c r="AM25" s="11">
        <v>459.7</v>
      </c>
      <c r="AN25" s="4">
        <f t="shared" si="18"/>
        <v>1.1350617283950617</v>
      </c>
      <c r="AO25" s="11">
        <v>5</v>
      </c>
      <c r="AP25" s="44">
        <f t="shared" si="19"/>
        <v>1.0154467395657347</v>
      </c>
      <c r="AQ25" s="45">
        <v>17745</v>
      </c>
      <c r="AR25" s="35">
        <f t="shared" si="5"/>
        <v>4839.545454545455</v>
      </c>
      <c r="AS25" s="35">
        <f t="shared" si="6"/>
        <v>4914.3</v>
      </c>
      <c r="AT25" s="35">
        <f t="shared" si="7"/>
        <v>74.754545454545223</v>
      </c>
      <c r="AU25" s="35">
        <v>1606.2</v>
      </c>
      <c r="AV25" s="35">
        <v>1589.3</v>
      </c>
      <c r="AW25" s="35">
        <f t="shared" si="8"/>
        <v>1718.8</v>
      </c>
      <c r="AX25" s="35"/>
      <c r="AY25" s="35">
        <f t="shared" si="9"/>
        <v>1718.8</v>
      </c>
      <c r="AZ25" s="35">
        <v>-6.4</v>
      </c>
      <c r="BA25" s="35">
        <f t="shared" si="20"/>
        <v>1712.3999999999999</v>
      </c>
      <c r="BB25" s="35">
        <f>MIN(BA25,252.6)</f>
        <v>252.6</v>
      </c>
      <c r="BC25" s="35">
        <f t="shared" si="11"/>
        <v>1459.8</v>
      </c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2" customFormat="1" ht="17" customHeight="1">
      <c r="A26" s="13" t="s">
        <v>28</v>
      </c>
      <c r="B26" s="35">
        <v>22482</v>
      </c>
      <c r="C26" s="35">
        <v>22292.3</v>
      </c>
      <c r="D26" s="4">
        <f t="shared" si="1"/>
        <v>0.99156213859976872</v>
      </c>
      <c r="E26" s="11">
        <v>10</v>
      </c>
      <c r="F26" s="59" t="s">
        <v>385</v>
      </c>
      <c r="G26" s="59" t="s">
        <v>385</v>
      </c>
      <c r="H26" s="59" t="s">
        <v>385</v>
      </c>
      <c r="I26" s="59" t="s">
        <v>385</v>
      </c>
      <c r="J26" s="45">
        <v>230</v>
      </c>
      <c r="K26" s="45">
        <v>204</v>
      </c>
      <c r="L26" s="4">
        <f t="shared" si="2"/>
        <v>1.1274509803921569</v>
      </c>
      <c r="M26" s="11">
        <v>15</v>
      </c>
      <c r="N26" s="35">
        <v>16192.2</v>
      </c>
      <c r="O26" s="35">
        <v>13516.7</v>
      </c>
      <c r="P26" s="4">
        <f t="shared" si="3"/>
        <v>0.83476612195995603</v>
      </c>
      <c r="Q26" s="11">
        <v>20</v>
      </c>
      <c r="R26" s="35">
        <v>3392</v>
      </c>
      <c r="S26" s="35">
        <v>3605.1</v>
      </c>
      <c r="T26" s="4">
        <f t="shared" si="14"/>
        <v>1.0628242924528302</v>
      </c>
      <c r="U26" s="11">
        <v>5</v>
      </c>
      <c r="V26" s="35">
        <v>173</v>
      </c>
      <c r="W26" s="35">
        <v>175.4</v>
      </c>
      <c r="X26" s="4">
        <f t="shared" si="15"/>
        <v>1.0138728323699422</v>
      </c>
      <c r="Y26" s="11">
        <v>5</v>
      </c>
      <c r="Z26" s="11" t="s">
        <v>385</v>
      </c>
      <c r="AA26" s="11" t="s">
        <v>385</v>
      </c>
      <c r="AB26" s="11" t="s">
        <v>385</v>
      </c>
      <c r="AC26" s="11" t="s">
        <v>385</v>
      </c>
      <c r="AD26" s="11">
        <v>4886</v>
      </c>
      <c r="AE26" s="11">
        <v>4968</v>
      </c>
      <c r="AF26" s="4">
        <f t="shared" si="16"/>
        <v>1.0167826442898076</v>
      </c>
      <c r="AG26" s="11">
        <v>15</v>
      </c>
      <c r="AH26" s="11">
        <v>5285</v>
      </c>
      <c r="AI26" s="11">
        <v>5344.7</v>
      </c>
      <c r="AJ26" s="4">
        <f t="shared" si="17"/>
        <v>1.0112961210974456</v>
      </c>
      <c r="AK26" s="11">
        <v>20</v>
      </c>
      <c r="AL26" s="11">
        <v>735</v>
      </c>
      <c r="AM26" s="11">
        <v>748.3</v>
      </c>
      <c r="AN26" s="4">
        <f t="shared" si="18"/>
        <v>1.0180952380952379</v>
      </c>
      <c r="AO26" s="11">
        <v>5</v>
      </c>
      <c r="AP26" s="44">
        <f t="shared" si="19"/>
        <v>0.99446665717858163</v>
      </c>
      <c r="AQ26" s="45">
        <v>45438</v>
      </c>
      <c r="AR26" s="35">
        <f t="shared" si="5"/>
        <v>12392.18181818182</v>
      </c>
      <c r="AS26" s="35">
        <f t="shared" si="6"/>
        <v>12323.6</v>
      </c>
      <c r="AT26" s="35">
        <f t="shared" si="7"/>
        <v>-68.581818181819472</v>
      </c>
      <c r="AU26" s="35">
        <v>3827.9</v>
      </c>
      <c r="AV26" s="35">
        <v>4330.4000000000005</v>
      </c>
      <c r="AW26" s="35">
        <f t="shared" si="8"/>
        <v>4165.3</v>
      </c>
      <c r="AX26" s="35"/>
      <c r="AY26" s="35">
        <f t="shared" si="9"/>
        <v>4165.3</v>
      </c>
      <c r="AZ26" s="35">
        <v>-17.5</v>
      </c>
      <c r="BA26" s="35">
        <f t="shared" si="20"/>
        <v>4147.8</v>
      </c>
      <c r="BB26" s="35"/>
      <c r="BC26" s="35">
        <f t="shared" si="11"/>
        <v>4147.8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2" customFormat="1" ht="17" customHeight="1">
      <c r="A27" s="13" t="s">
        <v>29</v>
      </c>
      <c r="B27" s="35">
        <v>14997</v>
      </c>
      <c r="C27" s="35">
        <v>15072.3</v>
      </c>
      <c r="D27" s="4">
        <f t="shared" si="1"/>
        <v>1.0050210042008401</v>
      </c>
      <c r="E27" s="11">
        <v>10</v>
      </c>
      <c r="F27" s="59" t="s">
        <v>385</v>
      </c>
      <c r="G27" s="59" t="s">
        <v>385</v>
      </c>
      <c r="H27" s="59" t="s">
        <v>385</v>
      </c>
      <c r="I27" s="59" t="s">
        <v>385</v>
      </c>
      <c r="J27" s="45">
        <v>130</v>
      </c>
      <c r="K27" s="45">
        <v>152</v>
      </c>
      <c r="L27" s="4">
        <f t="shared" si="2"/>
        <v>0.85526315789473684</v>
      </c>
      <c r="M27" s="11">
        <v>15</v>
      </c>
      <c r="N27" s="35">
        <v>9642.2999999999993</v>
      </c>
      <c r="O27" s="35">
        <v>7997.3</v>
      </c>
      <c r="P27" s="4">
        <f t="shared" si="3"/>
        <v>0.82939755037698482</v>
      </c>
      <c r="Q27" s="11">
        <v>20</v>
      </c>
      <c r="R27" s="35">
        <v>228</v>
      </c>
      <c r="S27" s="35">
        <v>232.6</v>
      </c>
      <c r="T27" s="4">
        <f t="shared" si="14"/>
        <v>1.0201754385964912</v>
      </c>
      <c r="U27" s="11">
        <v>5</v>
      </c>
      <c r="V27" s="35">
        <v>22</v>
      </c>
      <c r="W27" s="35">
        <v>25.1</v>
      </c>
      <c r="X27" s="4">
        <f t="shared" si="15"/>
        <v>1.1409090909090909</v>
      </c>
      <c r="Y27" s="11">
        <v>10</v>
      </c>
      <c r="Z27" s="11" t="s">
        <v>385</v>
      </c>
      <c r="AA27" s="11" t="s">
        <v>385</v>
      </c>
      <c r="AB27" s="11" t="s">
        <v>385</v>
      </c>
      <c r="AC27" s="11" t="s">
        <v>385</v>
      </c>
      <c r="AD27" s="11">
        <v>1000</v>
      </c>
      <c r="AE27" s="11">
        <v>924</v>
      </c>
      <c r="AF27" s="4">
        <f t="shared" si="16"/>
        <v>0.92400000000000004</v>
      </c>
      <c r="AG27" s="11">
        <v>20</v>
      </c>
      <c r="AH27" s="11">
        <v>876.5</v>
      </c>
      <c r="AI27" s="11">
        <v>792.2</v>
      </c>
      <c r="AJ27" s="4">
        <f t="shared" si="17"/>
        <v>0.90382201939532236</v>
      </c>
      <c r="AK27" s="11">
        <v>10</v>
      </c>
      <c r="AL27" s="11">
        <v>254</v>
      </c>
      <c r="AM27" s="11">
        <v>198</v>
      </c>
      <c r="AN27" s="4">
        <f t="shared" si="18"/>
        <v>0.77952755905511806</v>
      </c>
      <c r="AO27" s="11">
        <v>15</v>
      </c>
      <c r="AP27" s="44">
        <f t="shared" si="19"/>
        <v>0.90655438190307158</v>
      </c>
      <c r="AQ27" s="45">
        <v>18570</v>
      </c>
      <c r="AR27" s="35">
        <f t="shared" si="5"/>
        <v>5064.545454545455</v>
      </c>
      <c r="AS27" s="35">
        <f t="shared" si="6"/>
        <v>4591.3</v>
      </c>
      <c r="AT27" s="35">
        <f t="shared" si="7"/>
        <v>-473.24545454545478</v>
      </c>
      <c r="AU27" s="35">
        <v>1631.2</v>
      </c>
      <c r="AV27" s="35">
        <v>1580.5</v>
      </c>
      <c r="AW27" s="35">
        <f t="shared" si="8"/>
        <v>1379.6</v>
      </c>
      <c r="AX27" s="35"/>
      <c r="AY27" s="35">
        <f t="shared" si="9"/>
        <v>1379.6</v>
      </c>
      <c r="AZ27" s="35">
        <v>10.7</v>
      </c>
      <c r="BA27" s="35">
        <f t="shared" si="20"/>
        <v>1390.3</v>
      </c>
      <c r="BB27" s="35"/>
      <c r="BC27" s="35">
        <f t="shared" si="11"/>
        <v>1390.3</v>
      </c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2" customFormat="1" ht="17" customHeight="1">
      <c r="A28" s="13" t="s">
        <v>30</v>
      </c>
      <c r="B28" s="35">
        <v>4339858</v>
      </c>
      <c r="C28" s="35">
        <v>4297440.9000000004</v>
      </c>
      <c r="D28" s="4">
        <f t="shared" si="1"/>
        <v>0.99022615486497489</v>
      </c>
      <c r="E28" s="11">
        <v>10</v>
      </c>
      <c r="F28" s="59" t="s">
        <v>385</v>
      </c>
      <c r="G28" s="59" t="s">
        <v>385</v>
      </c>
      <c r="H28" s="59" t="s">
        <v>385</v>
      </c>
      <c r="I28" s="59" t="s">
        <v>385</v>
      </c>
      <c r="J28" s="45">
        <v>215</v>
      </c>
      <c r="K28" s="45">
        <v>208</v>
      </c>
      <c r="L28" s="4">
        <f t="shared" si="2"/>
        <v>1.0336538461538463</v>
      </c>
      <c r="M28" s="11">
        <v>10</v>
      </c>
      <c r="N28" s="35">
        <v>53812.800000000003</v>
      </c>
      <c r="O28" s="35">
        <v>55173.599999999999</v>
      </c>
      <c r="P28" s="4">
        <f t="shared" si="3"/>
        <v>1.0252876639015251</v>
      </c>
      <c r="Q28" s="11">
        <v>20</v>
      </c>
      <c r="R28" s="35">
        <v>2799.5</v>
      </c>
      <c r="S28" s="35">
        <v>3718.1</v>
      </c>
      <c r="T28" s="4">
        <f t="shared" si="14"/>
        <v>1.2128130023218431</v>
      </c>
      <c r="U28" s="11">
        <v>10</v>
      </c>
      <c r="V28" s="35">
        <v>855.1</v>
      </c>
      <c r="W28" s="35">
        <v>1049.3</v>
      </c>
      <c r="X28" s="4">
        <f t="shared" si="15"/>
        <v>1.2027107940591744</v>
      </c>
      <c r="Y28" s="11">
        <v>10</v>
      </c>
      <c r="Z28" s="11" t="s">
        <v>385</v>
      </c>
      <c r="AA28" s="11" t="s">
        <v>385</v>
      </c>
      <c r="AB28" s="11" t="s">
        <v>385</v>
      </c>
      <c r="AC28" s="11" t="s">
        <v>385</v>
      </c>
      <c r="AD28" s="11">
        <v>4548</v>
      </c>
      <c r="AE28" s="11">
        <v>5191</v>
      </c>
      <c r="AF28" s="4">
        <f t="shared" si="16"/>
        <v>1.1413808267370273</v>
      </c>
      <c r="AG28" s="11">
        <v>15</v>
      </c>
      <c r="AH28" s="11">
        <v>4543</v>
      </c>
      <c r="AI28" s="11">
        <v>5298.4</v>
      </c>
      <c r="AJ28" s="4">
        <f t="shared" si="17"/>
        <v>1.1662777900066035</v>
      </c>
      <c r="AK28" s="11">
        <v>10</v>
      </c>
      <c r="AL28" s="11">
        <v>6042</v>
      </c>
      <c r="AM28" s="11">
        <v>3366.3</v>
      </c>
      <c r="AN28" s="4">
        <f t="shared" si="18"/>
        <v>0.55714995034756709</v>
      </c>
      <c r="AO28" s="11">
        <v>10</v>
      </c>
      <c r="AP28" s="44">
        <f t="shared" si="19"/>
        <v>1.0447871690171158</v>
      </c>
      <c r="AQ28" s="45">
        <v>49986</v>
      </c>
      <c r="AR28" s="35">
        <f t="shared" si="5"/>
        <v>13632.545454545454</v>
      </c>
      <c r="AS28" s="35">
        <f t="shared" si="6"/>
        <v>14243.1</v>
      </c>
      <c r="AT28" s="35">
        <f t="shared" si="7"/>
        <v>610.55454545454631</v>
      </c>
      <c r="AU28" s="35">
        <v>5374.2</v>
      </c>
      <c r="AV28" s="35">
        <v>4316.5</v>
      </c>
      <c r="AW28" s="35">
        <f t="shared" si="8"/>
        <v>4552.3999999999996</v>
      </c>
      <c r="AX28" s="35"/>
      <c r="AY28" s="35">
        <f t="shared" si="9"/>
        <v>4552.3999999999996</v>
      </c>
      <c r="AZ28" s="35">
        <v>18.7</v>
      </c>
      <c r="BA28" s="35">
        <f t="shared" si="20"/>
        <v>4571.0999999999995</v>
      </c>
      <c r="BB28" s="35"/>
      <c r="BC28" s="35">
        <f t="shared" si="11"/>
        <v>4571.1000000000004</v>
      </c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2" customFormat="1" ht="17" customHeight="1">
      <c r="A29" s="13" t="s">
        <v>31</v>
      </c>
      <c r="B29" s="35">
        <v>983770</v>
      </c>
      <c r="C29" s="35">
        <v>1228970.3</v>
      </c>
      <c r="D29" s="4">
        <f t="shared" si="1"/>
        <v>1.204924555536355</v>
      </c>
      <c r="E29" s="11">
        <v>10</v>
      </c>
      <c r="F29" s="59" t="s">
        <v>385</v>
      </c>
      <c r="G29" s="59" t="s">
        <v>385</v>
      </c>
      <c r="H29" s="59" t="s">
        <v>385</v>
      </c>
      <c r="I29" s="59" t="s">
        <v>385</v>
      </c>
      <c r="J29" s="45">
        <v>235</v>
      </c>
      <c r="K29" s="45">
        <v>215</v>
      </c>
      <c r="L29" s="4">
        <f t="shared" si="2"/>
        <v>1.0930232558139534</v>
      </c>
      <c r="M29" s="11">
        <v>5</v>
      </c>
      <c r="N29" s="35">
        <v>45723.4</v>
      </c>
      <c r="O29" s="35">
        <v>58194.9</v>
      </c>
      <c r="P29" s="4">
        <f t="shared" si="3"/>
        <v>1.2072759681038592</v>
      </c>
      <c r="Q29" s="11">
        <v>20</v>
      </c>
      <c r="R29" s="35">
        <v>1179</v>
      </c>
      <c r="S29" s="35">
        <v>1190.4000000000001</v>
      </c>
      <c r="T29" s="4">
        <f t="shared" si="14"/>
        <v>1.0096692111959289</v>
      </c>
      <c r="U29" s="11">
        <v>5</v>
      </c>
      <c r="V29" s="35">
        <v>6811</v>
      </c>
      <c r="W29" s="35">
        <v>10195</v>
      </c>
      <c r="X29" s="4">
        <f t="shared" si="15"/>
        <v>1.2296843341653207</v>
      </c>
      <c r="Y29" s="11">
        <v>15</v>
      </c>
      <c r="Z29" s="11" t="s">
        <v>385</v>
      </c>
      <c r="AA29" s="11" t="s">
        <v>385</v>
      </c>
      <c r="AB29" s="11" t="s">
        <v>385</v>
      </c>
      <c r="AC29" s="11" t="s">
        <v>385</v>
      </c>
      <c r="AD29" s="11">
        <v>3804</v>
      </c>
      <c r="AE29" s="11">
        <v>3876</v>
      </c>
      <c r="AF29" s="4">
        <f t="shared" si="16"/>
        <v>1.0189274447949528</v>
      </c>
      <c r="AG29" s="11">
        <v>10</v>
      </c>
      <c r="AH29" s="11">
        <v>3662</v>
      </c>
      <c r="AI29" s="11">
        <v>4108.3999999999996</v>
      </c>
      <c r="AJ29" s="4">
        <f t="shared" si="17"/>
        <v>1.1219006007646095</v>
      </c>
      <c r="AK29" s="11">
        <v>10</v>
      </c>
      <c r="AL29" s="11">
        <v>8711</v>
      </c>
      <c r="AM29" s="11">
        <v>10995.7</v>
      </c>
      <c r="AN29" s="4">
        <f t="shared" si="18"/>
        <v>1.2062277580071175</v>
      </c>
      <c r="AO29" s="11">
        <v>20</v>
      </c>
      <c r="AP29" s="44">
        <f t="shared" si="19"/>
        <v>1.1651192408495572</v>
      </c>
      <c r="AQ29" s="45">
        <v>122331</v>
      </c>
      <c r="AR29" s="35">
        <f t="shared" si="5"/>
        <v>33363</v>
      </c>
      <c r="AS29" s="35">
        <f t="shared" si="6"/>
        <v>38871.9</v>
      </c>
      <c r="AT29" s="35">
        <f t="shared" si="7"/>
        <v>5508.9000000000015</v>
      </c>
      <c r="AU29" s="35">
        <v>12380.3</v>
      </c>
      <c r="AV29" s="35">
        <v>12969.5</v>
      </c>
      <c r="AW29" s="35">
        <f t="shared" si="8"/>
        <v>13522.1</v>
      </c>
      <c r="AX29" s="35"/>
      <c r="AY29" s="35">
        <f t="shared" si="9"/>
        <v>13522.1</v>
      </c>
      <c r="AZ29" s="35">
        <v>-108.8</v>
      </c>
      <c r="BA29" s="35">
        <f t="shared" si="20"/>
        <v>13413.300000000001</v>
      </c>
      <c r="BB29" s="35"/>
      <c r="BC29" s="35">
        <f t="shared" si="11"/>
        <v>13413.3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2" customFormat="1" ht="17" customHeight="1">
      <c r="A30" s="13" t="s">
        <v>32</v>
      </c>
      <c r="B30" s="35">
        <v>64810</v>
      </c>
      <c r="C30" s="35">
        <v>65050.7</v>
      </c>
      <c r="D30" s="4">
        <f t="shared" si="1"/>
        <v>1.0037139330350253</v>
      </c>
      <c r="E30" s="11">
        <v>10</v>
      </c>
      <c r="F30" s="59" t="s">
        <v>385</v>
      </c>
      <c r="G30" s="59" t="s">
        <v>385</v>
      </c>
      <c r="H30" s="59" t="s">
        <v>385</v>
      </c>
      <c r="I30" s="59" t="s">
        <v>385</v>
      </c>
      <c r="J30" s="45">
        <v>185</v>
      </c>
      <c r="K30" s="45">
        <v>173</v>
      </c>
      <c r="L30" s="4">
        <f t="shared" si="2"/>
        <v>1.0693641618497109</v>
      </c>
      <c r="M30" s="11">
        <v>10</v>
      </c>
      <c r="N30" s="35">
        <v>19552.400000000001</v>
      </c>
      <c r="O30" s="35">
        <v>18242.400000000001</v>
      </c>
      <c r="P30" s="4">
        <f t="shared" si="3"/>
        <v>0.93300055236185842</v>
      </c>
      <c r="Q30" s="11">
        <v>20</v>
      </c>
      <c r="R30" s="35">
        <v>614.20000000000005</v>
      </c>
      <c r="S30" s="35">
        <v>586.79999999999995</v>
      </c>
      <c r="T30" s="4">
        <f t="shared" si="14"/>
        <v>0.9553891240638227</v>
      </c>
      <c r="U30" s="11">
        <v>10</v>
      </c>
      <c r="V30" s="35">
        <v>31.9</v>
      </c>
      <c r="W30" s="35">
        <v>33.700000000000003</v>
      </c>
      <c r="X30" s="4">
        <f t="shared" si="15"/>
        <v>1.0564263322884013</v>
      </c>
      <c r="Y30" s="11">
        <v>10</v>
      </c>
      <c r="Z30" s="11" t="s">
        <v>385</v>
      </c>
      <c r="AA30" s="11" t="s">
        <v>385</v>
      </c>
      <c r="AB30" s="11" t="s">
        <v>385</v>
      </c>
      <c r="AC30" s="11" t="s">
        <v>385</v>
      </c>
      <c r="AD30" s="11">
        <v>1631</v>
      </c>
      <c r="AE30" s="11">
        <v>1609</v>
      </c>
      <c r="AF30" s="4">
        <f t="shared" si="16"/>
        <v>0.98651134273451868</v>
      </c>
      <c r="AG30" s="11">
        <v>20</v>
      </c>
      <c r="AH30" s="11">
        <v>1458</v>
      </c>
      <c r="AI30" s="11">
        <v>1323.2</v>
      </c>
      <c r="AJ30" s="4">
        <f t="shared" si="17"/>
        <v>0.9075445816186557</v>
      </c>
      <c r="AK30" s="11">
        <v>10</v>
      </c>
      <c r="AL30" s="11">
        <v>332</v>
      </c>
      <c r="AM30" s="11">
        <v>319.89999999999998</v>
      </c>
      <c r="AN30" s="4">
        <f t="shared" si="18"/>
        <v>0.96355421686746978</v>
      </c>
      <c r="AO30" s="11">
        <v>10</v>
      </c>
      <c r="AP30" s="44">
        <f t="shared" si="19"/>
        <v>0.97950161399158409</v>
      </c>
      <c r="AQ30" s="45">
        <v>20840</v>
      </c>
      <c r="AR30" s="35">
        <f t="shared" si="5"/>
        <v>5683.636363636364</v>
      </c>
      <c r="AS30" s="35">
        <f t="shared" si="6"/>
        <v>5567.1</v>
      </c>
      <c r="AT30" s="35">
        <f t="shared" si="7"/>
        <v>-116.5363636363636</v>
      </c>
      <c r="AU30" s="35">
        <v>1706.7</v>
      </c>
      <c r="AV30" s="35">
        <v>1936.3999999999999</v>
      </c>
      <c r="AW30" s="35">
        <f t="shared" si="8"/>
        <v>1924</v>
      </c>
      <c r="AX30" s="35"/>
      <c r="AY30" s="35">
        <f t="shared" si="9"/>
        <v>1924</v>
      </c>
      <c r="AZ30" s="35">
        <v>-10.6</v>
      </c>
      <c r="BA30" s="35">
        <f t="shared" si="20"/>
        <v>1913.4</v>
      </c>
      <c r="BB30" s="35">
        <f>MIN(BA30,313.6)</f>
        <v>313.60000000000002</v>
      </c>
      <c r="BC30" s="35">
        <f t="shared" si="11"/>
        <v>1599.8</v>
      </c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2" customFormat="1" ht="17" customHeight="1">
      <c r="A31" s="13" t="s">
        <v>33</v>
      </c>
      <c r="B31" s="35">
        <v>574614</v>
      </c>
      <c r="C31" s="35">
        <v>596989</v>
      </c>
      <c r="D31" s="4">
        <f t="shared" si="1"/>
        <v>1.0389391835214596</v>
      </c>
      <c r="E31" s="11">
        <v>10</v>
      </c>
      <c r="F31" s="59" t="s">
        <v>385</v>
      </c>
      <c r="G31" s="59" t="s">
        <v>385</v>
      </c>
      <c r="H31" s="59" t="s">
        <v>385</v>
      </c>
      <c r="I31" s="59" t="s">
        <v>385</v>
      </c>
      <c r="J31" s="45">
        <v>230</v>
      </c>
      <c r="K31" s="45">
        <v>218</v>
      </c>
      <c r="L31" s="4">
        <f t="shared" si="2"/>
        <v>1.0550458715596329</v>
      </c>
      <c r="M31" s="11">
        <v>10</v>
      </c>
      <c r="N31" s="35">
        <v>27312.2</v>
      </c>
      <c r="O31" s="35">
        <v>23080.799999999999</v>
      </c>
      <c r="P31" s="4">
        <f t="shared" si="3"/>
        <v>0.84507289782587991</v>
      </c>
      <c r="Q31" s="11">
        <v>20</v>
      </c>
      <c r="R31" s="35">
        <v>3913</v>
      </c>
      <c r="S31" s="35">
        <v>4108.8</v>
      </c>
      <c r="T31" s="4">
        <f t="shared" si="14"/>
        <v>1.050038333759264</v>
      </c>
      <c r="U31" s="11">
        <v>10</v>
      </c>
      <c r="V31" s="35">
        <v>236</v>
      </c>
      <c r="W31" s="35">
        <v>273.39999999999998</v>
      </c>
      <c r="X31" s="4">
        <f t="shared" si="15"/>
        <v>1.1584745762711863</v>
      </c>
      <c r="Y31" s="11">
        <v>5</v>
      </c>
      <c r="Z31" s="11" t="s">
        <v>385</v>
      </c>
      <c r="AA31" s="11" t="s">
        <v>385</v>
      </c>
      <c r="AB31" s="11" t="s">
        <v>385</v>
      </c>
      <c r="AC31" s="11" t="s">
        <v>385</v>
      </c>
      <c r="AD31" s="11">
        <v>6340</v>
      </c>
      <c r="AE31" s="11">
        <v>6550</v>
      </c>
      <c r="AF31" s="4">
        <f t="shared" si="16"/>
        <v>1.0331230283911672</v>
      </c>
      <c r="AG31" s="11">
        <v>10</v>
      </c>
      <c r="AH31" s="11">
        <v>6500</v>
      </c>
      <c r="AI31" s="11">
        <v>6673.4</v>
      </c>
      <c r="AJ31" s="4">
        <f t="shared" si="17"/>
        <v>1.026676923076923</v>
      </c>
      <c r="AK31" s="11">
        <v>20</v>
      </c>
      <c r="AL31" s="11">
        <v>1000</v>
      </c>
      <c r="AM31" s="11">
        <v>1335.3</v>
      </c>
      <c r="AN31" s="4">
        <f t="shared" si="18"/>
        <v>1.21353</v>
      </c>
      <c r="AO31" s="11">
        <v>5</v>
      </c>
      <c r="AP31" s="44">
        <f t="shared" si="19"/>
        <v>1.0118498163525245</v>
      </c>
      <c r="AQ31" s="45">
        <v>43021</v>
      </c>
      <c r="AR31" s="35">
        <f t="shared" si="5"/>
        <v>11733</v>
      </c>
      <c r="AS31" s="35">
        <f t="shared" si="6"/>
        <v>11872</v>
      </c>
      <c r="AT31" s="35">
        <f t="shared" si="7"/>
        <v>139</v>
      </c>
      <c r="AU31" s="35">
        <v>3694.9</v>
      </c>
      <c r="AV31" s="35">
        <v>3587.8</v>
      </c>
      <c r="AW31" s="35">
        <f t="shared" si="8"/>
        <v>4589.3</v>
      </c>
      <c r="AX31" s="35"/>
      <c r="AY31" s="35">
        <f t="shared" si="9"/>
        <v>4589.3</v>
      </c>
      <c r="AZ31" s="35">
        <v>16.899999999999999</v>
      </c>
      <c r="BA31" s="35">
        <f t="shared" si="20"/>
        <v>4606.2</v>
      </c>
      <c r="BB31" s="35"/>
      <c r="BC31" s="35">
        <f t="shared" si="11"/>
        <v>4606.2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s="2" customFormat="1" ht="17" customHeight="1">
      <c r="A32" s="13" t="s">
        <v>34</v>
      </c>
      <c r="B32" s="35">
        <v>41076</v>
      </c>
      <c r="C32" s="35">
        <v>43452</v>
      </c>
      <c r="D32" s="4">
        <f t="shared" si="1"/>
        <v>1.0578439964943032</v>
      </c>
      <c r="E32" s="11">
        <v>10</v>
      </c>
      <c r="F32" s="59" t="s">
        <v>385</v>
      </c>
      <c r="G32" s="59" t="s">
        <v>385</v>
      </c>
      <c r="H32" s="59" t="s">
        <v>385</v>
      </c>
      <c r="I32" s="59" t="s">
        <v>385</v>
      </c>
      <c r="J32" s="45">
        <v>215</v>
      </c>
      <c r="K32" s="45">
        <v>198</v>
      </c>
      <c r="L32" s="4">
        <f t="shared" si="2"/>
        <v>1.0858585858585859</v>
      </c>
      <c r="M32" s="11">
        <v>15</v>
      </c>
      <c r="N32" s="35">
        <v>18064.3</v>
      </c>
      <c r="O32" s="35">
        <v>26759.5</v>
      </c>
      <c r="P32" s="4">
        <f t="shared" si="3"/>
        <v>1.2281347187546707</v>
      </c>
      <c r="Q32" s="11">
        <v>20</v>
      </c>
      <c r="R32" s="35">
        <v>708.9</v>
      </c>
      <c r="S32" s="35">
        <v>713</v>
      </c>
      <c r="T32" s="4">
        <f t="shared" si="14"/>
        <v>1.0057836084073917</v>
      </c>
      <c r="U32" s="11">
        <v>10</v>
      </c>
      <c r="V32" s="35">
        <v>70.8</v>
      </c>
      <c r="W32" s="35">
        <v>78.400000000000006</v>
      </c>
      <c r="X32" s="4">
        <f t="shared" si="15"/>
        <v>1.1073446327683618</v>
      </c>
      <c r="Y32" s="11">
        <v>10</v>
      </c>
      <c r="Z32" s="11" t="s">
        <v>385</v>
      </c>
      <c r="AA32" s="11" t="s">
        <v>385</v>
      </c>
      <c r="AB32" s="11" t="s">
        <v>385</v>
      </c>
      <c r="AC32" s="11" t="s">
        <v>385</v>
      </c>
      <c r="AD32" s="11">
        <v>3454</v>
      </c>
      <c r="AE32" s="11">
        <v>3435</v>
      </c>
      <c r="AF32" s="4">
        <f t="shared" si="16"/>
        <v>0.99449913144180657</v>
      </c>
      <c r="AG32" s="11">
        <v>10</v>
      </c>
      <c r="AH32" s="11">
        <v>3301.3</v>
      </c>
      <c r="AI32" s="11">
        <v>3014.2</v>
      </c>
      <c r="AJ32" s="4">
        <f t="shared" si="17"/>
        <v>0.91303425923121184</v>
      </c>
      <c r="AK32" s="11">
        <v>10</v>
      </c>
      <c r="AL32" s="11">
        <v>809.6</v>
      </c>
      <c r="AM32" s="11">
        <v>857.6</v>
      </c>
      <c r="AN32" s="4">
        <f t="shared" si="18"/>
        <v>1.0592885375494072</v>
      </c>
      <c r="AO32" s="11">
        <v>10</v>
      </c>
      <c r="AP32" s="44">
        <f t="shared" si="19"/>
        <v>1.0760896297041791</v>
      </c>
      <c r="AQ32" s="45">
        <v>31486</v>
      </c>
      <c r="AR32" s="35">
        <f t="shared" si="5"/>
        <v>8587.0909090909099</v>
      </c>
      <c r="AS32" s="35">
        <f t="shared" si="6"/>
        <v>9240.5</v>
      </c>
      <c r="AT32" s="35">
        <f t="shared" si="7"/>
        <v>653.40909090909008</v>
      </c>
      <c r="AU32" s="35">
        <v>3238.6</v>
      </c>
      <c r="AV32" s="35">
        <v>2950.6</v>
      </c>
      <c r="AW32" s="35">
        <f t="shared" si="8"/>
        <v>3051.3</v>
      </c>
      <c r="AX32" s="35"/>
      <c r="AY32" s="35">
        <f t="shared" si="9"/>
        <v>3051.3</v>
      </c>
      <c r="AZ32" s="35">
        <v>-13.3</v>
      </c>
      <c r="BA32" s="35">
        <f t="shared" si="20"/>
        <v>3038</v>
      </c>
      <c r="BB32" s="35"/>
      <c r="BC32" s="35">
        <f t="shared" si="11"/>
        <v>3038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209" s="2" customFormat="1" ht="17" customHeight="1">
      <c r="A33" s="13" t="s">
        <v>1</v>
      </c>
      <c r="B33" s="35">
        <v>1400481</v>
      </c>
      <c r="C33" s="35">
        <v>1344388</v>
      </c>
      <c r="D33" s="4">
        <f t="shared" si="1"/>
        <v>0.95994733238080343</v>
      </c>
      <c r="E33" s="11">
        <v>10</v>
      </c>
      <c r="F33" s="59" t="s">
        <v>385</v>
      </c>
      <c r="G33" s="59" t="s">
        <v>385</v>
      </c>
      <c r="H33" s="59" t="s">
        <v>385</v>
      </c>
      <c r="I33" s="59" t="s">
        <v>385</v>
      </c>
      <c r="J33" s="45">
        <v>330</v>
      </c>
      <c r="K33" s="45">
        <v>318</v>
      </c>
      <c r="L33" s="4">
        <f t="shared" si="2"/>
        <v>1.0377358490566038</v>
      </c>
      <c r="M33" s="11">
        <v>10</v>
      </c>
      <c r="N33" s="35">
        <v>93054.7</v>
      </c>
      <c r="O33" s="35">
        <v>89081.5</v>
      </c>
      <c r="P33" s="4">
        <f t="shared" si="3"/>
        <v>0.95730253281134647</v>
      </c>
      <c r="Q33" s="11">
        <v>20</v>
      </c>
      <c r="R33" s="35">
        <v>1614.4</v>
      </c>
      <c r="S33" s="35">
        <v>1482.1</v>
      </c>
      <c r="T33" s="4">
        <f t="shared" si="14"/>
        <v>0.91805004955401381</v>
      </c>
      <c r="U33" s="11">
        <v>5</v>
      </c>
      <c r="V33" s="35">
        <v>1012.9</v>
      </c>
      <c r="W33" s="35">
        <v>835.4</v>
      </c>
      <c r="X33" s="4">
        <f t="shared" si="15"/>
        <v>0.82476058840951727</v>
      </c>
      <c r="Y33" s="11">
        <v>10</v>
      </c>
      <c r="Z33" s="11" t="s">
        <v>385</v>
      </c>
      <c r="AA33" s="11" t="s">
        <v>385</v>
      </c>
      <c r="AB33" s="11" t="s">
        <v>385</v>
      </c>
      <c r="AC33" s="11" t="s">
        <v>385</v>
      </c>
      <c r="AD33" s="11">
        <v>4986</v>
      </c>
      <c r="AE33" s="11">
        <v>4948</v>
      </c>
      <c r="AF33" s="4">
        <f t="shared" si="16"/>
        <v>0.99237866024869636</v>
      </c>
      <c r="AG33" s="11">
        <v>10</v>
      </c>
      <c r="AH33" s="11">
        <v>3961</v>
      </c>
      <c r="AI33" s="11">
        <v>3548.5</v>
      </c>
      <c r="AJ33" s="4">
        <f t="shared" si="17"/>
        <v>0.8958596314062105</v>
      </c>
      <c r="AK33" s="11">
        <v>15</v>
      </c>
      <c r="AL33" s="11">
        <v>1709.5</v>
      </c>
      <c r="AM33" s="11">
        <v>1339.4</v>
      </c>
      <c r="AN33" s="4">
        <f t="shared" si="18"/>
        <v>0.78350394852296001</v>
      </c>
      <c r="AO33" s="11">
        <v>10</v>
      </c>
      <c r="AP33" s="44">
        <f t="shared" si="19"/>
        <v>0.92397176845862183</v>
      </c>
      <c r="AQ33" s="45">
        <v>70238</v>
      </c>
      <c r="AR33" s="35">
        <f t="shared" si="5"/>
        <v>19155.81818181818</v>
      </c>
      <c r="AS33" s="35">
        <f t="shared" si="6"/>
        <v>17699.400000000001</v>
      </c>
      <c r="AT33" s="35">
        <f t="shared" si="7"/>
        <v>-1456.4181818181787</v>
      </c>
      <c r="AU33" s="35">
        <v>6029.1</v>
      </c>
      <c r="AV33" s="35">
        <v>5823.2</v>
      </c>
      <c r="AW33" s="35">
        <f t="shared" si="8"/>
        <v>5847.1</v>
      </c>
      <c r="AX33" s="35"/>
      <c r="AY33" s="35">
        <f t="shared" si="9"/>
        <v>5847.1</v>
      </c>
      <c r="AZ33" s="35">
        <v>37.4</v>
      </c>
      <c r="BA33" s="35">
        <f t="shared" si="20"/>
        <v>5884.5</v>
      </c>
      <c r="BB33" s="35"/>
      <c r="BC33" s="35">
        <f t="shared" si="11"/>
        <v>5884.5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209" s="2" customFormat="1" ht="17" customHeight="1">
      <c r="A34" s="13" t="s">
        <v>35</v>
      </c>
      <c r="B34" s="35">
        <v>2584390</v>
      </c>
      <c r="C34" s="35">
        <v>3148145.4</v>
      </c>
      <c r="D34" s="4">
        <f t="shared" si="1"/>
        <v>1.2018138671021015</v>
      </c>
      <c r="E34" s="11">
        <v>10</v>
      </c>
      <c r="F34" s="59" t="s">
        <v>385</v>
      </c>
      <c r="G34" s="59" t="s">
        <v>385</v>
      </c>
      <c r="H34" s="59" t="s">
        <v>385</v>
      </c>
      <c r="I34" s="59" t="s">
        <v>385</v>
      </c>
      <c r="J34" s="45">
        <v>260</v>
      </c>
      <c r="K34" s="45">
        <v>254</v>
      </c>
      <c r="L34" s="4">
        <f t="shared" si="2"/>
        <v>1.0236220472440944</v>
      </c>
      <c r="M34" s="11">
        <v>10</v>
      </c>
      <c r="N34" s="35">
        <v>58915.3</v>
      </c>
      <c r="O34" s="35">
        <v>53685.3</v>
      </c>
      <c r="P34" s="4">
        <f t="shared" si="3"/>
        <v>0.91122849242896153</v>
      </c>
      <c r="Q34" s="11">
        <v>20</v>
      </c>
      <c r="R34" s="35">
        <v>499.5</v>
      </c>
      <c r="S34" s="35">
        <v>485.7</v>
      </c>
      <c r="T34" s="4">
        <f t="shared" si="14"/>
        <v>0.9723723723723724</v>
      </c>
      <c r="U34" s="11">
        <v>5</v>
      </c>
      <c r="V34" s="35">
        <v>54.5</v>
      </c>
      <c r="W34" s="35">
        <v>49.3</v>
      </c>
      <c r="X34" s="4">
        <f t="shared" si="15"/>
        <v>0.90458715596330275</v>
      </c>
      <c r="Y34" s="11">
        <v>5</v>
      </c>
      <c r="Z34" s="11" t="s">
        <v>385</v>
      </c>
      <c r="AA34" s="11" t="s">
        <v>385</v>
      </c>
      <c r="AB34" s="11" t="s">
        <v>385</v>
      </c>
      <c r="AC34" s="11" t="s">
        <v>385</v>
      </c>
      <c r="AD34" s="11">
        <v>1843</v>
      </c>
      <c r="AE34" s="11">
        <v>1864</v>
      </c>
      <c r="AF34" s="4">
        <f t="shared" si="16"/>
        <v>1.0113944655453067</v>
      </c>
      <c r="AG34" s="11">
        <v>15</v>
      </c>
      <c r="AH34" s="11">
        <v>1610</v>
      </c>
      <c r="AI34" s="11">
        <v>1674.4</v>
      </c>
      <c r="AJ34" s="4">
        <f t="shared" si="17"/>
        <v>1.04</v>
      </c>
      <c r="AK34" s="11">
        <v>10</v>
      </c>
      <c r="AL34" s="11">
        <v>680</v>
      </c>
      <c r="AM34" s="11">
        <v>536.20000000000005</v>
      </c>
      <c r="AN34" s="4">
        <f t="shared" si="18"/>
        <v>0.78852941176470592</v>
      </c>
      <c r="AO34" s="11">
        <v>10</v>
      </c>
      <c r="AP34" s="44">
        <f t="shared" si="19"/>
        <v>0.98023456158289679</v>
      </c>
      <c r="AQ34" s="45">
        <v>30710</v>
      </c>
      <c r="AR34" s="35">
        <f t="shared" si="5"/>
        <v>8375.454545454546</v>
      </c>
      <c r="AS34" s="35">
        <f t="shared" si="6"/>
        <v>8209.9</v>
      </c>
      <c r="AT34" s="35">
        <f t="shared" si="7"/>
        <v>-165.55454545454631</v>
      </c>
      <c r="AU34" s="35">
        <v>2646.9</v>
      </c>
      <c r="AV34" s="35">
        <v>2730.4</v>
      </c>
      <c r="AW34" s="35">
        <f t="shared" si="8"/>
        <v>2832.6</v>
      </c>
      <c r="AX34" s="35"/>
      <c r="AY34" s="35">
        <f t="shared" si="9"/>
        <v>2832.6</v>
      </c>
      <c r="AZ34" s="35">
        <v>-5</v>
      </c>
      <c r="BA34" s="35">
        <f t="shared" si="20"/>
        <v>2827.6</v>
      </c>
      <c r="BB34" s="35">
        <f>MIN(BA34,50.4)</f>
        <v>50.4</v>
      </c>
      <c r="BC34" s="35">
        <f t="shared" si="11"/>
        <v>2777.2</v>
      </c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209" s="2" customFormat="1" ht="17" customHeight="1">
      <c r="A35" s="13" t="s">
        <v>36</v>
      </c>
      <c r="B35" s="35">
        <v>371267</v>
      </c>
      <c r="C35" s="35">
        <v>536285.80000000005</v>
      </c>
      <c r="D35" s="4">
        <f t="shared" si="1"/>
        <v>1.2244474731123423</v>
      </c>
      <c r="E35" s="11">
        <v>10</v>
      </c>
      <c r="F35" s="59" t="s">
        <v>385</v>
      </c>
      <c r="G35" s="59" t="s">
        <v>385</v>
      </c>
      <c r="H35" s="59" t="s">
        <v>385</v>
      </c>
      <c r="I35" s="59" t="s">
        <v>385</v>
      </c>
      <c r="J35" s="45">
        <v>335</v>
      </c>
      <c r="K35" s="45">
        <v>318</v>
      </c>
      <c r="L35" s="4">
        <f t="shared" si="2"/>
        <v>1.0534591194968554</v>
      </c>
      <c r="M35" s="11">
        <v>15</v>
      </c>
      <c r="N35" s="35">
        <v>22714.5</v>
      </c>
      <c r="O35" s="35">
        <v>17737.2</v>
      </c>
      <c r="P35" s="4">
        <f t="shared" si="3"/>
        <v>0.78087565211648946</v>
      </c>
      <c r="Q35" s="11">
        <v>20</v>
      </c>
      <c r="R35" s="35">
        <v>260</v>
      </c>
      <c r="S35" s="35">
        <v>297.10000000000002</v>
      </c>
      <c r="T35" s="4">
        <f t="shared" si="14"/>
        <v>1.1426923076923077</v>
      </c>
      <c r="U35" s="11">
        <v>10</v>
      </c>
      <c r="V35" s="35">
        <v>82</v>
      </c>
      <c r="W35" s="35">
        <v>111.4</v>
      </c>
      <c r="X35" s="4">
        <f t="shared" si="15"/>
        <v>1.2158536585365853</v>
      </c>
      <c r="Y35" s="11">
        <v>5</v>
      </c>
      <c r="Z35" s="11" t="s">
        <v>385</v>
      </c>
      <c r="AA35" s="11" t="s">
        <v>385</v>
      </c>
      <c r="AB35" s="11" t="s">
        <v>385</v>
      </c>
      <c r="AC35" s="11" t="s">
        <v>385</v>
      </c>
      <c r="AD35" s="11">
        <v>2091</v>
      </c>
      <c r="AE35" s="11">
        <v>2086</v>
      </c>
      <c r="AF35" s="4">
        <f t="shared" si="16"/>
        <v>0.99760879961740789</v>
      </c>
      <c r="AG35" s="11">
        <v>20</v>
      </c>
      <c r="AH35" s="11">
        <v>1343</v>
      </c>
      <c r="AI35" s="11">
        <v>1482.7</v>
      </c>
      <c r="AJ35" s="4">
        <f t="shared" si="17"/>
        <v>1.1040208488458676</v>
      </c>
      <c r="AK35" s="11">
        <v>10</v>
      </c>
      <c r="AL35" s="11">
        <v>663</v>
      </c>
      <c r="AM35" s="11">
        <v>704.1</v>
      </c>
      <c r="AN35" s="4">
        <f t="shared" si="18"/>
        <v>1.0619909502262443</v>
      </c>
      <c r="AO35" s="11">
        <v>5</v>
      </c>
      <c r="AP35" s="44">
        <f t="shared" si="19"/>
        <v>1.0260253175521061</v>
      </c>
      <c r="AQ35" s="45">
        <v>25286</v>
      </c>
      <c r="AR35" s="35">
        <f t="shared" si="5"/>
        <v>6896.181818181818</v>
      </c>
      <c r="AS35" s="35">
        <f t="shared" si="6"/>
        <v>7075.7</v>
      </c>
      <c r="AT35" s="35">
        <f t="shared" si="7"/>
        <v>179.5181818181818</v>
      </c>
      <c r="AU35" s="35">
        <v>2374</v>
      </c>
      <c r="AV35" s="35">
        <v>2210.2999999999997</v>
      </c>
      <c r="AW35" s="35">
        <f t="shared" si="8"/>
        <v>2491.4</v>
      </c>
      <c r="AX35" s="35"/>
      <c r="AY35" s="35">
        <f t="shared" si="9"/>
        <v>2491.4</v>
      </c>
      <c r="AZ35" s="35">
        <v>9.9</v>
      </c>
      <c r="BA35" s="35">
        <f t="shared" si="20"/>
        <v>2501.3000000000002</v>
      </c>
      <c r="BB35" s="35"/>
      <c r="BC35" s="35">
        <f t="shared" si="11"/>
        <v>2501.3000000000002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209" s="2" customFormat="1" ht="17" customHeight="1">
      <c r="A36" s="13" t="s">
        <v>37</v>
      </c>
      <c r="B36" s="35">
        <v>44156</v>
      </c>
      <c r="C36" s="35">
        <v>45613.4</v>
      </c>
      <c r="D36" s="4">
        <f t="shared" si="1"/>
        <v>1.0330057070386811</v>
      </c>
      <c r="E36" s="11">
        <v>10</v>
      </c>
      <c r="F36" s="59" t="s">
        <v>385</v>
      </c>
      <c r="G36" s="59" t="s">
        <v>385</v>
      </c>
      <c r="H36" s="59" t="s">
        <v>385</v>
      </c>
      <c r="I36" s="59" t="s">
        <v>385</v>
      </c>
      <c r="J36" s="45">
        <v>270</v>
      </c>
      <c r="K36" s="45">
        <v>292</v>
      </c>
      <c r="L36" s="4">
        <f t="shared" si="2"/>
        <v>0.92465753424657537</v>
      </c>
      <c r="M36" s="11">
        <v>15</v>
      </c>
      <c r="N36" s="35">
        <v>18935.599999999999</v>
      </c>
      <c r="O36" s="35">
        <v>21797.200000000001</v>
      </c>
      <c r="P36" s="4">
        <f t="shared" si="3"/>
        <v>1.1511227529098631</v>
      </c>
      <c r="Q36" s="11">
        <v>20</v>
      </c>
      <c r="R36" s="35">
        <v>3016</v>
      </c>
      <c r="S36" s="35">
        <v>3075.3</v>
      </c>
      <c r="T36" s="4">
        <f t="shared" si="14"/>
        <v>1.0196618037135279</v>
      </c>
      <c r="U36" s="11">
        <v>10</v>
      </c>
      <c r="V36" s="35">
        <v>1016</v>
      </c>
      <c r="W36" s="35">
        <v>1161.2</v>
      </c>
      <c r="X36" s="4">
        <f t="shared" si="15"/>
        <v>1.1429133858267717</v>
      </c>
      <c r="Y36" s="11">
        <v>10</v>
      </c>
      <c r="Z36" s="11" t="s">
        <v>385</v>
      </c>
      <c r="AA36" s="11" t="s">
        <v>385</v>
      </c>
      <c r="AB36" s="11" t="s">
        <v>385</v>
      </c>
      <c r="AC36" s="11" t="s">
        <v>385</v>
      </c>
      <c r="AD36" s="11">
        <v>4574</v>
      </c>
      <c r="AE36" s="11">
        <v>4872</v>
      </c>
      <c r="AF36" s="4">
        <f t="shared" si="16"/>
        <v>1.065150852645387</v>
      </c>
      <c r="AG36" s="11">
        <v>15</v>
      </c>
      <c r="AH36" s="11">
        <v>5287.1</v>
      </c>
      <c r="AI36" s="11">
        <v>4896.3999999999996</v>
      </c>
      <c r="AJ36" s="4">
        <f t="shared" si="17"/>
        <v>0.92610315673998966</v>
      </c>
      <c r="AK36" s="11">
        <v>15</v>
      </c>
      <c r="AL36" s="11">
        <v>2093.1</v>
      </c>
      <c r="AM36" s="11">
        <v>2057.6</v>
      </c>
      <c r="AN36" s="4">
        <f t="shared" si="18"/>
        <v>0.98303951077349383</v>
      </c>
      <c r="AO36" s="11">
        <v>10</v>
      </c>
      <c r="AP36" s="44">
        <f t="shared" si="19"/>
        <v>1.033784117011441</v>
      </c>
      <c r="AQ36" s="45">
        <v>67976</v>
      </c>
      <c r="AR36" s="35">
        <f t="shared" si="5"/>
        <v>18538.909090909092</v>
      </c>
      <c r="AS36" s="35">
        <f t="shared" si="6"/>
        <v>19165.2</v>
      </c>
      <c r="AT36" s="35">
        <f t="shared" si="7"/>
        <v>626.29090909090883</v>
      </c>
      <c r="AU36" s="35">
        <v>6304.4</v>
      </c>
      <c r="AV36" s="35">
        <v>6398.4</v>
      </c>
      <c r="AW36" s="35">
        <f t="shared" si="8"/>
        <v>6462.4</v>
      </c>
      <c r="AX36" s="35"/>
      <c r="AY36" s="35">
        <f t="shared" si="9"/>
        <v>6462.4</v>
      </c>
      <c r="AZ36" s="35">
        <v>-9.3000000000000007</v>
      </c>
      <c r="BA36" s="35">
        <f t="shared" si="20"/>
        <v>6453.0999999999995</v>
      </c>
      <c r="BB36" s="35"/>
      <c r="BC36" s="35">
        <f t="shared" si="11"/>
        <v>6453.1</v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209" s="2" customFormat="1" ht="17" customHeight="1">
      <c r="A37" s="13" t="s">
        <v>38</v>
      </c>
      <c r="B37" s="35">
        <v>56593</v>
      </c>
      <c r="C37" s="35">
        <v>44506.6</v>
      </c>
      <c r="D37" s="4">
        <f t="shared" si="1"/>
        <v>0.78643295107168731</v>
      </c>
      <c r="E37" s="11">
        <v>10</v>
      </c>
      <c r="F37" s="59" t="s">
        <v>385</v>
      </c>
      <c r="G37" s="59" t="s">
        <v>385</v>
      </c>
      <c r="H37" s="59" t="s">
        <v>385</v>
      </c>
      <c r="I37" s="59" t="s">
        <v>385</v>
      </c>
      <c r="J37" s="45">
        <v>550</v>
      </c>
      <c r="K37" s="45">
        <v>545</v>
      </c>
      <c r="L37" s="4">
        <f t="shared" si="2"/>
        <v>1.0091743119266054</v>
      </c>
      <c r="M37" s="11">
        <v>15</v>
      </c>
      <c r="N37" s="35">
        <v>19102.400000000001</v>
      </c>
      <c r="O37" s="35">
        <v>20223.900000000001</v>
      </c>
      <c r="P37" s="4">
        <f t="shared" si="3"/>
        <v>1.0587099003266605</v>
      </c>
      <c r="Q37" s="11">
        <v>20</v>
      </c>
      <c r="R37" s="35">
        <v>238.5</v>
      </c>
      <c r="S37" s="35">
        <v>270.8</v>
      </c>
      <c r="T37" s="4">
        <f t="shared" si="14"/>
        <v>1.1354297693920337</v>
      </c>
      <c r="U37" s="11">
        <v>10</v>
      </c>
      <c r="V37" s="35">
        <v>115.5</v>
      </c>
      <c r="W37" s="35">
        <v>123.6</v>
      </c>
      <c r="X37" s="4">
        <f t="shared" si="15"/>
        <v>1.07012987012987</v>
      </c>
      <c r="Y37" s="11">
        <v>10</v>
      </c>
      <c r="Z37" s="11" t="s">
        <v>385</v>
      </c>
      <c r="AA37" s="11" t="s">
        <v>385</v>
      </c>
      <c r="AB37" s="11" t="s">
        <v>385</v>
      </c>
      <c r="AC37" s="11" t="s">
        <v>385</v>
      </c>
      <c r="AD37" s="11">
        <v>3100</v>
      </c>
      <c r="AE37" s="11">
        <v>3381</v>
      </c>
      <c r="AF37" s="4">
        <f t="shared" si="16"/>
        <v>1.0906451612903225</v>
      </c>
      <c r="AG37" s="11">
        <v>20</v>
      </c>
      <c r="AH37" s="11">
        <v>2350</v>
      </c>
      <c r="AI37" s="11">
        <v>1854.2</v>
      </c>
      <c r="AJ37" s="4">
        <f t="shared" si="17"/>
        <v>0.78902127659574472</v>
      </c>
      <c r="AK37" s="11">
        <v>15</v>
      </c>
      <c r="AL37" s="11">
        <v>920</v>
      </c>
      <c r="AM37" s="11">
        <v>1150.2</v>
      </c>
      <c r="AN37" s="4">
        <f t="shared" si="18"/>
        <v>1.2050217391304348</v>
      </c>
      <c r="AO37" s="11">
        <v>10</v>
      </c>
      <c r="AP37" s="44">
        <f t="shared" si="19"/>
        <v>1.0175470759765015</v>
      </c>
      <c r="AQ37" s="45">
        <v>37174</v>
      </c>
      <c r="AR37" s="35">
        <f t="shared" si="5"/>
        <v>10138.363636363636</v>
      </c>
      <c r="AS37" s="35">
        <f t="shared" si="6"/>
        <v>10316.299999999999</v>
      </c>
      <c r="AT37" s="35">
        <f t="shared" si="7"/>
        <v>177.93636363636324</v>
      </c>
      <c r="AU37" s="35">
        <v>3176.1</v>
      </c>
      <c r="AV37" s="35">
        <v>3511.8</v>
      </c>
      <c r="AW37" s="35">
        <f t="shared" si="8"/>
        <v>3628.4</v>
      </c>
      <c r="AX37" s="35"/>
      <c r="AY37" s="35">
        <f t="shared" si="9"/>
        <v>3628.4</v>
      </c>
      <c r="AZ37" s="35">
        <v>-4.5</v>
      </c>
      <c r="BA37" s="35">
        <f t="shared" si="20"/>
        <v>3623.9</v>
      </c>
      <c r="BB37" s="35">
        <f>MIN(BA37,1018.9)</f>
        <v>1018.9</v>
      </c>
      <c r="BC37" s="35">
        <f t="shared" si="11"/>
        <v>2605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209" s="2" customFormat="1" ht="17" customHeight="1">
      <c r="A38" s="13" t="s">
        <v>39</v>
      </c>
      <c r="B38" s="35">
        <v>346450</v>
      </c>
      <c r="C38" s="35">
        <v>343809.1</v>
      </c>
      <c r="D38" s="4">
        <f t="shared" si="1"/>
        <v>0.99237725501515361</v>
      </c>
      <c r="E38" s="11">
        <v>10</v>
      </c>
      <c r="F38" s="59" t="s">
        <v>385</v>
      </c>
      <c r="G38" s="59" t="s">
        <v>385</v>
      </c>
      <c r="H38" s="59" t="s">
        <v>385</v>
      </c>
      <c r="I38" s="59" t="s">
        <v>385</v>
      </c>
      <c r="J38" s="45">
        <v>380</v>
      </c>
      <c r="K38" s="45">
        <v>451</v>
      </c>
      <c r="L38" s="4">
        <f t="shared" si="2"/>
        <v>0.84257206208425717</v>
      </c>
      <c r="M38" s="11">
        <v>10</v>
      </c>
      <c r="N38" s="35">
        <v>81637.899999999994</v>
      </c>
      <c r="O38" s="35">
        <v>82165.399999999994</v>
      </c>
      <c r="P38" s="4">
        <f t="shared" si="3"/>
        <v>1.0064614596896784</v>
      </c>
      <c r="Q38" s="11">
        <v>20</v>
      </c>
      <c r="R38" s="35">
        <v>301</v>
      </c>
      <c r="S38" s="35">
        <v>308.8</v>
      </c>
      <c r="T38" s="4">
        <f t="shared" si="14"/>
        <v>1.0259136212624584</v>
      </c>
      <c r="U38" s="11">
        <v>5</v>
      </c>
      <c r="V38" s="35">
        <v>58.8</v>
      </c>
      <c r="W38" s="35">
        <v>60.3</v>
      </c>
      <c r="X38" s="4">
        <f t="shared" si="15"/>
        <v>1.0255102040816326</v>
      </c>
      <c r="Y38" s="11">
        <v>5</v>
      </c>
      <c r="Z38" s="11" t="s">
        <v>385</v>
      </c>
      <c r="AA38" s="11" t="s">
        <v>385</v>
      </c>
      <c r="AB38" s="11" t="s">
        <v>385</v>
      </c>
      <c r="AC38" s="11" t="s">
        <v>385</v>
      </c>
      <c r="AD38" s="11">
        <v>2689</v>
      </c>
      <c r="AE38" s="11">
        <v>2729</v>
      </c>
      <c r="AF38" s="4">
        <f t="shared" si="16"/>
        <v>1.0148754183711417</v>
      </c>
      <c r="AG38" s="11">
        <v>15</v>
      </c>
      <c r="AH38" s="11">
        <v>2190</v>
      </c>
      <c r="AI38" s="11">
        <v>2200.6999999999998</v>
      </c>
      <c r="AJ38" s="4">
        <f t="shared" si="17"/>
        <v>1.0048858447488584</v>
      </c>
      <c r="AK38" s="11">
        <v>10</v>
      </c>
      <c r="AL38" s="11">
        <v>764</v>
      </c>
      <c r="AM38" s="11">
        <v>643.29999999999995</v>
      </c>
      <c r="AN38" s="4">
        <f t="shared" si="18"/>
        <v>0.84201570680628268</v>
      </c>
      <c r="AO38" s="11">
        <v>5</v>
      </c>
      <c r="AP38" s="44">
        <f t="shared" si="19"/>
        <v>0.97772387185744059</v>
      </c>
      <c r="AQ38" s="45">
        <v>27847</v>
      </c>
      <c r="AR38" s="35">
        <f t="shared" si="5"/>
        <v>7594.636363636364</v>
      </c>
      <c r="AS38" s="35">
        <f t="shared" si="6"/>
        <v>7425.5</v>
      </c>
      <c r="AT38" s="35">
        <f t="shared" si="7"/>
        <v>-169.13636363636397</v>
      </c>
      <c r="AU38" s="35">
        <v>2308.1</v>
      </c>
      <c r="AV38" s="35">
        <v>2487.7999999999997</v>
      </c>
      <c r="AW38" s="35">
        <f t="shared" si="8"/>
        <v>2629.6</v>
      </c>
      <c r="AX38" s="35"/>
      <c r="AY38" s="35">
        <f t="shared" si="9"/>
        <v>2629.6</v>
      </c>
      <c r="AZ38" s="35">
        <v>9.8000000000000007</v>
      </c>
      <c r="BA38" s="35">
        <f t="shared" si="20"/>
        <v>2639.4</v>
      </c>
      <c r="BB38" s="35">
        <f>MIN(BA38,952)</f>
        <v>952</v>
      </c>
      <c r="BC38" s="35">
        <f t="shared" si="11"/>
        <v>1687.4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209" s="2" customFormat="1" ht="17" customHeight="1">
      <c r="A39" s="13" t="s">
        <v>40</v>
      </c>
      <c r="B39" s="35">
        <v>4662311</v>
      </c>
      <c r="C39" s="35">
        <v>3542552.1</v>
      </c>
      <c r="D39" s="4">
        <f t="shared" si="1"/>
        <v>0.75982749756504875</v>
      </c>
      <c r="E39" s="11">
        <v>10</v>
      </c>
      <c r="F39" s="59" t="s">
        <v>385</v>
      </c>
      <c r="G39" s="59" t="s">
        <v>385</v>
      </c>
      <c r="H39" s="59" t="s">
        <v>385</v>
      </c>
      <c r="I39" s="59" t="s">
        <v>385</v>
      </c>
      <c r="J39" s="45">
        <v>340</v>
      </c>
      <c r="K39" s="45">
        <v>520</v>
      </c>
      <c r="L39" s="4">
        <f t="shared" si="2"/>
        <v>0.65384615384615385</v>
      </c>
      <c r="M39" s="11">
        <v>5</v>
      </c>
      <c r="N39" s="35">
        <v>109427.5</v>
      </c>
      <c r="O39" s="35">
        <v>97085.2</v>
      </c>
      <c r="P39" s="4">
        <f t="shared" si="3"/>
        <v>0.88721025336409953</v>
      </c>
      <c r="Q39" s="11">
        <v>20</v>
      </c>
      <c r="R39" s="35">
        <v>3930</v>
      </c>
      <c r="S39" s="35">
        <v>4179.1000000000004</v>
      </c>
      <c r="T39" s="4">
        <f t="shared" si="14"/>
        <v>1.0633842239185751</v>
      </c>
      <c r="U39" s="11">
        <v>10</v>
      </c>
      <c r="V39" s="35">
        <v>3150</v>
      </c>
      <c r="W39" s="35">
        <v>3474.4</v>
      </c>
      <c r="X39" s="4">
        <f t="shared" si="15"/>
        <v>1.102984126984127</v>
      </c>
      <c r="Y39" s="11">
        <v>10</v>
      </c>
      <c r="Z39" s="11" t="s">
        <v>385</v>
      </c>
      <c r="AA39" s="11" t="s">
        <v>385</v>
      </c>
      <c r="AB39" s="11" t="s">
        <v>385</v>
      </c>
      <c r="AC39" s="11" t="s">
        <v>385</v>
      </c>
      <c r="AD39" s="11">
        <v>6400</v>
      </c>
      <c r="AE39" s="11">
        <v>6535</v>
      </c>
      <c r="AF39" s="4">
        <f t="shared" si="16"/>
        <v>1.0210937499999999</v>
      </c>
      <c r="AG39" s="11">
        <v>10</v>
      </c>
      <c r="AH39" s="11">
        <v>7491</v>
      </c>
      <c r="AI39" s="11">
        <v>8070.1</v>
      </c>
      <c r="AJ39" s="4">
        <f t="shared" si="17"/>
        <v>1.0773061006541182</v>
      </c>
      <c r="AK39" s="11">
        <v>20</v>
      </c>
      <c r="AL39" s="11">
        <v>4500</v>
      </c>
      <c r="AM39" s="11">
        <v>4852.5</v>
      </c>
      <c r="AN39" s="4">
        <f t="shared" si="18"/>
        <v>1.0783333333333334</v>
      </c>
      <c r="AO39" s="11">
        <v>10</v>
      </c>
      <c r="AP39" s="44">
        <f t="shared" si="19"/>
        <v>0.97700828597479961</v>
      </c>
      <c r="AQ39" s="45">
        <v>107390</v>
      </c>
      <c r="AR39" s="35">
        <f t="shared" si="5"/>
        <v>29288.181818181816</v>
      </c>
      <c r="AS39" s="35">
        <f t="shared" si="6"/>
        <v>28614.799999999999</v>
      </c>
      <c r="AT39" s="35">
        <f t="shared" si="7"/>
        <v>-673.38181818181693</v>
      </c>
      <c r="AU39" s="35">
        <v>9006.5</v>
      </c>
      <c r="AV39" s="35">
        <v>9312.8000000000011</v>
      </c>
      <c r="AW39" s="35">
        <f t="shared" si="8"/>
        <v>10295.5</v>
      </c>
      <c r="AX39" s="35"/>
      <c r="AY39" s="35">
        <f t="shared" si="9"/>
        <v>10295.5</v>
      </c>
      <c r="AZ39" s="35">
        <v>85.1</v>
      </c>
      <c r="BA39" s="35">
        <f t="shared" si="20"/>
        <v>10380.6</v>
      </c>
      <c r="BB39" s="35">
        <f>MIN(BA39,744.2)</f>
        <v>744.2</v>
      </c>
      <c r="BC39" s="35">
        <f t="shared" si="11"/>
        <v>9636.4</v>
      </c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209" s="2" customFormat="1" ht="17" customHeight="1">
      <c r="A40" s="13" t="s">
        <v>41</v>
      </c>
      <c r="B40" s="35">
        <v>124587</v>
      </c>
      <c r="C40" s="35">
        <v>152084.70000000001</v>
      </c>
      <c r="D40" s="4">
        <f t="shared" si="1"/>
        <v>1.2020710828577621</v>
      </c>
      <c r="E40" s="11">
        <v>10</v>
      </c>
      <c r="F40" s="59" t="s">
        <v>385</v>
      </c>
      <c r="G40" s="59" t="s">
        <v>385</v>
      </c>
      <c r="H40" s="59" t="s">
        <v>385</v>
      </c>
      <c r="I40" s="59" t="s">
        <v>385</v>
      </c>
      <c r="J40" s="45">
        <v>130</v>
      </c>
      <c r="K40" s="45">
        <v>121</v>
      </c>
      <c r="L40" s="4">
        <f t="shared" si="2"/>
        <v>1.0743801652892562</v>
      </c>
      <c r="M40" s="11">
        <v>5</v>
      </c>
      <c r="N40" s="35">
        <v>33555.599999999999</v>
      </c>
      <c r="O40" s="35">
        <v>30577</v>
      </c>
      <c r="P40" s="4">
        <f t="shared" si="3"/>
        <v>0.91123389240544062</v>
      </c>
      <c r="Q40" s="11">
        <v>20</v>
      </c>
      <c r="R40" s="35">
        <v>1680</v>
      </c>
      <c r="S40" s="35">
        <v>1963.4</v>
      </c>
      <c r="T40" s="4">
        <f t="shared" si="14"/>
        <v>1.1686904761904762</v>
      </c>
      <c r="U40" s="11">
        <v>5</v>
      </c>
      <c r="V40" s="35">
        <v>62.2</v>
      </c>
      <c r="W40" s="35">
        <v>70.3</v>
      </c>
      <c r="X40" s="4">
        <f t="shared" si="15"/>
        <v>1.130225080385852</v>
      </c>
      <c r="Y40" s="11">
        <v>5</v>
      </c>
      <c r="Z40" s="11" t="s">
        <v>385</v>
      </c>
      <c r="AA40" s="11" t="s">
        <v>385</v>
      </c>
      <c r="AB40" s="11" t="s">
        <v>385</v>
      </c>
      <c r="AC40" s="11" t="s">
        <v>385</v>
      </c>
      <c r="AD40" s="11">
        <v>2333</v>
      </c>
      <c r="AE40" s="11">
        <v>2338</v>
      </c>
      <c r="AF40" s="4">
        <f t="shared" si="16"/>
        <v>1.0021431633090441</v>
      </c>
      <c r="AG40" s="11">
        <v>20</v>
      </c>
      <c r="AH40" s="11">
        <v>2776</v>
      </c>
      <c r="AI40" s="11">
        <v>2758.2</v>
      </c>
      <c r="AJ40" s="4">
        <f t="shared" si="17"/>
        <v>0.99358789625360222</v>
      </c>
      <c r="AK40" s="11">
        <v>15</v>
      </c>
      <c r="AL40" s="11">
        <v>580</v>
      </c>
      <c r="AM40" s="11">
        <v>516.29999999999995</v>
      </c>
      <c r="AN40" s="4">
        <f t="shared" si="18"/>
        <v>0.89017241379310341</v>
      </c>
      <c r="AO40" s="11">
        <v>10</v>
      </c>
      <c r="AP40" s="44">
        <f t="shared" si="19"/>
        <v>1.0106697014881143</v>
      </c>
      <c r="AQ40" s="45">
        <v>37532</v>
      </c>
      <c r="AR40" s="35">
        <f t="shared" si="5"/>
        <v>10236</v>
      </c>
      <c r="AS40" s="35">
        <f t="shared" si="6"/>
        <v>10345.200000000001</v>
      </c>
      <c r="AT40" s="35">
        <f t="shared" si="7"/>
        <v>109.20000000000073</v>
      </c>
      <c r="AU40" s="35">
        <v>3906.5</v>
      </c>
      <c r="AV40" s="35">
        <v>3300.8</v>
      </c>
      <c r="AW40" s="35">
        <f t="shared" si="8"/>
        <v>3137.9</v>
      </c>
      <c r="AX40" s="35"/>
      <c r="AY40" s="35">
        <f t="shared" si="9"/>
        <v>3137.9</v>
      </c>
      <c r="AZ40" s="35">
        <v>31.6</v>
      </c>
      <c r="BA40" s="35">
        <f t="shared" si="20"/>
        <v>3169.5</v>
      </c>
      <c r="BB40" s="35">
        <f>MIN(BA40,111.3)</f>
        <v>111.3</v>
      </c>
      <c r="BC40" s="35">
        <f t="shared" si="11"/>
        <v>3058.2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209" s="2" customFormat="1" ht="17" customHeight="1">
      <c r="A41" s="13" t="s">
        <v>2</v>
      </c>
      <c r="B41" s="35">
        <v>33714</v>
      </c>
      <c r="C41" s="35">
        <v>36175.599999999999</v>
      </c>
      <c r="D41" s="4">
        <f t="shared" si="1"/>
        <v>1.073014178086255</v>
      </c>
      <c r="E41" s="11">
        <v>10</v>
      </c>
      <c r="F41" s="59" t="s">
        <v>385</v>
      </c>
      <c r="G41" s="59" t="s">
        <v>385</v>
      </c>
      <c r="H41" s="59" t="s">
        <v>385</v>
      </c>
      <c r="I41" s="59" t="s">
        <v>385</v>
      </c>
      <c r="J41" s="45">
        <v>260</v>
      </c>
      <c r="K41" s="45">
        <v>256</v>
      </c>
      <c r="L41" s="4">
        <f t="shared" si="2"/>
        <v>1.015625</v>
      </c>
      <c r="M41" s="11">
        <v>15</v>
      </c>
      <c r="N41" s="35">
        <v>14182.1</v>
      </c>
      <c r="O41" s="35">
        <v>16222.7</v>
      </c>
      <c r="P41" s="4">
        <f t="shared" si="3"/>
        <v>1.1438856022732882</v>
      </c>
      <c r="Q41" s="11">
        <v>20</v>
      </c>
      <c r="R41" s="35">
        <v>1021</v>
      </c>
      <c r="S41" s="35">
        <v>1123.5</v>
      </c>
      <c r="T41" s="4">
        <f t="shared" si="14"/>
        <v>1.1003917727717925</v>
      </c>
      <c r="U41" s="11">
        <v>5</v>
      </c>
      <c r="V41" s="35">
        <v>117</v>
      </c>
      <c r="W41" s="35">
        <v>130.1</v>
      </c>
      <c r="X41" s="4">
        <f t="shared" si="15"/>
        <v>1.111965811965812</v>
      </c>
      <c r="Y41" s="11">
        <v>5</v>
      </c>
      <c r="Z41" s="11" t="s">
        <v>385</v>
      </c>
      <c r="AA41" s="11" t="s">
        <v>385</v>
      </c>
      <c r="AB41" s="11" t="s">
        <v>385</v>
      </c>
      <c r="AC41" s="11" t="s">
        <v>385</v>
      </c>
      <c r="AD41" s="11">
        <v>6834</v>
      </c>
      <c r="AE41" s="11">
        <v>6420</v>
      </c>
      <c r="AF41" s="4">
        <f t="shared" si="16"/>
        <v>0.93942054433713784</v>
      </c>
      <c r="AG41" s="11">
        <v>15</v>
      </c>
      <c r="AH41" s="11">
        <v>4700</v>
      </c>
      <c r="AI41" s="11">
        <v>5260.3</v>
      </c>
      <c r="AJ41" s="4">
        <f t="shared" si="17"/>
        <v>1.1192127659574469</v>
      </c>
      <c r="AK41" s="11">
        <v>10</v>
      </c>
      <c r="AL41" s="11">
        <v>3000</v>
      </c>
      <c r="AM41" s="11">
        <v>1977.9</v>
      </c>
      <c r="AN41" s="4">
        <f t="shared" si="18"/>
        <v>0.6593</v>
      </c>
      <c r="AO41" s="11">
        <v>15</v>
      </c>
      <c r="AP41" s="44">
        <f t="shared" si="19"/>
        <v>1.0008100271015565</v>
      </c>
      <c r="AQ41" s="45">
        <v>48371</v>
      </c>
      <c r="AR41" s="35">
        <f t="shared" si="5"/>
        <v>13192.090909090908</v>
      </c>
      <c r="AS41" s="35">
        <f t="shared" si="6"/>
        <v>13202.8</v>
      </c>
      <c r="AT41" s="35">
        <f t="shared" si="7"/>
        <v>10.709090909091174</v>
      </c>
      <c r="AU41" s="35">
        <v>4864.7</v>
      </c>
      <c r="AV41" s="35">
        <v>4873.8</v>
      </c>
      <c r="AW41" s="35">
        <f t="shared" si="8"/>
        <v>3464.3</v>
      </c>
      <c r="AX41" s="35"/>
      <c r="AY41" s="35">
        <f t="shared" si="9"/>
        <v>3464.3</v>
      </c>
      <c r="AZ41" s="35">
        <v>-52.7</v>
      </c>
      <c r="BA41" s="35">
        <f t="shared" si="20"/>
        <v>3411.6000000000004</v>
      </c>
      <c r="BB41" s="35"/>
      <c r="BC41" s="35">
        <f t="shared" si="11"/>
        <v>3411.6</v>
      </c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209" s="2" customFormat="1" ht="17" customHeight="1">
      <c r="A42" s="13" t="s">
        <v>42</v>
      </c>
      <c r="B42" s="35">
        <v>83346</v>
      </c>
      <c r="C42" s="35">
        <v>72281.3</v>
      </c>
      <c r="D42" s="4">
        <f t="shared" si="1"/>
        <v>0.86724377894560034</v>
      </c>
      <c r="E42" s="11">
        <v>10</v>
      </c>
      <c r="F42" s="59" t="s">
        <v>385</v>
      </c>
      <c r="G42" s="59" t="s">
        <v>385</v>
      </c>
      <c r="H42" s="59" t="s">
        <v>385</v>
      </c>
      <c r="I42" s="59" t="s">
        <v>385</v>
      </c>
      <c r="J42" s="45">
        <v>200</v>
      </c>
      <c r="K42" s="45">
        <v>186</v>
      </c>
      <c r="L42" s="4">
        <f t="shared" si="2"/>
        <v>1.075268817204301</v>
      </c>
      <c r="M42" s="11">
        <v>10</v>
      </c>
      <c r="N42" s="35">
        <v>14249.2</v>
      </c>
      <c r="O42" s="35">
        <v>12416.9</v>
      </c>
      <c r="P42" s="4">
        <f t="shared" si="3"/>
        <v>0.87141032479016356</v>
      </c>
      <c r="Q42" s="11">
        <v>20</v>
      </c>
      <c r="R42" s="35">
        <v>407.5</v>
      </c>
      <c r="S42" s="35">
        <v>449.4</v>
      </c>
      <c r="T42" s="4">
        <f t="shared" si="14"/>
        <v>1.1028220858895705</v>
      </c>
      <c r="U42" s="11">
        <v>5</v>
      </c>
      <c r="V42" s="35">
        <v>68.8</v>
      </c>
      <c r="W42" s="35">
        <v>71</v>
      </c>
      <c r="X42" s="4">
        <f t="shared" si="15"/>
        <v>1.0319767441860466</v>
      </c>
      <c r="Y42" s="11">
        <v>5</v>
      </c>
      <c r="Z42" s="11" t="s">
        <v>385</v>
      </c>
      <c r="AA42" s="11" t="s">
        <v>385</v>
      </c>
      <c r="AB42" s="11" t="s">
        <v>385</v>
      </c>
      <c r="AC42" s="11" t="s">
        <v>385</v>
      </c>
      <c r="AD42" s="11">
        <v>3500</v>
      </c>
      <c r="AE42" s="11">
        <v>3500</v>
      </c>
      <c r="AF42" s="4">
        <f t="shared" si="16"/>
        <v>1</v>
      </c>
      <c r="AG42" s="11">
        <v>20</v>
      </c>
      <c r="AH42" s="11">
        <v>3065</v>
      </c>
      <c r="AI42" s="11">
        <v>3049.9</v>
      </c>
      <c r="AJ42" s="4">
        <f t="shared" si="17"/>
        <v>0.995073409461664</v>
      </c>
      <c r="AK42" s="11">
        <v>15</v>
      </c>
      <c r="AL42" s="11">
        <v>420</v>
      </c>
      <c r="AM42" s="11">
        <v>868.8</v>
      </c>
      <c r="AN42" s="4">
        <f t="shared" si="18"/>
        <v>1.2868571428571429</v>
      </c>
      <c r="AO42" s="11">
        <v>10</v>
      </c>
      <c r="AP42" s="44">
        <f t="shared" si="19"/>
        <v>1.0033894650334396</v>
      </c>
      <c r="AQ42" s="45">
        <v>25572</v>
      </c>
      <c r="AR42" s="35">
        <f t="shared" si="5"/>
        <v>6974.181818181818</v>
      </c>
      <c r="AS42" s="35">
        <f t="shared" si="6"/>
        <v>6997.8</v>
      </c>
      <c r="AT42" s="35">
        <f t="shared" si="7"/>
        <v>23.618181818182165</v>
      </c>
      <c r="AU42" s="35">
        <v>2191.1999999999998</v>
      </c>
      <c r="AV42" s="35">
        <v>2019.5</v>
      </c>
      <c r="AW42" s="35">
        <f t="shared" si="8"/>
        <v>2787.1</v>
      </c>
      <c r="AX42" s="35"/>
      <c r="AY42" s="35">
        <f t="shared" si="9"/>
        <v>2787.1</v>
      </c>
      <c r="AZ42" s="35">
        <v>21.5</v>
      </c>
      <c r="BA42" s="35">
        <f t="shared" si="20"/>
        <v>2808.6</v>
      </c>
      <c r="BB42" s="35">
        <f>MIN(BA42,337.9)</f>
        <v>337.9</v>
      </c>
      <c r="BC42" s="35">
        <f t="shared" si="11"/>
        <v>2470.6999999999998</v>
      </c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209" s="2" customFormat="1" ht="17" customHeight="1">
      <c r="A43" s="13" t="s">
        <v>3</v>
      </c>
      <c r="B43" s="35">
        <v>177966</v>
      </c>
      <c r="C43" s="35">
        <v>160855.1</v>
      </c>
      <c r="D43" s="4">
        <f t="shared" si="1"/>
        <v>0.90385298315408569</v>
      </c>
      <c r="E43" s="11">
        <v>10</v>
      </c>
      <c r="F43" s="59" t="s">
        <v>385</v>
      </c>
      <c r="G43" s="59" t="s">
        <v>385</v>
      </c>
      <c r="H43" s="59" t="s">
        <v>385</v>
      </c>
      <c r="I43" s="59" t="s">
        <v>385</v>
      </c>
      <c r="J43" s="45">
        <v>215</v>
      </c>
      <c r="K43" s="45">
        <v>172</v>
      </c>
      <c r="L43" s="4">
        <f t="shared" si="2"/>
        <v>1.2050000000000001</v>
      </c>
      <c r="M43" s="11">
        <v>10</v>
      </c>
      <c r="N43" s="35">
        <v>13219.9</v>
      </c>
      <c r="O43" s="35">
        <v>12152.8</v>
      </c>
      <c r="P43" s="4">
        <f t="shared" si="3"/>
        <v>0.91928078124645418</v>
      </c>
      <c r="Q43" s="11">
        <v>20</v>
      </c>
      <c r="R43" s="35">
        <v>1071.5</v>
      </c>
      <c r="S43" s="35">
        <v>1096.3</v>
      </c>
      <c r="T43" s="4">
        <f t="shared" si="14"/>
        <v>1.0231451236584228</v>
      </c>
      <c r="U43" s="11">
        <v>5</v>
      </c>
      <c r="V43" s="35">
        <v>34.1</v>
      </c>
      <c r="W43" s="35">
        <v>37.299999999999997</v>
      </c>
      <c r="X43" s="4">
        <f t="shared" si="15"/>
        <v>1.0938416422287389</v>
      </c>
      <c r="Y43" s="11">
        <v>5</v>
      </c>
      <c r="Z43" s="11" t="s">
        <v>385</v>
      </c>
      <c r="AA43" s="11" t="s">
        <v>385</v>
      </c>
      <c r="AB43" s="11" t="s">
        <v>385</v>
      </c>
      <c r="AC43" s="11" t="s">
        <v>385</v>
      </c>
      <c r="AD43" s="11">
        <v>3000</v>
      </c>
      <c r="AE43" s="11">
        <v>3125</v>
      </c>
      <c r="AF43" s="4">
        <f t="shared" si="16"/>
        <v>1.0416666666666667</v>
      </c>
      <c r="AG43" s="11">
        <v>20</v>
      </c>
      <c r="AH43" s="11">
        <v>2697</v>
      </c>
      <c r="AI43" s="11">
        <v>2496.1999999999998</v>
      </c>
      <c r="AJ43" s="4">
        <f t="shared" si="17"/>
        <v>0.92554690396737105</v>
      </c>
      <c r="AK43" s="11">
        <v>15</v>
      </c>
      <c r="AL43" s="11">
        <v>436</v>
      </c>
      <c r="AM43" s="11">
        <v>1304.8</v>
      </c>
      <c r="AN43" s="4">
        <f t="shared" si="18"/>
        <v>1.3</v>
      </c>
      <c r="AO43" s="11">
        <v>10</v>
      </c>
      <c r="AP43" s="44">
        <f t="shared" si="19"/>
        <v>1.029217012407891</v>
      </c>
      <c r="AQ43" s="45">
        <v>28537</v>
      </c>
      <c r="AR43" s="35">
        <f t="shared" si="5"/>
        <v>7782.818181818182</v>
      </c>
      <c r="AS43" s="35">
        <f t="shared" si="6"/>
        <v>8010.2</v>
      </c>
      <c r="AT43" s="35">
        <f t="shared" si="7"/>
        <v>227.38181818181783</v>
      </c>
      <c r="AU43" s="35">
        <v>2374</v>
      </c>
      <c r="AV43" s="35">
        <v>2711.1000000000004</v>
      </c>
      <c r="AW43" s="35">
        <f t="shared" si="8"/>
        <v>2925.1</v>
      </c>
      <c r="AX43" s="35"/>
      <c r="AY43" s="35">
        <f t="shared" si="9"/>
        <v>2925.1</v>
      </c>
      <c r="AZ43" s="35">
        <v>-9</v>
      </c>
      <c r="BA43" s="35">
        <f t="shared" si="20"/>
        <v>2916.1</v>
      </c>
      <c r="BB43" s="35"/>
      <c r="BC43" s="35">
        <f t="shared" si="11"/>
        <v>2916.1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209" s="2" customFormat="1" ht="17" customHeight="1">
      <c r="A44" s="13" t="s">
        <v>43</v>
      </c>
      <c r="B44" s="35">
        <v>56970</v>
      </c>
      <c r="C44" s="35">
        <v>55307.7</v>
      </c>
      <c r="D44" s="4">
        <f t="shared" si="1"/>
        <v>0.97082148499210108</v>
      </c>
      <c r="E44" s="11">
        <v>10</v>
      </c>
      <c r="F44" s="59" t="s">
        <v>385</v>
      </c>
      <c r="G44" s="59" t="s">
        <v>385</v>
      </c>
      <c r="H44" s="59" t="s">
        <v>385</v>
      </c>
      <c r="I44" s="59" t="s">
        <v>385</v>
      </c>
      <c r="J44" s="45">
        <v>175</v>
      </c>
      <c r="K44" s="45">
        <v>166</v>
      </c>
      <c r="L44" s="4">
        <f t="shared" si="2"/>
        <v>1.0542168674698795</v>
      </c>
      <c r="M44" s="11">
        <v>10</v>
      </c>
      <c r="N44" s="35">
        <v>15014.3</v>
      </c>
      <c r="O44" s="35">
        <v>16142.1</v>
      </c>
      <c r="P44" s="4">
        <f t="shared" si="3"/>
        <v>1.0751150569790133</v>
      </c>
      <c r="Q44" s="11">
        <v>20</v>
      </c>
      <c r="R44" s="35">
        <v>120</v>
      </c>
      <c r="S44" s="35">
        <v>141.6</v>
      </c>
      <c r="T44" s="4">
        <f t="shared" si="14"/>
        <v>1.18</v>
      </c>
      <c r="U44" s="11">
        <v>5</v>
      </c>
      <c r="V44" s="35">
        <v>82</v>
      </c>
      <c r="W44" s="35">
        <v>95.2</v>
      </c>
      <c r="X44" s="4">
        <f t="shared" si="15"/>
        <v>1.1609756097560977</v>
      </c>
      <c r="Y44" s="11">
        <v>5</v>
      </c>
      <c r="Z44" s="11" t="s">
        <v>385</v>
      </c>
      <c r="AA44" s="11" t="s">
        <v>385</v>
      </c>
      <c r="AB44" s="11" t="s">
        <v>385</v>
      </c>
      <c r="AC44" s="11" t="s">
        <v>385</v>
      </c>
      <c r="AD44" s="11">
        <v>1970</v>
      </c>
      <c r="AE44" s="11">
        <v>2225</v>
      </c>
      <c r="AF44" s="4">
        <f t="shared" si="16"/>
        <v>1.1294416243654823</v>
      </c>
      <c r="AG44" s="11">
        <v>15</v>
      </c>
      <c r="AH44" s="11">
        <v>1314.7</v>
      </c>
      <c r="AI44" s="11">
        <v>1586.4</v>
      </c>
      <c r="AJ44" s="4">
        <f>IF(AK44=0,0,IF(AH44=0,1,IF(AI44&lt;0,0,IF(AI44/AH44&gt;1.2,IF((AI44/AH44-1.2)*0.1+1.2&gt;1.3,1.3,(AI44/AH44-1.2)*0.1+1.2),AI44/AH44))))</f>
        <v>1.2006663117060925</v>
      </c>
      <c r="AK44" s="11">
        <v>10</v>
      </c>
      <c r="AL44" s="11">
        <v>318.2</v>
      </c>
      <c r="AM44" s="11">
        <v>509.3</v>
      </c>
      <c r="AN44" s="4">
        <f>IF(AO44=0,0,IF(AL44=0,1,IF(AM44&lt;0,0,IF(AM44/AL44&gt;1.2,IF((AM44/AL44-1.2)*0.1+1.2&gt;1.3,1.3,(AM44/AL44-1.2)*0.1+1.2),AM44/AL44))))</f>
        <v>1.2400565681961031</v>
      </c>
      <c r="AO44" s="11">
        <v>10</v>
      </c>
      <c r="AP44" s="44">
        <f t="shared" si="19"/>
        <v>1.1153695985586443</v>
      </c>
      <c r="AQ44" s="45">
        <v>37577</v>
      </c>
      <c r="AR44" s="35">
        <f t="shared" si="5"/>
        <v>10248.272727272728</v>
      </c>
      <c r="AS44" s="35">
        <f t="shared" si="6"/>
        <v>11430.6</v>
      </c>
      <c r="AT44" s="35">
        <f t="shared" si="7"/>
        <v>1182.3272727272724</v>
      </c>
      <c r="AU44" s="35">
        <v>3667.2</v>
      </c>
      <c r="AV44" s="35">
        <v>3643.7000000000003</v>
      </c>
      <c r="AW44" s="35">
        <f t="shared" si="8"/>
        <v>4119.7</v>
      </c>
      <c r="AX44" s="35"/>
      <c r="AY44" s="35">
        <f t="shared" si="9"/>
        <v>4119.7</v>
      </c>
      <c r="AZ44" s="35">
        <v>-20</v>
      </c>
      <c r="BA44" s="35">
        <f t="shared" si="20"/>
        <v>4099.7</v>
      </c>
      <c r="BB44" s="35">
        <f>MIN(BA44,1026.2)</f>
        <v>1026.2</v>
      </c>
      <c r="BC44" s="35">
        <f>IF((BA44-BB44)&gt;0,ROUND(BA44-BB44,1),0)</f>
        <v>3073.5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209" s="2" customFormat="1" ht="17" customHeight="1">
      <c r="A45" s="17" t="s">
        <v>44</v>
      </c>
      <c r="B45" s="34">
        <f>SUM(B46:B368)</f>
        <v>23262530</v>
      </c>
      <c r="C45" s="34">
        <f>SUM(C46:C368)</f>
        <v>23334794.600000001</v>
      </c>
      <c r="D45" s="6">
        <f>IF(C45/B45&gt;1.2,IF((C45/B45-1.2)*0.1+1.2&gt;1.3,1.3,(C45/B45-1.2)*0.1+1.2),C45/B45)</f>
        <v>1.0031064806794447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360416</v>
      </c>
      <c r="O45" s="34">
        <f>SUM(O46:O368)</f>
        <v>335889.5999999998</v>
      </c>
      <c r="P45" s="6">
        <f>IF(O45/N45&gt;1.2,IF((O45/N45-1.2)*0.1+1.2&gt;1.3,1.3,(O45/N45-1.2)*0.1+1.2),O45/N45)</f>
        <v>0.93194974695906896</v>
      </c>
      <c r="Q45" s="16"/>
      <c r="R45" s="34">
        <f>SUM(R46:R368)</f>
        <v>35712.400000000001</v>
      </c>
      <c r="S45" s="34">
        <f>SUM(S46:S368)</f>
        <v>38589.800000000025</v>
      </c>
      <c r="T45" s="6">
        <f>IF(S45/R45&gt;1.2,IF((S45/R45-1.2)*0.1+1.2&gt;1.3,1.3,(S45/R45-1.2)*0.1+1.2),S45/R45)</f>
        <v>1.0805714541727809</v>
      </c>
      <c r="U45" s="16"/>
      <c r="V45" s="34">
        <f>SUM(V46:V368)</f>
        <v>15720.699999999999</v>
      </c>
      <c r="W45" s="34">
        <f>SUM(W46:W368)</f>
        <v>19938.499999999996</v>
      </c>
      <c r="X45" s="6">
        <f>IF(W45/V45&gt;1.2,IF((W45/V45-1.2)*0.1+1.2&gt;1.3,1.3,(W45/V45-1.2)*0.1+1.2),W45/V45)</f>
        <v>1.2068295941020437</v>
      </c>
      <c r="Y45" s="16"/>
      <c r="Z45" s="16"/>
      <c r="AA45" s="16"/>
      <c r="AB45" s="16"/>
      <c r="AC45" s="16"/>
      <c r="AD45" s="34">
        <f>SUM(AD46:AD368)</f>
        <v>106350</v>
      </c>
      <c r="AE45" s="34">
        <f>SUM(AE46:AE368)</f>
        <v>107608</v>
      </c>
      <c r="AF45" s="6">
        <f>IF(AE45/AD45&gt;1.2,IF((AE45/AD45-1.2)*0.1+1.2&gt;1.3,1.3,(AE45/AD45-1.2)*0.1+1.2),AE45/AD45)</f>
        <v>1.0118288669487541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8"/>
      <c r="AQ45" s="20">
        <f>SUM(AQ46:AQ368)</f>
        <v>350109</v>
      </c>
      <c r="AR45" s="34">
        <f t="shared" ref="AR45:BC45" si="21">SUM(AR46:AR368)</f>
        <v>95484.272727272735</v>
      </c>
      <c r="AS45" s="34">
        <f t="shared" si="21"/>
        <v>95726.500000000029</v>
      </c>
      <c r="AT45" s="34">
        <f t="shared" si="21"/>
        <v>242.22727272727121</v>
      </c>
      <c r="AU45" s="34">
        <f t="shared" si="21"/>
        <v>31415.799999999996</v>
      </c>
      <c r="AV45" s="34">
        <f t="shared" si="21"/>
        <v>30839.599999999988</v>
      </c>
      <c r="AW45" s="34">
        <f t="shared" si="21"/>
        <v>33471.1</v>
      </c>
      <c r="AX45" s="34"/>
      <c r="AY45" s="34">
        <f t="shared" si="21"/>
        <v>33471.1</v>
      </c>
      <c r="AZ45" s="34">
        <f t="shared" si="21"/>
        <v>0</v>
      </c>
      <c r="BA45" s="34">
        <f>SUM(BA46:BA368)</f>
        <v>33471.1</v>
      </c>
      <c r="BB45" s="34">
        <f>SUM(BB46:BB368)</f>
        <v>5528.8999999999987</v>
      </c>
      <c r="BC45" s="34">
        <f t="shared" si="21"/>
        <v>27942.199999999983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209" s="2" customFormat="1" ht="17" customHeight="1">
      <c r="A46" s="18" t="s">
        <v>45</v>
      </c>
      <c r="B46" s="6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35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209" s="2" customFormat="1" ht="17" customHeight="1">
      <c r="A47" s="14" t="s">
        <v>46</v>
      </c>
      <c r="B47" s="35">
        <v>122</v>
      </c>
      <c r="C47" s="35">
        <v>63.8</v>
      </c>
      <c r="D47" s="4">
        <f t="shared" ref="D47:D110" si="22">IF(E47=0,0,IF(B47=0,1,IF(C47&lt;0,0,IF(C47/B47&gt;1.2,IF((C47/B47-1.2)*0.1+1.2&gt;1.3,1.3,(C47/B47-1.2)*0.1+1.2),C47/B47))))</f>
        <v>0.52295081967213108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643.5</v>
      </c>
      <c r="O47" s="35">
        <v>230</v>
      </c>
      <c r="P47" s="4">
        <f t="shared" ref="P47:P110" si="23">IF(Q47=0,0,IF(N47=0,1,IF(O47&lt;0,0,IF(O47/N47&gt;1.2,IF((O47/N47-1.2)*0.1+1.2&gt;1.3,1.3,(O47/N47-1.2)*0.1+1.2),O47/N47))))</f>
        <v>0.35742035742035744</v>
      </c>
      <c r="Q47" s="11">
        <v>20</v>
      </c>
      <c r="R47" s="35">
        <v>24</v>
      </c>
      <c r="S47" s="35">
        <v>38.6</v>
      </c>
      <c r="T47" s="4">
        <f t="shared" ref="T47:T110" si="24">IF(U47=0,0,IF(R47=0,1,IF(S47&lt;0,0,IF(S47/R47&gt;1.2,IF((S47/R47-1.2)*0.1+1.2&gt;1.3,1.3,(S47/R47-1.2)*0.1+1.2),S47/R47))))</f>
        <v>1.2408333333333332</v>
      </c>
      <c r="U47" s="11">
        <v>30</v>
      </c>
      <c r="V47" s="35">
        <v>7</v>
      </c>
      <c r="W47" s="35">
        <v>8.3000000000000007</v>
      </c>
      <c r="X47" s="4">
        <f t="shared" ref="X47:X110" si="25">IF(Y47=0,0,IF(V47=0,1,IF(W47&lt;0,0,IF(W47/V47&gt;1.2,IF((W47/V47-1.2)*0.1+1.2&gt;1.3,1.3,(W47/V47-1.2)*0.1+1.2),W47/V47))))</f>
        <v>1.1857142857142857</v>
      </c>
      <c r="Y47" s="11">
        <v>20</v>
      </c>
      <c r="Z47" s="11" t="s">
        <v>385</v>
      </c>
      <c r="AA47" s="11" t="s">
        <v>385</v>
      </c>
      <c r="AB47" s="11" t="s">
        <v>385</v>
      </c>
      <c r="AC47" s="11" t="s">
        <v>385</v>
      </c>
      <c r="AD47" s="11">
        <v>668</v>
      </c>
      <c r="AE47" s="11">
        <v>688</v>
      </c>
      <c r="AF47" s="4">
        <f t="shared" ref="AF47:AF110" si="26">IF(AG47=0,0,IF(AD47=0,1,IF(AE47&lt;0,0,IF(AE47/AD47&gt;1.2,IF((AE47/AD47-1.2)*0.1+1.2&gt;1.3,1.3,(AE47/AD47-1.2)*0.1+1.2),AE47/AD47))))</f>
        <v>1.0299401197604789</v>
      </c>
      <c r="AG47" s="11">
        <v>20</v>
      </c>
      <c r="AH47" s="5" t="s">
        <v>362</v>
      </c>
      <c r="AI47" s="5" t="s">
        <v>362</v>
      </c>
      <c r="AJ47" s="5" t="s">
        <v>362</v>
      </c>
      <c r="AK47" s="5" t="s">
        <v>362</v>
      </c>
      <c r="AL47" s="5" t="s">
        <v>362</v>
      </c>
      <c r="AM47" s="5" t="s">
        <v>362</v>
      </c>
      <c r="AN47" s="5" t="s">
        <v>362</v>
      </c>
      <c r="AO47" s="5" t="s">
        <v>362</v>
      </c>
      <c r="AP47" s="44">
        <f>(D47*E47+P47*Q47+T47*U47+X47*Y47+AF47*AG47)/(E47+Q47+U47+Y47+AG47)</f>
        <v>0.93916003454623753</v>
      </c>
      <c r="AQ47" s="45">
        <v>1010</v>
      </c>
      <c r="AR47" s="35">
        <f>AQ47/11*3</f>
        <v>275.45454545454544</v>
      </c>
      <c r="AS47" s="35">
        <f t="shared" ref="AS47:AS110" si="27">ROUND(AP47*AR47,1)</f>
        <v>258.7</v>
      </c>
      <c r="AT47" s="35">
        <f t="shared" ref="AT47:AT110" si="28">AS47-AR47</f>
        <v>-16.75454545454545</v>
      </c>
      <c r="AU47" s="35">
        <v>103.3</v>
      </c>
      <c r="AV47" s="35">
        <v>88.4</v>
      </c>
      <c r="AW47" s="35">
        <f t="shared" ref="AW47:AW110" si="29">ROUND(AS47-SUM(AU47:AV47),1)</f>
        <v>67</v>
      </c>
      <c r="AX47" s="35"/>
      <c r="AY47" s="35">
        <f t="shared" ref="AY47:AY110" si="30">IF(OR(AW47&lt;0,AX47="+"),0,AW47)</f>
        <v>67</v>
      </c>
      <c r="AZ47" s="35">
        <v>0</v>
      </c>
      <c r="BA47" s="35">
        <f t="shared" ref="BA47:BA110" si="31">AY47+AZ47</f>
        <v>67</v>
      </c>
      <c r="BB47" s="35">
        <f>MIN(BA47,45.9)</f>
        <v>45.9</v>
      </c>
      <c r="BC47" s="35">
        <f t="shared" ref="BC47:BC110" si="32">IF((BA47-BB47)&gt;0,ROUND(BA47-BB47,1),0)</f>
        <v>21.1</v>
      </c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10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10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10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10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10"/>
      <c r="GZ47" s="9"/>
      <c r="HA47" s="9"/>
    </row>
    <row r="48" spans="1:209" s="2" customFormat="1" ht="17" customHeight="1">
      <c r="A48" s="14" t="s">
        <v>47</v>
      </c>
      <c r="B48" s="35">
        <v>15480</v>
      </c>
      <c r="C48" s="35">
        <v>18825.5</v>
      </c>
      <c r="D48" s="4">
        <f t="shared" si="22"/>
        <v>1.201611757105943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1528.9</v>
      </c>
      <c r="O48" s="35">
        <v>1575.7</v>
      </c>
      <c r="P48" s="4">
        <f t="shared" si="23"/>
        <v>1.0306102426581203</v>
      </c>
      <c r="Q48" s="11">
        <v>20</v>
      </c>
      <c r="R48" s="35">
        <v>39</v>
      </c>
      <c r="S48" s="35">
        <v>42.1</v>
      </c>
      <c r="T48" s="4">
        <f t="shared" si="24"/>
        <v>1.0794871794871794</v>
      </c>
      <c r="U48" s="11">
        <v>25</v>
      </c>
      <c r="V48" s="35">
        <v>15</v>
      </c>
      <c r="W48" s="35">
        <v>15.8</v>
      </c>
      <c r="X48" s="4">
        <f t="shared" si="25"/>
        <v>1.0533333333333335</v>
      </c>
      <c r="Y48" s="11">
        <v>25</v>
      </c>
      <c r="Z48" s="11" t="s">
        <v>385</v>
      </c>
      <c r="AA48" s="11" t="s">
        <v>385</v>
      </c>
      <c r="AB48" s="11" t="s">
        <v>385</v>
      </c>
      <c r="AC48" s="11" t="s">
        <v>385</v>
      </c>
      <c r="AD48" s="11">
        <v>1223</v>
      </c>
      <c r="AE48" s="11">
        <v>1132</v>
      </c>
      <c r="AF48" s="4">
        <f t="shared" si="26"/>
        <v>0.92559280457890436</v>
      </c>
      <c r="AG48" s="11">
        <v>20</v>
      </c>
      <c r="AH48" s="5" t="s">
        <v>362</v>
      </c>
      <c r="AI48" s="5" t="s">
        <v>362</v>
      </c>
      <c r="AJ48" s="5" t="s">
        <v>362</v>
      </c>
      <c r="AK48" s="5" t="s">
        <v>362</v>
      </c>
      <c r="AL48" s="5" t="s">
        <v>362</v>
      </c>
      <c r="AM48" s="5" t="s">
        <v>362</v>
      </c>
      <c r="AN48" s="5" t="s">
        <v>362</v>
      </c>
      <c r="AO48" s="5" t="s">
        <v>362</v>
      </c>
      <c r="AP48" s="44">
        <f t="shared" ref="AP48:AP111" si="33">(D48*E48+P48*Q48+T48*U48+X48*Y48+AF48*AG48)/(E48+Q48+U48+Y48+AG48)</f>
        <v>1.0446069133631275</v>
      </c>
      <c r="AQ48" s="45">
        <v>1886</v>
      </c>
      <c r="AR48" s="35">
        <f t="shared" ref="AR48:AR110" si="34">AQ48/11*3</f>
        <v>514.36363636363637</v>
      </c>
      <c r="AS48" s="35">
        <f t="shared" si="27"/>
        <v>537.29999999999995</v>
      </c>
      <c r="AT48" s="35">
        <f t="shared" si="28"/>
        <v>22.936363636363581</v>
      </c>
      <c r="AU48" s="35">
        <v>194.4</v>
      </c>
      <c r="AV48" s="35">
        <v>168.9</v>
      </c>
      <c r="AW48" s="35">
        <f t="shared" si="29"/>
        <v>174</v>
      </c>
      <c r="AX48" s="35"/>
      <c r="AY48" s="35">
        <f t="shared" si="30"/>
        <v>174</v>
      </c>
      <c r="AZ48" s="35">
        <v>0</v>
      </c>
      <c r="BA48" s="35">
        <f t="shared" si="31"/>
        <v>174</v>
      </c>
      <c r="BB48" s="35">
        <f>MIN(BA48,4.9)</f>
        <v>4.9000000000000004</v>
      </c>
      <c r="BC48" s="35">
        <f t="shared" si="32"/>
        <v>169.1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10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10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10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10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10"/>
      <c r="GZ48" s="9"/>
      <c r="HA48" s="9"/>
    </row>
    <row r="49" spans="1:209" s="2" customFormat="1" ht="17" customHeight="1">
      <c r="A49" s="14" t="s">
        <v>48</v>
      </c>
      <c r="B49" s="35">
        <v>1380</v>
      </c>
      <c r="C49" s="35">
        <v>1374.5</v>
      </c>
      <c r="D49" s="4">
        <f t="shared" si="22"/>
        <v>0.99601449275362319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327.60000000000002</v>
      </c>
      <c r="O49" s="35">
        <v>274.2</v>
      </c>
      <c r="P49" s="4">
        <f t="shared" si="23"/>
        <v>0.83699633699633691</v>
      </c>
      <c r="Q49" s="11">
        <v>20</v>
      </c>
      <c r="R49" s="35">
        <v>20</v>
      </c>
      <c r="S49" s="35">
        <v>21</v>
      </c>
      <c r="T49" s="4">
        <f t="shared" si="24"/>
        <v>1.05</v>
      </c>
      <c r="U49" s="11">
        <v>30</v>
      </c>
      <c r="V49" s="35">
        <v>8</v>
      </c>
      <c r="W49" s="35">
        <v>8.1999999999999993</v>
      </c>
      <c r="X49" s="4">
        <f t="shared" si="25"/>
        <v>1.0249999999999999</v>
      </c>
      <c r="Y49" s="11">
        <v>20</v>
      </c>
      <c r="Z49" s="11" t="s">
        <v>385</v>
      </c>
      <c r="AA49" s="11" t="s">
        <v>385</v>
      </c>
      <c r="AB49" s="11" t="s">
        <v>385</v>
      </c>
      <c r="AC49" s="11" t="s">
        <v>385</v>
      </c>
      <c r="AD49" s="11">
        <v>576</v>
      </c>
      <c r="AE49" s="11">
        <v>571</v>
      </c>
      <c r="AF49" s="4">
        <f t="shared" si="26"/>
        <v>0.99131944444444442</v>
      </c>
      <c r="AG49" s="11">
        <v>20</v>
      </c>
      <c r="AH49" s="5" t="s">
        <v>362</v>
      </c>
      <c r="AI49" s="5" t="s">
        <v>362</v>
      </c>
      <c r="AJ49" s="5" t="s">
        <v>362</v>
      </c>
      <c r="AK49" s="5" t="s">
        <v>362</v>
      </c>
      <c r="AL49" s="5" t="s">
        <v>362</v>
      </c>
      <c r="AM49" s="5" t="s">
        <v>362</v>
      </c>
      <c r="AN49" s="5" t="s">
        <v>362</v>
      </c>
      <c r="AO49" s="5" t="s">
        <v>362</v>
      </c>
      <c r="AP49" s="44">
        <f t="shared" si="33"/>
        <v>0.98526460556351847</v>
      </c>
      <c r="AQ49" s="45">
        <v>1402</v>
      </c>
      <c r="AR49" s="35">
        <f t="shared" si="34"/>
        <v>382.36363636363637</v>
      </c>
      <c r="AS49" s="35">
        <f t="shared" si="27"/>
        <v>376.7</v>
      </c>
      <c r="AT49" s="35">
        <f t="shared" si="28"/>
        <v>-5.6636363636363853</v>
      </c>
      <c r="AU49" s="35">
        <v>139.69999999999999</v>
      </c>
      <c r="AV49" s="35">
        <v>97.8</v>
      </c>
      <c r="AW49" s="35">
        <f t="shared" si="29"/>
        <v>139.19999999999999</v>
      </c>
      <c r="AX49" s="35"/>
      <c r="AY49" s="35">
        <f t="shared" si="30"/>
        <v>139.19999999999999</v>
      </c>
      <c r="AZ49" s="35">
        <v>0</v>
      </c>
      <c r="BA49" s="35">
        <f t="shared" si="31"/>
        <v>139.19999999999999</v>
      </c>
      <c r="BB49" s="35"/>
      <c r="BC49" s="35">
        <f t="shared" si="32"/>
        <v>139.19999999999999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10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10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10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10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10"/>
      <c r="GZ49" s="9"/>
      <c r="HA49" s="9"/>
    </row>
    <row r="50" spans="1:209" s="2" customFormat="1" ht="17" customHeight="1">
      <c r="A50" s="14" t="s">
        <v>49</v>
      </c>
      <c r="B50" s="35">
        <v>0</v>
      </c>
      <c r="C50" s="35">
        <v>0</v>
      </c>
      <c r="D50" s="4">
        <f t="shared" si="22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129.69999999999999</v>
      </c>
      <c r="O50" s="35">
        <v>245.3</v>
      </c>
      <c r="P50" s="4">
        <f t="shared" si="23"/>
        <v>1.2691287586738627</v>
      </c>
      <c r="Q50" s="11">
        <v>20</v>
      </c>
      <c r="R50" s="35">
        <v>19</v>
      </c>
      <c r="S50" s="35">
        <v>20.8</v>
      </c>
      <c r="T50" s="4">
        <f t="shared" si="24"/>
        <v>1.0947368421052632</v>
      </c>
      <c r="U50" s="11">
        <v>25</v>
      </c>
      <c r="V50" s="35">
        <v>7</v>
      </c>
      <c r="W50" s="35">
        <v>7.1</v>
      </c>
      <c r="X50" s="4">
        <f t="shared" si="25"/>
        <v>1.0142857142857142</v>
      </c>
      <c r="Y50" s="11">
        <v>25</v>
      </c>
      <c r="Z50" s="11" t="s">
        <v>385</v>
      </c>
      <c r="AA50" s="11" t="s">
        <v>385</v>
      </c>
      <c r="AB50" s="11" t="s">
        <v>385</v>
      </c>
      <c r="AC50" s="11" t="s">
        <v>385</v>
      </c>
      <c r="AD50" s="11">
        <v>625</v>
      </c>
      <c r="AE50" s="11">
        <v>664</v>
      </c>
      <c r="AF50" s="4">
        <f t="shared" si="26"/>
        <v>1.0624</v>
      </c>
      <c r="AG50" s="11">
        <v>20</v>
      </c>
      <c r="AH50" s="5" t="s">
        <v>362</v>
      </c>
      <c r="AI50" s="5" t="s">
        <v>362</v>
      </c>
      <c r="AJ50" s="5" t="s">
        <v>362</v>
      </c>
      <c r="AK50" s="5" t="s">
        <v>362</v>
      </c>
      <c r="AL50" s="5" t="s">
        <v>362</v>
      </c>
      <c r="AM50" s="5" t="s">
        <v>362</v>
      </c>
      <c r="AN50" s="5" t="s">
        <v>362</v>
      </c>
      <c r="AO50" s="5" t="s">
        <v>362</v>
      </c>
      <c r="AP50" s="44">
        <f t="shared" si="33"/>
        <v>1.1039571009250189</v>
      </c>
      <c r="AQ50" s="45">
        <v>826</v>
      </c>
      <c r="AR50" s="35">
        <f t="shared" si="34"/>
        <v>225.27272727272728</v>
      </c>
      <c r="AS50" s="35">
        <f t="shared" si="27"/>
        <v>248.7</v>
      </c>
      <c r="AT50" s="35">
        <f t="shared" si="28"/>
        <v>23.427272727272708</v>
      </c>
      <c r="AU50" s="35">
        <v>66.3</v>
      </c>
      <c r="AV50" s="35">
        <v>77.8</v>
      </c>
      <c r="AW50" s="35">
        <f t="shared" si="29"/>
        <v>104.6</v>
      </c>
      <c r="AX50" s="35"/>
      <c r="AY50" s="35">
        <f t="shared" si="30"/>
        <v>104.6</v>
      </c>
      <c r="AZ50" s="35">
        <v>0</v>
      </c>
      <c r="BA50" s="35">
        <f t="shared" si="31"/>
        <v>104.6</v>
      </c>
      <c r="BB50" s="35">
        <f>MIN(BA50,24.6)</f>
        <v>24.6</v>
      </c>
      <c r="BC50" s="35">
        <f t="shared" si="32"/>
        <v>80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10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10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10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10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10"/>
      <c r="GZ50" s="9"/>
      <c r="HA50" s="9"/>
    </row>
    <row r="51" spans="1:209" s="2" customFormat="1" ht="17" customHeight="1">
      <c r="A51" s="14" t="s">
        <v>50</v>
      </c>
      <c r="B51" s="35">
        <v>375</v>
      </c>
      <c r="C51" s="35">
        <v>405.7</v>
      </c>
      <c r="D51" s="4">
        <f t="shared" si="22"/>
        <v>1.0818666666666665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278.10000000000002</v>
      </c>
      <c r="O51" s="35">
        <v>221.2</v>
      </c>
      <c r="P51" s="4">
        <f t="shared" si="23"/>
        <v>0.79539733908665933</v>
      </c>
      <c r="Q51" s="11">
        <v>20</v>
      </c>
      <c r="R51" s="35">
        <v>30</v>
      </c>
      <c r="S51" s="35">
        <v>35.1</v>
      </c>
      <c r="T51" s="4">
        <f t="shared" si="24"/>
        <v>1.1700000000000002</v>
      </c>
      <c r="U51" s="11">
        <v>30</v>
      </c>
      <c r="V51" s="35">
        <v>8</v>
      </c>
      <c r="W51" s="35">
        <v>8.5</v>
      </c>
      <c r="X51" s="4">
        <f t="shared" si="25"/>
        <v>1.0625</v>
      </c>
      <c r="Y51" s="11">
        <v>20</v>
      </c>
      <c r="Z51" s="11" t="s">
        <v>385</v>
      </c>
      <c r="AA51" s="11" t="s">
        <v>385</v>
      </c>
      <c r="AB51" s="11" t="s">
        <v>385</v>
      </c>
      <c r="AC51" s="11" t="s">
        <v>385</v>
      </c>
      <c r="AD51" s="11">
        <v>897</v>
      </c>
      <c r="AE51" s="11">
        <v>892</v>
      </c>
      <c r="AF51" s="4">
        <f t="shared" si="26"/>
        <v>0.99442586399108135</v>
      </c>
      <c r="AG51" s="11">
        <v>20</v>
      </c>
      <c r="AH51" s="5" t="s">
        <v>362</v>
      </c>
      <c r="AI51" s="5" t="s">
        <v>362</v>
      </c>
      <c r="AJ51" s="5" t="s">
        <v>362</v>
      </c>
      <c r="AK51" s="5" t="s">
        <v>362</v>
      </c>
      <c r="AL51" s="5" t="s">
        <v>362</v>
      </c>
      <c r="AM51" s="5" t="s">
        <v>362</v>
      </c>
      <c r="AN51" s="5" t="s">
        <v>362</v>
      </c>
      <c r="AO51" s="5" t="s">
        <v>362</v>
      </c>
      <c r="AP51" s="44">
        <f t="shared" si="33"/>
        <v>1.0296513072822149</v>
      </c>
      <c r="AQ51" s="45">
        <v>1803</v>
      </c>
      <c r="AR51" s="35">
        <f t="shared" si="34"/>
        <v>491.72727272727275</v>
      </c>
      <c r="AS51" s="35">
        <f t="shared" si="27"/>
        <v>506.3</v>
      </c>
      <c r="AT51" s="35">
        <f t="shared" si="28"/>
        <v>14.572727272727263</v>
      </c>
      <c r="AU51" s="35">
        <v>176.5</v>
      </c>
      <c r="AV51" s="35">
        <v>127.9</v>
      </c>
      <c r="AW51" s="35">
        <f t="shared" si="29"/>
        <v>201.9</v>
      </c>
      <c r="AX51" s="35"/>
      <c r="AY51" s="35">
        <f t="shared" si="30"/>
        <v>201.9</v>
      </c>
      <c r="AZ51" s="35">
        <v>0</v>
      </c>
      <c r="BA51" s="35">
        <f t="shared" si="31"/>
        <v>201.9</v>
      </c>
      <c r="BB51" s="35"/>
      <c r="BC51" s="35">
        <f t="shared" si="32"/>
        <v>201.9</v>
      </c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10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10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10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10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10"/>
      <c r="GZ51" s="9"/>
      <c r="HA51" s="9"/>
    </row>
    <row r="52" spans="1:209" s="2" customFormat="1" ht="17" customHeight="1">
      <c r="A52" s="18" t="s">
        <v>51</v>
      </c>
      <c r="B52" s="6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35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10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10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10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10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10"/>
      <c r="GZ52" s="9"/>
      <c r="HA52" s="9"/>
    </row>
    <row r="53" spans="1:209" s="2" customFormat="1" ht="17" customHeight="1">
      <c r="A53" s="14" t="s">
        <v>52</v>
      </c>
      <c r="B53" s="35">
        <v>2771900</v>
      </c>
      <c r="C53" s="35">
        <v>2331882.7000000002</v>
      </c>
      <c r="D53" s="4">
        <f t="shared" si="22"/>
        <v>0.84125787366066607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9422.7000000000007</v>
      </c>
      <c r="O53" s="35">
        <v>9395.6</v>
      </c>
      <c r="P53" s="4">
        <f t="shared" si="23"/>
        <v>0.99712396659131664</v>
      </c>
      <c r="Q53" s="11">
        <v>20</v>
      </c>
      <c r="R53" s="35">
        <v>3</v>
      </c>
      <c r="S53" s="35">
        <v>3.3</v>
      </c>
      <c r="T53" s="4">
        <f t="shared" si="24"/>
        <v>1.0999999999999999</v>
      </c>
      <c r="U53" s="11">
        <v>25</v>
      </c>
      <c r="V53" s="35">
        <v>20.3</v>
      </c>
      <c r="W53" s="35">
        <v>20.7</v>
      </c>
      <c r="X53" s="4">
        <f t="shared" si="25"/>
        <v>1.0197044334975369</v>
      </c>
      <c r="Y53" s="11">
        <v>25</v>
      </c>
      <c r="Z53" s="11" t="s">
        <v>385</v>
      </c>
      <c r="AA53" s="11" t="s">
        <v>385</v>
      </c>
      <c r="AB53" s="11" t="s">
        <v>385</v>
      </c>
      <c r="AC53" s="11" t="s">
        <v>385</v>
      </c>
      <c r="AD53" s="11">
        <v>46</v>
      </c>
      <c r="AE53" s="11">
        <v>11</v>
      </c>
      <c r="AF53" s="4">
        <f t="shared" si="26"/>
        <v>0.2391304347826087</v>
      </c>
      <c r="AG53" s="11">
        <v>20</v>
      </c>
      <c r="AH53" s="5" t="s">
        <v>362</v>
      </c>
      <c r="AI53" s="5" t="s">
        <v>362</v>
      </c>
      <c r="AJ53" s="5" t="s">
        <v>362</v>
      </c>
      <c r="AK53" s="5" t="s">
        <v>362</v>
      </c>
      <c r="AL53" s="5" t="s">
        <v>362</v>
      </c>
      <c r="AM53" s="5" t="s">
        <v>362</v>
      </c>
      <c r="AN53" s="5" t="s">
        <v>362</v>
      </c>
      <c r="AO53" s="5" t="s">
        <v>362</v>
      </c>
      <c r="AP53" s="44">
        <f t="shared" si="33"/>
        <v>0.86130277601523586</v>
      </c>
      <c r="AQ53" s="45">
        <v>46</v>
      </c>
      <c r="AR53" s="35">
        <f t="shared" si="34"/>
        <v>12.545454545454545</v>
      </c>
      <c r="AS53" s="35">
        <f t="shared" si="27"/>
        <v>10.8</v>
      </c>
      <c r="AT53" s="35">
        <f t="shared" si="28"/>
        <v>-1.7454545454545443</v>
      </c>
      <c r="AU53" s="35">
        <v>4.0999999999999996</v>
      </c>
      <c r="AV53" s="35">
        <v>4.2</v>
      </c>
      <c r="AW53" s="35">
        <f t="shared" si="29"/>
        <v>2.5</v>
      </c>
      <c r="AX53" s="35"/>
      <c r="AY53" s="35">
        <f t="shared" si="30"/>
        <v>2.5</v>
      </c>
      <c r="AZ53" s="35">
        <v>0</v>
      </c>
      <c r="BA53" s="35">
        <f t="shared" si="31"/>
        <v>2.5</v>
      </c>
      <c r="BB53" s="35">
        <f>MIN(BA53,2.1)</f>
        <v>2.1</v>
      </c>
      <c r="BC53" s="35">
        <f t="shared" si="32"/>
        <v>0.4</v>
      </c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10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10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0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10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10"/>
      <c r="GZ53" s="9"/>
      <c r="HA53" s="9"/>
    </row>
    <row r="54" spans="1:209" s="2" customFormat="1" ht="17" customHeight="1">
      <c r="A54" s="14" t="s">
        <v>53</v>
      </c>
      <c r="B54" s="35">
        <v>60</v>
      </c>
      <c r="C54" s="35">
        <v>100</v>
      </c>
      <c r="D54" s="4">
        <f t="shared" si="22"/>
        <v>1.2466666666666666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182.1</v>
      </c>
      <c r="O54" s="35">
        <v>104.2</v>
      </c>
      <c r="P54" s="4">
        <f t="shared" si="23"/>
        <v>0.57221306974190012</v>
      </c>
      <c r="Q54" s="11">
        <v>20</v>
      </c>
      <c r="R54" s="35">
        <v>0</v>
      </c>
      <c r="S54" s="35">
        <v>0</v>
      </c>
      <c r="T54" s="4">
        <f t="shared" si="24"/>
        <v>1</v>
      </c>
      <c r="U54" s="11">
        <v>20</v>
      </c>
      <c r="V54" s="35">
        <v>18</v>
      </c>
      <c r="W54" s="35">
        <v>18.100000000000001</v>
      </c>
      <c r="X54" s="4">
        <f t="shared" si="25"/>
        <v>1.0055555555555555</v>
      </c>
      <c r="Y54" s="11">
        <v>30</v>
      </c>
      <c r="Z54" s="11" t="s">
        <v>385</v>
      </c>
      <c r="AA54" s="11" t="s">
        <v>385</v>
      </c>
      <c r="AB54" s="11" t="s">
        <v>385</v>
      </c>
      <c r="AC54" s="11" t="s">
        <v>385</v>
      </c>
      <c r="AD54" s="11">
        <v>308</v>
      </c>
      <c r="AE54" s="11">
        <v>340</v>
      </c>
      <c r="AF54" s="4">
        <f t="shared" si="26"/>
        <v>1.1038961038961039</v>
      </c>
      <c r="AG54" s="11">
        <v>20</v>
      </c>
      <c r="AH54" s="5" t="s">
        <v>362</v>
      </c>
      <c r="AI54" s="5" t="s">
        <v>362</v>
      </c>
      <c r="AJ54" s="5" t="s">
        <v>362</v>
      </c>
      <c r="AK54" s="5" t="s">
        <v>362</v>
      </c>
      <c r="AL54" s="5" t="s">
        <v>362</v>
      </c>
      <c r="AM54" s="5" t="s">
        <v>362</v>
      </c>
      <c r="AN54" s="5" t="s">
        <v>362</v>
      </c>
      <c r="AO54" s="5" t="s">
        <v>362</v>
      </c>
      <c r="AP54" s="44">
        <f t="shared" si="33"/>
        <v>0.96155516806093422</v>
      </c>
      <c r="AQ54" s="45">
        <v>485</v>
      </c>
      <c r="AR54" s="35">
        <f t="shared" si="34"/>
        <v>132.27272727272728</v>
      </c>
      <c r="AS54" s="35">
        <f t="shared" si="27"/>
        <v>127.2</v>
      </c>
      <c r="AT54" s="35">
        <f t="shared" si="28"/>
        <v>-5.0727272727272776</v>
      </c>
      <c r="AU54" s="35">
        <v>40.799999999999997</v>
      </c>
      <c r="AV54" s="35">
        <v>43.4</v>
      </c>
      <c r="AW54" s="35">
        <f t="shared" si="29"/>
        <v>43</v>
      </c>
      <c r="AX54" s="35"/>
      <c r="AY54" s="35">
        <f t="shared" si="30"/>
        <v>43</v>
      </c>
      <c r="AZ54" s="35">
        <v>0</v>
      </c>
      <c r="BA54" s="35">
        <f t="shared" si="31"/>
        <v>43</v>
      </c>
      <c r="BB54" s="35"/>
      <c r="BC54" s="35">
        <f t="shared" si="32"/>
        <v>43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10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10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10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10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10"/>
      <c r="GZ54" s="9"/>
      <c r="HA54" s="9"/>
    </row>
    <row r="55" spans="1:209" s="2" customFormat="1" ht="17" customHeight="1">
      <c r="A55" s="14" t="s">
        <v>54</v>
      </c>
      <c r="B55" s="35">
        <v>0</v>
      </c>
      <c r="C55" s="35">
        <v>0</v>
      </c>
      <c r="D55" s="4">
        <f t="shared" si="22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419.4</v>
      </c>
      <c r="O55" s="35">
        <v>1470.7</v>
      </c>
      <c r="P55" s="4">
        <f t="shared" si="23"/>
        <v>1.3</v>
      </c>
      <c r="Q55" s="11">
        <v>20</v>
      </c>
      <c r="R55" s="35">
        <v>0</v>
      </c>
      <c r="S55" s="35">
        <v>0</v>
      </c>
      <c r="T55" s="4">
        <f t="shared" si="24"/>
        <v>1</v>
      </c>
      <c r="U55" s="11">
        <v>30</v>
      </c>
      <c r="V55" s="35">
        <v>8.5</v>
      </c>
      <c r="W55" s="35">
        <v>8.9</v>
      </c>
      <c r="X55" s="4">
        <f t="shared" si="25"/>
        <v>1.0470588235294118</v>
      </c>
      <c r="Y55" s="11">
        <v>20</v>
      </c>
      <c r="Z55" s="11" t="s">
        <v>385</v>
      </c>
      <c r="AA55" s="11" t="s">
        <v>385</v>
      </c>
      <c r="AB55" s="11" t="s">
        <v>385</v>
      </c>
      <c r="AC55" s="11" t="s">
        <v>385</v>
      </c>
      <c r="AD55" s="11">
        <v>101</v>
      </c>
      <c r="AE55" s="11">
        <v>120</v>
      </c>
      <c r="AF55" s="4">
        <f t="shared" si="26"/>
        <v>1.1881188118811881</v>
      </c>
      <c r="AG55" s="11">
        <v>20</v>
      </c>
      <c r="AH55" s="5" t="s">
        <v>362</v>
      </c>
      <c r="AI55" s="5" t="s">
        <v>362</v>
      </c>
      <c r="AJ55" s="5" t="s">
        <v>362</v>
      </c>
      <c r="AK55" s="5" t="s">
        <v>362</v>
      </c>
      <c r="AL55" s="5" t="s">
        <v>362</v>
      </c>
      <c r="AM55" s="5" t="s">
        <v>362</v>
      </c>
      <c r="AN55" s="5" t="s">
        <v>362</v>
      </c>
      <c r="AO55" s="5" t="s">
        <v>362</v>
      </c>
      <c r="AP55" s="44">
        <f t="shared" si="33"/>
        <v>1.1189283634245777</v>
      </c>
      <c r="AQ55" s="45">
        <v>521</v>
      </c>
      <c r="AR55" s="35">
        <f t="shared" si="34"/>
        <v>142.09090909090909</v>
      </c>
      <c r="AS55" s="35">
        <f t="shared" si="27"/>
        <v>159</v>
      </c>
      <c r="AT55" s="35">
        <f t="shared" si="28"/>
        <v>16.909090909090907</v>
      </c>
      <c r="AU55" s="35">
        <v>51.2</v>
      </c>
      <c r="AV55" s="35">
        <v>52.3</v>
      </c>
      <c r="AW55" s="35">
        <f t="shared" si="29"/>
        <v>55.5</v>
      </c>
      <c r="AX55" s="35"/>
      <c r="AY55" s="35">
        <f t="shared" si="30"/>
        <v>55.5</v>
      </c>
      <c r="AZ55" s="35">
        <v>0</v>
      </c>
      <c r="BA55" s="35">
        <f t="shared" si="31"/>
        <v>55.5</v>
      </c>
      <c r="BB55" s="35"/>
      <c r="BC55" s="35">
        <f t="shared" si="32"/>
        <v>55.5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10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10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10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10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10"/>
      <c r="GZ55" s="9"/>
      <c r="HA55" s="9"/>
    </row>
    <row r="56" spans="1:209" s="2" customFormat="1" ht="17" customHeight="1">
      <c r="A56" s="14" t="s">
        <v>55</v>
      </c>
      <c r="B56" s="35">
        <v>0</v>
      </c>
      <c r="C56" s="35">
        <v>0</v>
      </c>
      <c r="D56" s="4">
        <f t="shared" si="22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487.9</v>
      </c>
      <c r="O56" s="35">
        <v>370.5</v>
      </c>
      <c r="P56" s="4">
        <f t="shared" si="23"/>
        <v>0.75937692150030744</v>
      </c>
      <c r="Q56" s="11">
        <v>20</v>
      </c>
      <c r="R56" s="35">
        <v>315</v>
      </c>
      <c r="S56" s="35">
        <v>297.60000000000002</v>
      </c>
      <c r="T56" s="4">
        <f t="shared" si="24"/>
        <v>0.9447619047619048</v>
      </c>
      <c r="U56" s="11">
        <v>25</v>
      </c>
      <c r="V56" s="35">
        <v>24</v>
      </c>
      <c r="W56" s="35">
        <v>24.5</v>
      </c>
      <c r="X56" s="4">
        <f t="shared" si="25"/>
        <v>1.0208333333333333</v>
      </c>
      <c r="Y56" s="11">
        <v>25</v>
      </c>
      <c r="Z56" s="11" t="s">
        <v>385</v>
      </c>
      <c r="AA56" s="11" t="s">
        <v>385</v>
      </c>
      <c r="AB56" s="11" t="s">
        <v>385</v>
      </c>
      <c r="AC56" s="11" t="s">
        <v>385</v>
      </c>
      <c r="AD56" s="11">
        <v>445</v>
      </c>
      <c r="AE56" s="11">
        <v>590</v>
      </c>
      <c r="AF56" s="4">
        <f t="shared" si="26"/>
        <v>1.2125842696629212</v>
      </c>
      <c r="AG56" s="11">
        <v>20</v>
      </c>
      <c r="AH56" s="5" t="s">
        <v>362</v>
      </c>
      <c r="AI56" s="5" t="s">
        <v>362</v>
      </c>
      <c r="AJ56" s="5" t="s">
        <v>362</v>
      </c>
      <c r="AK56" s="5" t="s">
        <v>362</v>
      </c>
      <c r="AL56" s="5" t="s">
        <v>362</v>
      </c>
      <c r="AM56" s="5" t="s">
        <v>362</v>
      </c>
      <c r="AN56" s="5" t="s">
        <v>362</v>
      </c>
      <c r="AO56" s="5" t="s">
        <v>362</v>
      </c>
      <c r="AP56" s="44">
        <f t="shared" si="33"/>
        <v>0.98421227528495037</v>
      </c>
      <c r="AQ56" s="45">
        <v>1046</v>
      </c>
      <c r="AR56" s="35">
        <f t="shared" si="34"/>
        <v>285.27272727272725</v>
      </c>
      <c r="AS56" s="35">
        <f t="shared" si="27"/>
        <v>280.8</v>
      </c>
      <c r="AT56" s="35">
        <f t="shared" si="28"/>
        <v>-4.4727272727272407</v>
      </c>
      <c r="AU56" s="35">
        <v>87.5</v>
      </c>
      <c r="AV56" s="35">
        <v>85.6</v>
      </c>
      <c r="AW56" s="35">
        <f t="shared" si="29"/>
        <v>107.7</v>
      </c>
      <c r="AX56" s="35"/>
      <c r="AY56" s="35">
        <f t="shared" si="30"/>
        <v>107.7</v>
      </c>
      <c r="AZ56" s="35">
        <v>0</v>
      </c>
      <c r="BA56" s="35">
        <f t="shared" si="31"/>
        <v>107.7</v>
      </c>
      <c r="BB56" s="35"/>
      <c r="BC56" s="35">
        <f t="shared" si="32"/>
        <v>107.7</v>
      </c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10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10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10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10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10"/>
      <c r="GZ56" s="9"/>
      <c r="HA56" s="9"/>
    </row>
    <row r="57" spans="1:209" s="2" customFormat="1" ht="17" customHeight="1">
      <c r="A57" s="14" t="s">
        <v>56</v>
      </c>
      <c r="B57" s="35">
        <v>0</v>
      </c>
      <c r="C57" s="35">
        <v>0</v>
      </c>
      <c r="D57" s="4">
        <f t="shared" si="22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372.2</v>
      </c>
      <c r="O57" s="35">
        <v>272.3</v>
      </c>
      <c r="P57" s="4">
        <f t="shared" si="23"/>
        <v>0.73159591617410002</v>
      </c>
      <c r="Q57" s="11">
        <v>20</v>
      </c>
      <c r="R57" s="35">
        <v>943</v>
      </c>
      <c r="S57" s="35">
        <v>1018.7</v>
      </c>
      <c r="T57" s="4">
        <f t="shared" si="24"/>
        <v>1.0802757158006364</v>
      </c>
      <c r="U57" s="11">
        <v>30</v>
      </c>
      <c r="V57" s="35">
        <v>30</v>
      </c>
      <c r="W57" s="35">
        <v>32.700000000000003</v>
      </c>
      <c r="X57" s="4">
        <f t="shared" si="25"/>
        <v>1.0900000000000001</v>
      </c>
      <c r="Y57" s="11">
        <v>20</v>
      </c>
      <c r="Z57" s="11" t="s">
        <v>385</v>
      </c>
      <c r="AA57" s="11" t="s">
        <v>385</v>
      </c>
      <c r="AB57" s="11" t="s">
        <v>385</v>
      </c>
      <c r="AC57" s="11" t="s">
        <v>385</v>
      </c>
      <c r="AD57" s="11">
        <v>889</v>
      </c>
      <c r="AE57" s="11">
        <v>968</v>
      </c>
      <c r="AF57" s="4">
        <f t="shared" si="26"/>
        <v>1.0888638920134983</v>
      </c>
      <c r="AG57" s="11">
        <v>20</v>
      </c>
      <c r="AH57" s="5" t="s">
        <v>362</v>
      </c>
      <c r="AI57" s="5" t="s">
        <v>362</v>
      </c>
      <c r="AJ57" s="5" t="s">
        <v>362</v>
      </c>
      <c r="AK57" s="5" t="s">
        <v>362</v>
      </c>
      <c r="AL57" s="5" t="s">
        <v>362</v>
      </c>
      <c r="AM57" s="5" t="s">
        <v>362</v>
      </c>
      <c r="AN57" s="5" t="s">
        <v>362</v>
      </c>
      <c r="AO57" s="5" t="s">
        <v>362</v>
      </c>
      <c r="AP57" s="44">
        <f t="shared" si="33"/>
        <v>1.0068607515307895</v>
      </c>
      <c r="AQ57" s="45">
        <v>1073</v>
      </c>
      <c r="AR57" s="35">
        <f t="shared" si="34"/>
        <v>292.63636363636363</v>
      </c>
      <c r="AS57" s="35">
        <f t="shared" si="27"/>
        <v>294.60000000000002</v>
      </c>
      <c r="AT57" s="35">
        <f t="shared" si="28"/>
        <v>1.9636363636363967</v>
      </c>
      <c r="AU57" s="35">
        <v>83.3</v>
      </c>
      <c r="AV57" s="35">
        <v>97.3</v>
      </c>
      <c r="AW57" s="35">
        <f t="shared" si="29"/>
        <v>114</v>
      </c>
      <c r="AX57" s="35"/>
      <c r="AY57" s="35">
        <f t="shared" si="30"/>
        <v>114</v>
      </c>
      <c r="AZ57" s="35">
        <v>0</v>
      </c>
      <c r="BA57" s="35">
        <f t="shared" si="31"/>
        <v>114</v>
      </c>
      <c r="BB57" s="35">
        <f>MIN(BA57,19.7)</f>
        <v>19.7</v>
      </c>
      <c r="BC57" s="35">
        <f t="shared" si="32"/>
        <v>94.3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10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10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10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10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10"/>
      <c r="GZ57" s="9"/>
      <c r="HA57" s="9"/>
    </row>
    <row r="58" spans="1:209" s="2" customFormat="1" ht="17" customHeight="1">
      <c r="A58" s="14" t="s">
        <v>57</v>
      </c>
      <c r="B58" s="35">
        <v>0</v>
      </c>
      <c r="C58" s="35">
        <v>0</v>
      </c>
      <c r="D58" s="4">
        <f t="shared" si="22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23.8</v>
      </c>
      <c r="O58" s="35">
        <v>99.2</v>
      </c>
      <c r="P58" s="4">
        <f t="shared" si="23"/>
        <v>1.3</v>
      </c>
      <c r="Q58" s="11">
        <v>20</v>
      </c>
      <c r="R58" s="35">
        <v>51</v>
      </c>
      <c r="S58" s="35">
        <v>51.9</v>
      </c>
      <c r="T58" s="4">
        <f t="shared" si="24"/>
        <v>1.0176470588235293</v>
      </c>
      <c r="U58" s="11">
        <v>30</v>
      </c>
      <c r="V58" s="35">
        <v>7.5</v>
      </c>
      <c r="W58" s="35">
        <v>7.8</v>
      </c>
      <c r="X58" s="4">
        <f t="shared" si="25"/>
        <v>1.04</v>
      </c>
      <c r="Y58" s="11">
        <v>20</v>
      </c>
      <c r="Z58" s="11" t="s">
        <v>385</v>
      </c>
      <c r="AA58" s="11" t="s">
        <v>385</v>
      </c>
      <c r="AB58" s="11" t="s">
        <v>385</v>
      </c>
      <c r="AC58" s="11" t="s">
        <v>385</v>
      </c>
      <c r="AD58" s="11">
        <v>645</v>
      </c>
      <c r="AE58" s="11">
        <v>599</v>
      </c>
      <c r="AF58" s="4">
        <f t="shared" si="26"/>
        <v>0.92868217054263569</v>
      </c>
      <c r="AG58" s="11">
        <v>20</v>
      </c>
      <c r="AH58" s="5" t="s">
        <v>362</v>
      </c>
      <c r="AI58" s="5" t="s">
        <v>362</v>
      </c>
      <c r="AJ58" s="5" t="s">
        <v>362</v>
      </c>
      <c r="AK58" s="5" t="s">
        <v>362</v>
      </c>
      <c r="AL58" s="5" t="s">
        <v>362</v>
      </c>
      <c r="AM58" s="5" t="s">
        <v>362</v>
      </c>
      <c r="AN58" s="5" t="s">
        <v>362</v>
      </c>
      <c r="AO58" s="5" t="s">
        <v>362</v>
      </c>
      <c r="AP58" s="44">
        <f t="shared" si="33"/>
        <v>1.0655895019506509</v>
      </c>
      <c r="AQ58" s="45">
        <v>1155</v>
      </c>
      <c r="AR58" s="35">
        <f t="shared" si="34"/>
        <v>315</v>
      </c>
      <c r="AS58" s="35">
        <f t="shared" si="27"/>
        <v>335.7</v>
      </c>
      <c r="AT58" s="35">
        <f t="shared" si="28"/>
        <v>20.699999999999989</v>
      </c>
      <c r="AU58" s="35">
        <v>115.7</v>
      </c>
      <c r="AV58" s="35">
        <v>116.5</v>
      </c>
      <c r="AW58" s="35">
        <f t="shared" si="29"/>
        <v>103.5</v>
      </c>
      <c r="AX58" s="35"/>
      <c r="AY58" s="35">
        <f t="shared" si="30"/>
        <v>103.5</v>
      </c>
      <c r="AZ58" s="35">
        <v>0</v>
      </c>
      <c r="BA58" s="35">
        <f t="shared" si="31"/>
        <v>103.5</v>
      </c>
      <c r="BB58" s="35">
        <f>MIN(BA58,52.5)</f>
        <v>52.5</v>
      </c>
      <c r="BC58" s="35">
        <f t="shared" si="32"/>
        <v>51</v>
      </c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10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10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10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10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10"/>
      <c r="GZ58" s="9"/>
      <c r="HA58" s="9"/>
    </row>
    <row r="59" spans="1:209" s="2" customFormat="1" ht="17" customHeight="1">
      <c r="A59" s="14" t="s">
        <v>58</v>
      </c>
      <c r="B59" s="35">
        <v>0</v>
      </c>
      <c r="C59" s="35">
        <v>0</v>
      </c>
      <c r="D59" s="4">
        <f t="shared" si="22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158.30000000000001</v>
      </c>
      <c r="O59" s="35">
        <v>308.7</v>
      </c>
      <c r="P59" s="4">
        <f t="shared" si="23"/>
        <v>1.2750094756790902</v>
      </c>
      <c r="Q59" s="11">
        <v>20</v>
      </c>
      <c r="R59" s="35">
        <v>30</v>
      </c>
      <c r="S59" s="35">
        <v>30.8</v>
      </c>
      <c r="T59" s="4">
        <f t="shared" si="24"/>
        <v>1.0266666666666666</v>
      </c>
      <c r="U59" s="11">
        <v>30</v>
      </c>
      <c r="V59" s="35">
        <v>12.3</v>
      </c>
      <c r="W59" s="35">
        <v>12.6</v>
      </c>
      <c r="X59" s="4">
        <f t="shared" si="25"/>
        <v>1.024390243902439</v>
      </c>
      <c r="Y59" s="11">
        <v>20</v>
      </c>
      <c r="Z59" s="11" t="s">
        <v>385</v>
      </c>
      <c r="AA59" s="11" t="s">
        <v>385</v>
      </c>
      <c r="AB59" s="11" t="s">
        <v>385</v>
      </c>
      <c r="AC59" s="11" t="s">
        <v>385</v>
      </c>
      <c r="AD59" s="11">
        <v>255</v>
      </c>
      <c r="AE59" s="11">
        <v>255</v>
      </c>
      <c r="AF59" s="4">
        <f t="shared" si="26"/>
        <v>1</v>
      </c>
      <c r="AG59" s="11">
        <v>20</v>
      </c>
      <c r="AH59" s="5" t="s">
        <v>362</v>
      </c>
      <c r="AI59" s="5" t="s">
        <v>362</v>
      </c>
      <c r="AJ59" s="5" t="s">
        <v>362</v>
      </c>
      <c r="AK59" s="5" t="s">
        <v>362</v>
      </c>
      <c r="AL59" s="5" t="s">
        <v>362</v>
      </c>
      <c r="AM59" s="5" t="s">
        <v>362</v>
      </c>
      <c r="AN59" s="5" t="s">
        <v>362</v>
      </c>
      <c r="AO59" s="5" t="s">
        <v>362</v>
      </c>
      <c r="AP59" s="44">
        <f t="shared" si="33"/>
        <v>1.0754221599070064</v>
      </c>
      <c r="AQ59" s="45">
        <v>1171</v>
      </c>
      <c r="AR59" s="35">
        <f t="shared" si="34"/>
        <v>319.36363636363637</v>
      </c>
      <c r="AS59" s="35">
        <f t="shared" si="27"/>
        <v>343.5</v>
      </c>
      <c r="AT59" s="35">
        <f t="shared" si="28"/>
        <v>24.136363636363626</v>
      </c>
      <c r="AU59" s="35">
        <v>111.1</v>
      </c>
      <c r="AV59" s="35">
        <v>117.2</v>
      </c>
      <c r="AW59" s="35">
        <f t="shared" si="29"/>
        <v>115.2</v>
      </c>
      <c r="AX59" s="35"/>
      <c r="AY59" s="35">
        <f t="shared" si="30"/>
        <v>115.2</v>
      </c>
      <c r="AZ59" s="35">
        <v>0</v>
      </c>
      <c r="BA59" s="35">
        <f t="shared" si="31"/>
        <v>115.2</v>
      </c>
      <c r="BB59" s="35"/>
      <c r="BC59" s="35">
        <f t="shared" si="32"/>
        <v>115.2</v>
      </c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10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10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10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10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10"/>
      <c r="GZ59" s="9"/>
      <c r="HA59" s="9"/>
    </row>
    <row r="60" spans="1:209" s="2" customFormat="1" ht="17" customHeight="1">
      <c r="A60" s="14" t="s">
        <v>59</v>
      </c>
      <c r="B60" s="35">
        <v>24000</v>
      </c>
      <c r="C60" s="35">
        <v>26147.599999999999</v>
      </c>
      <c r="D60" s="4">
        <f t="shared" si="22"/>
        <v>1.0894833333333334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2036.1</v>
      </c>
      <c r="O60" s="35">
        <v>2035.7</v>
      </c>
      <c r="P60" s="4">
        <f t="shared" si="23"/>
        <v>0.99980354599479404</v>
      </c>
      <c r="Q60" s="11">
        <v>20</v>
      </c>
      <c r="R60" s="35">
        <v>30</v>
      </c>
      <c r="S60" s="35">
        <v>31</v>
      </c>
      <c r="T60" s="4">
        <f t="shared" si="24"/>
        <v>1.0333333333333334</v>
      </c>
      <c r="U60" s="11">
        <v>30</v>
      </c>
      <c r="V60" s="35">
        <v>10.5</v>
      </c>
      <c r="W60" s="35">
        <v>10.8</v>
      </c>
      <c r="X60" s="4">
        <f t="shared" si="25"/>
        <v>1.0285714285714287</v>
      </c>
      <c r="Y60" s="11">
        <v>20</v>
      </c>
      <c r="Z60" s="11" t="s">
        <v>385</v>
      </c>
      <c r="AA60" s="11" t="s">
        <v>385</v>
      </c>
      <c r="AB60" s="11" t="s">
        <v>385</v>
      </c>
      <c r="AC60" s="11" t="s">
        <v>385</v>
      </c>
      <c r="AD60" s="11">
        <v>251</v>
      </c>
      <c r="AE60" s="11">
        <v>314</v>
      </c>
      <c r="AF60" s="4">
        <f t="shared" si="26"/>
        <v>1.2050996015936255</v>
      </c>
      <c r="AG60" s="11">
        <v>20</v>
      </c>
      <c r="AH60" s="5" t="s">
        <v>362</v>
      </c>
      <c r="AI60" s="5" t="s">
        <v>362</v>
      </c>
      <c r="AJ60" s="5" t="s">
        <v>362</v>
      </c>
      <c r="AK60" s="5" t="s">
        <v>362</v>
      </c>
      <c r="AL60" s="5" t="s">
        <v>362</v>
      </c>
      <c r="AM60" s="5" t="s">
        <v>362</v>
      </c>
      <c r="AN60" s="5" t="s">
        <v>362</v>
      </c>
      <c r="AO60" s="5" t="s">
        <v>362</v>
      </c>
      <c r="AP60" s="44">
        <f t="shared" si="33"/>
        <v>1.0656432485653031</v>
      </c>
      <c r="AQ60" s="45">
        <v>145</v>
      </c>
      <c r="AR60" s="35">
        <f t="shared" si="34"/>
        <v>39.545454545454547</v>
      </c>
      <c r="AS60" s="35">
        <f t="shared" si="27"/>
        <v>42.1</v>
      </c>
      <c r="AT60" s="35">
        <f t="shared" si="28"/>
        <v>2.5545454545454547</v>
      </c>
      <c r="AU60" s="35">
        <v>13.2</v>
      </c>
      <c r="AV60" s="35">
        <v>14.3</v>
      </c>
      <c r="AW60" s="35">
        <f t="shared" si="29"/>
        <v>14.6</v>
      </c>
      <c r="AX60" s="35"/>
      <c r="AY60" s="35">
        <f t="shared" si="30"/>
        <v>14.6</v>
      </c>
      <c r="AZ60" s="35">
        <v>0</v>
      </c>
      <c r="BA60" s="35">
        <f t="shared" si="31"/>
        <v>14.6</v>
      </c>
      <c r="BB60" s="35"/>
      <c r="BC60" s="35">
        <f t="shared" si="32"/>
        <v>14.6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10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10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10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10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10"/>
      <c r="GZ60" s="9"/>
      <c r="HA60" s="9"/>
    </row>
    <row r="61" spans="1:209" s="2" customFormat="1" ht="17" customHeight="1">
      <c r="A61" s="14" t="s">
        <v>60</v>
      </c>
      <c r="B61" s="35">
        <v>0</v>
      </c>
      <c r="C61" s="35">
        <v>0</v>
      </c>
      <c r="D61" s="4">
        <f t="shared" si="22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467.4</v>
      </c>
      <c r="O61" s="35">
        <v>411.7</v>
      </c>
      <c r="P61" s="4">
        <f t="shared" si="23"/>
        <v>0.88083012409071459</v>
      </c>
      <c r="Q61" s="11">
        <v>20</v>
      </c>
      <c r="R61" s="35">
        <v>330</v>
      </c>
      <c r="S61" s="35">
        <v>335.9</v>
      </c>
      <c r="T61" s="4">
        <f t="shared" si="24"/>
        <v>1.0178787878787878</v>
      </c>
      <c r="U61" s="11">
        <v>30</v>
      </c>
      <c r="V61" s="35">
        <v>21</v>
      </c>
      <c r="W61" s="35">
        <v>15.4</v>
      </c>
      <c r="X61" s="4">
        <f t="shared" si="25"/>
        <v>0.73333333333333339</v>
      </c>
      <c r="Y61" s="11">
        <v>20</v>
      </c>
      <c r="Z61" s="11" t="s">
        <v>385</v>
      </c>
      <c r="AA61" s="11" t="s">
        <v>385</v>
      </c>
      <c r="AB61" s="11" t="s">
        <v>385</v>
      </c>
      <c r="AC61" s="11" t="s">
        <v>385</v>
      </c>
      <c r="AD61" s="11">
        <v>750</v>
      </c>
      <c r="AE61" s="11">
        <v>733</v>
      </c>
      <c r="AF61" s="4">
        <f t="shared" si="26"/>
        <v>0.97733333333333339</v>
      </c>
      <c r="AG61" s="11">
        <v>20</v>
      </c>
      <c r="AH61" s="5" t="s">
        <v>362</v>
      </c>
      <c r="AI61" s="5" t="s">
        <v>362</v>
      </c>
      <c r="AJ61" s="5" t="s">
        <v>362</v>
      </c>
      <c r="AK61" s="5" t="s">
        <v>362</v>
      </c>
      <c r="AL61" s="5" t="s">
        <v>362</v>
      </c>
      <c r="AM61" s="5" t="s">
        <v>362</v>
      </c>
      <c r="AN61" s="5" t="s">
        <v>362</v>
      </c>
      <c r="AO61" s="5" t="s">
        <v>362</v>
      </c>
      <c r="AP61" s="44">
        <f t="shared" si="33"/>
        <v>0.91518110501679184</v>
      </c>
      <c r="AQ61" s="45">
        <v>641</v>
      </c>
      <c r="AR61" s="35">
        <f t="shared" si="34"/>
        <v>174.81818181818181</v>
      </c>
      <c r="AS61" s="35">
        <f t="shared" si="27"/>
        <v>160</v>
      </c>
      <c r="AT61" s="35">
        <f t="shared" si="28"/>
        <v>-14.818181818181813</v>
      </c>
      <c r="AU61" s="35">
        <v>53.8</v>
      </c>
      <c r="AV61" s="35">
        <v>56.8</v>
      </c>
      <c r="AW61" s="35">
        <f t="shared" si="29"/>
        <v>49.4</v>
      </c>
      <c r="AX61" s="35"/>
      <c r="AY61" s="35">
        <f t="shared" si="30"/>
        <v>49.4</v>
      </c>
      <c r="AZ61" s="35">
        <v>0</v>
      </c>
      <c r="BA61" s="35">
        <f t="shared" si="31"/>
        <v>49.4</v>
      </c>
      <c r="BB61" s="35"/>
      <c r="BC61" s="35">
        <f t="shared" si="32"/>
        <v>49.4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10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10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10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10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10"/>
      <c r="GZ61" s="9"/>
      <c r="HA61" s="9"/>
    </row>
    <row r="62" spans="1:209" s="2" customFormat="1" ht="17" customHeight="1">
      <c r="A62" s="14" t="s">
        <v>61</v>
      </c>
      <c r="B62" s="35">
        <v>0</v>
      </c>
      <c r="C62" s="35">
        <v>0</v>
      </c>
      <c r="D62" s="4">
        <f t="shared" si="22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254</v>
      </c>
      <c r="O62" s="35">
        <v>366.2</v>
      </c>
      <c r="P62" s="4">
        <f t="shared" si="23"/>
        <v>1.2241732283464566</v>
      </c>
      <c r="Q62" s="11">
        <v>20</v>
      </c>
      <c r="R62" s="35">
        <v>36</v>
      </c>
      <c r="S62" s="35">
        <v>36.700000000000003</v>
      </c>
      <c r="T62" s="4">
        <f t="shared" si="24"/>
        <v>1.0194444444444446</v>
      </c>
      <c r="U62" s="11">
        <v>30</v>
      </c>
      <c r="V62" s="35">
        <v>16.5</v>
      </c>
      <c r="W62" s="35">
        <v>17</v>
      </c>
      <c r="X62" s="4">
        <f t="shared" si="25"/>
        <v>1.0303030303030303</v>
      </c>
      <c r="Y62" s="11">
        <v>20</v>
      </c>
      <c r="Z62" s="11" t="s">
        <v>385</v>
      </c>
      <c r="AA62" s="11" t="s">
        <v>385</v>
      </c>
      <c r="AB62" s="11" t="s">
        <v>385</v>
      </c>
      <c r="AC62" s="11" t="s">
        <v>385</v>
      </c>
      <c r="AD62" s="11">
        <v>200</v>
      </c>
      <c r="AE62" s="11">
        <v>200</v>
      </c>
      <c r="AF62" s="4">
        <f t="shared" si="26"/>
        <v>1</v>
      </c>
      <c r="AG62" s="11">
        <v>20</v>
      </c>
      <c r="AH62" s="5" t="s">
        <v>362</v>
      </c>
      <c r="AI62" s="5" t="s">
        <v>362</v>
      </c>
      <c r="AJ62" s="5" t="s">
        <v>362</v>
      </c>
      <c r="AK62" s="5" t="s">
        <v>362</v>
      </c>
      <c r="AL62" s="5" t="s">
        <v>362</v>
      </c>
      <c r="AM62" s="5" t="s">
        <v>362</v>
      </c>
      <c r="AN62" s="5" t="s">
        <v>362</v>
      </c>
      <c r="AO62" s="5" t="s">
        <v>362</v>
      </c>
      <c r="AP62" s="44">
        <f t="shared" si="33"/>
        <v>1.0567285850632309</v>
      </c>
      <c r="AQ62" s="45">
        <v>466</v>
      </c>
      <c r="AR62" s="35">
        <f t="shared" si="34"/>
        <v>127.09090909090909</v>
      </c>
      <c r="AS62" s="35">
        <f t="shared" si="27"/>
        <v>134.30000000000001</v>
      </c>
      <c r="AT62" s="35">
        <f t="shared" si="28"/>
        <v>7.2090909090909179</v>
      </c>
      <c r="AU62" s="35">
        <v>45.3</v>
      </c>
      <c r="AV62" s="35">
        <v>46.1</v>
      </c>
      <c r="AW62" s="35">
        <f t="shared" si="29"/>
        <v>42.9</v>
      </c>
      <c r="AX62" s="35"/>
      <c r="AY62" s="35">
        <f t="shared" si="30"/>
        <v>42.9</v>
      </c>
      <c r="AZ62" s="35">
        <v>0</v>
      </c>
      <c r="BA62" s="35">
        <f t="shared" si="31"/>
        <v>42.9</v>
      </c>
      <c r="BB62" s="35">
        <f>MIN(BA62,21.2)</f>
        <v>21.2</v>
      </c>
      <c r="BC62" s="35">
        <f t="shared" si="32"/>
        <v>21.7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10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10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10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10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10"/>
      <c r="GZ62" s="9"/>
      <c r="HA62" s="9"/>
    </row>
    <row r="63" spans="1:209" s="2" customFormat="1" ht="17" customHeight="1">
      <c r="A63" s="14" t="s">
        <v>62</v>
      </c>
      <c r="B63" s="35">
        <v>0</v>
      </c>
      <c r="C63" s="35">
        <v>0</v>
      </c>
      <c r="D63" s="4">
        <f t="shared" si="22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287.3</v>
      </c>
      <c r="O63" s="35">
        <v>80.5</v>
      </c>
      <c r="P63" s="4">
        <f t="shared" si="23"/>
        <v>0.28019491820396797</v>
      </c>
      <c r="Q63" s="11">
        <v>20</v>
      </c>
      <c r="R63" s="35">
        <v>0</v>
      </c>
      <c r="S63" s="35">
        <v>0</v>
      </c>
      <c r="T63" s="4">
        <f t="shared" si="24"/>
        <v>1</v>
      </c>
      <c r="U63" s="11">
        <v>35</v>
      </c>
      <c r="V63" s="35">
        <v>4.5</v>
      </c>
      <c r="W63" s="35">
        <v>4.7</v>
      </c>
      <c r="X63" s="4">
        <f t="shared" si="25"/>
        <v>1.0444444444444445</v>
      </c>
      <c r="Y63" s="11">
        <v>15</v>
      </c>
      <c r="Z63" s="11" t="s">
        <v>385</v>
      </c>
      <c r="AA63" s="11" t="s">
        <v>385</v>
      </c>
      <c r="AB63" s="11" t="s">
        <v>385</v>
      </c>
      <c r="AC63" s="11" t="s">
        <v>385</v>
      </c>
      <c r="AD63" s="11">
        <v>29</v>
      </c>
      <c r="AE63" s="11">
        <v>29</v>
      </c>
      <c r="AF63" s="4">
        <f t="shared" si="26"/>
        <v>1</v>
      </c>
      <c r="AG63" s="11">
        <v>20</v>
      </c>
      <c r="AH63" s="5" t="s">
        <v>362</v>
      </c>
      <c r="AI63" s="5" t="s">
        <v>362</v>
      </c>
      <c r="AJ63" s="5" t="s">
        <v>362</v>
      </c>
      <c r="AK63" s="5" t="s">
        <v>362</v>
      </c>
      <c r="AL63" s="5" t="s">
        <v>362</v>
      </c>
      <c r="AM63" s="5" t="s">
        <v>362</v>
      </c>
      <c r="AN63" s="5" t="s">
        <v>362</v>
      </c>
      <c r="AO63" s="5" t="s">
        <v>362</v>
      </c>
      <c r="AP63" s="44">
        <f t="shared" si="33"/>
        <v>0.84745072256384479</v>
      </c>
      <c r="AQ63" s="45">
        <v>775</v>
      </c>
      <c r="AR63" s="35">
        <f t="shared" si="34"/>
        <v>211.36363636363637</v>
      </c>
      <c r="AS63" s="35">
        <f t="shared" si="27"/>
        <v>179.1</v>
      </c>
      <c r="AT63" s="35">
        <f t="shared" si="28"/>
        <v>-32.26363636363638</v>
      </c>
      <c r="AU63" s="35">
        <v>56.4</v>
      </c>
      <c r="AV63" s="35">
        <v>55.4</v>
      </c>
      <c r="AW63" s="35">
        <f t="shared" si="29"/>
        <v>67.3</v>
      </c>
      <c r="AX63" s="35"/>
      <c r="AY63" s="35">
        <f t="shared" si="30"/>
        <v>67.3</v>
      </c>
      <c r="AZ63" s="35">
        <v>0</v>
      </c>
      <c r="BA63" s="35">
        <f t="shared" si="31"/>
        <v>67.3</v>
      </c>
      <c r="BB63" s="35"/>
      <c r="BC63" s="35">
        <f t="shared" si="32"/>
        <v>67.3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10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10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10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10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10"/>
      <c r="GZ63" s="9"/>
      <c r="HA63" s="9"/>
    </row>
    <row r="64" spans="1:209" s="2" customFormat="1" ht="17" customHeight="1">
      <c r="A64" s="14" t="s">
        <v>63</v>
      </c>
      <c r="B64" s="35">
        <v>3400</v>
      </c>
      <c r="C64" s="35">
        <v>503</v>
      </c>
      <c r="D64" s="4">
        <f t="shared" si="22"/>
        <v>0.14794117647058824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647.6</v>
      </c>
      <c r="O64" s="35">
        <v>407.2</v>
      </c>
      <c r="P64" s="4">
        <f t="shared" si="23"/>
        <v>0.62878319950586781</v>
      </c>
      <c r="Q64" s="11">
        <v>20</v>
      </c>
      <c r="R64" s="35">
        <v>36</v>
      </c>
      <c r="S64" s="35">
        <v>36.9</v>
      </c>
      <c r="T64" s="4">
        <f t="shared" si="24"/>
        <v>1.0249999999999999</v>
      </c>
      <c r="U64" s="11">
        <v>25</v>
      </c>
      <c r="V64" s="35">
        <v>27</v>
      </c>
      <c r="W64" s="35">
        <v>27.4</v>
      </c>
      <c r="X64" s="4">
        <f t="shared" si="25"/>
        <v>1.0148148148148148</v>
      </c>
      <c r="Y64" s="11">
        <v>25</v>
      </c>
      <c r="Z64" s="11" t="s">
        <v>385</v>
      </c>
      <c r="AA64" s="11" t="s">
        <v>385</v>
      </c>
      <c r="AB64" s="11" t="s">
        <v>385</v>
      </c>
      <c r="AC64" s="11" t="s">
        <v>385</v>
      </c>
      <c r="AD64" s="11">
        <v>581</v>
      </c>
      <c r="AE64" s="11">
        <v>620</v>
      </c>
      <c r="AF64" s="4">
        <f t="shared" si="26"/>
        <v>1.0671256454388984</v>
      </c>
      <c r="AG64" s="11">
        <v>20</v>
      </c>
      <c r="AH64" s="5" t="s">
        <v>362</v>
      </c>
      <c r="AI64" s="5" t="s">
        <v>362</v>
      </c>
      <c r="AJ64" s="5" t="s">
        <v>362</v>
      </c>
      <c r="AK64" s="5" t="s">
        <v>362</v>
      </c>
      <c r="AL64" s="5" t="s">
        <v>362</v>
      </c>
      <c r="AM64" s="5" t="s">
        <v>362</v>
      </c>
      <c r="AN64" s="5" t="s">
        <v>362</v>
      </c>
      <c r="AO64" s="5" t="s">
        <v>362</v>
      </c>
      <c r="AP64" s="44">
        <f t="shared" si="33"/>
        <v>0.86392959033971584</v>
      </c>
      <c r="AQ64" s="45">
        <v>847</v>
      </c>
      <c r="AR64" s="35">
        <f t="shared" si="34"/>
        <v>231</v>
      </c>
      <c r="AS64" s="35">
        <f t="shared" si="27"/>
        <v>199.6</v>
      </c>
      <c r="AT64" s="35">
        <f t="shared" si="28"/>
        <v>-31.400000000000006</v>
      </c>
      <c r="AU64" s="35">
        <v>57.5</v>
      </c>
      <c r="AV64" s="35">
        <v>64</v>
      </c>
      <c r="AW64" s="35">
        <f t="shared" si="29"/>
        <v>78.099999999999994</v>
      </c>
      <c r="AX64" s="35"/>
      <c r="AY64" s="35">
        <f t="shared" si="30"/>
        <v>78.099999999999994</v>
      </c>
      <c r="AZ64" s="35">
        <v>0</v>
      </c>
      <c r="BA64" s="35">
        <f t="shared" si="31"/>
        <v>78.099999999999994</v>
      </c>
      <c r="BB64" s="35">
        <f>MIN(BA64,38.5)</f>
        <v>38.5</v>
      </c>
      <c r="BC64" s="35">
        <f t="shared" si="32"/>
        <v>39.6</v>
      </c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10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10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10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10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10"/>
      <c r="GZ64" s="9"/>
      <c r="HA64" s="9"/>
    </row>
    <row r="65" spans="1:209" s="2" customFormat="1" ht="17" customHeight="1">
      <c r="A65" s="18" t="s">
        <v>64</v>
      </c>
      <c r="B65" s="6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35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10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10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10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10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10"/>
      <c r="GZ65" s="9"/>
      <c r="HA65" s="9"/>
    </row>
    <row r="66" spans="1:209" s="2" customFormat="1" ht="17" customHeight="1">
      <c r="A66" s="14" t="s">
        <v>65</v>
      </c>
      <c r="B66" s="35">
        <v>0</v>
      </c>
      <c r="C66" s="35">
        <v>3</v>
      </c>
      <c r="D66" s="4">
        <f t="shared" si="22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1111.5</v>
      </c>
      <c r="O66" s="35">
        <v>444.9</v>
      </c>
      <c r="P66" s="4">
        <f t="shared" si="23"/>
        <v>0.40026990553306341</v>
      </c>
      <c r="Q66" s="11">
        <v>20</v>
      </c>
      <c r="R66" s="35">
        <v>2514.4</v>
      </c>
      <c r="S66" s="35">
        <v>2514.6</v>
      </c>
      <c r="T66" s="4">
        <f t="shared" si="24"/>
        <v>1.0000795418390072</v>
      </c>
      <c r="U66" s="11">
        <v>30</v>
      </c>
      <c r="V66" s="35">
        <v>8.1999999999999993</v>
      </c>
      <c r="W66" s="35">
        <v>8.9</v>
      </c>
      <c r="X66" s="4">
        <f t="shared" si="25"/>
        <v>1.0853658536585367</v>
      </c>
      <c r="Y66" s="11">
        <v>20</v>
      </c>
      <c r="Z66" s="11" t="s">
        <v>385</v>
      </c>
      <c r="AA66" s="11" t="s">
        <v>385</v>
      </c>
      <c r="AB66" s="11" t="s">
        <v>385</v>
      </c>
      <c r="AC66" s="11" t="s">
        <v>385</v>
      </c>
      <c r="AD66" s="11">
        <v>1850</v>
      </c>
      <c r="AE66" s="11">
        <v>2001</v>
      </c>
      <c r="AF66" s="4">
        <f t="shared" si="26"/>
        <v>1.0816216216216217</v>
      </c>
      <c r="AG66" s="11">
        <v>20</v>
      </c>
      <c r="AH66" s="5" t="s">
        <v>362</v>
      </c>
      <c r="AI66" s="5" t="s">
        <v>362</v>
      </c>
      <c r="AJ66" s="5" t="s">
        <v>362</v>
      </c>
      <c r="AK66" s="5" t="s">
        <v>362</v>
      </c>
      <c r="AL66" s="5" t="s">
        <v>362</v>
      </c>
      <c r="AM66" s="5" t="s">
        <v>362</v>
      </c>
      <c r="AN66" s="5" t="s">
        <v>362</v>
      </c>
      <c r="AO66" s="5" t="s">
        <v>362</v>
      </c>
      <c r="AP66" s="44">
        <f t="shared" si="33"/>
        <v>0.9134753387143465</v>
      </c>
      <c r="AQ66" s="45">
        <v>2206</v>
      </c>
      <c r="AR66" s="35">
        <f t="shared" si="34"/>
        <v>601.63636363636363</v>
      </c>
      <c r="AS66" s="35">
        <f t="shared" si="27"/>
        <v>549.6</v>
      </c>
      <c r="AT66" s="35">
        <f t="shared" si="28"/>
        <v>-52.036363636363603</v>
      </c>
      <c r="AU66" s="35">
        <v>188</v>
      </c>
      <c r="AV66" s="35">
        <v>192.2</v>
      </c>
      <c r="AW66" s="35">
        <f t="shared" si="29"/>
        <v>169.4</v>
      </c>
      <c r="AX66" s="35"/>
      <c r="AY66" s="35">
        <f t="shared" si="30"/>
        <v>169.4</v>
      </c>
      <c r="AZ66" s="35">
        <v>0</v>
      </c>
      <c r="BA66" s="35">
        <f t="shared" si="31"/>
        <v>169.4</v>
      </c>
      <c r="BB66" s="35"/>
      <c r="BC66" s="35">
        <f t="shared" si="32"/>
        <v>169.4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10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10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10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10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10"/>
      <c r="GZ66" s="9"/>
      <c r="HA66" s="9"/>
    </row>
    <row r="67" spans="1:209" s="2" customFormat="1" ht="17" customHeight="1">
      <c r="A67" s="14" t="s">
        <v>66</v>
      </c>
      <c r="B67" s="35">
        <v>46524</v>
      </c>
      <c r="C67" s="35">
        <v>49021.599999999999</v>
      </c>
      <c r="D67" s="4">
        <f t="shared" si="22"/>
        <v>1.0536841200240736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3082.6</v>
      </c>
      <c r="O67" s="35">
        <v>3363.5</v>
      </c>
      <c r="P67" s="4">
        <f t="shared" si="23"/>
        <v>1.0911243755271525</v>
      </c>
      <c r="Q67" s="11">
        <v>20</v>
      </c>
      <c r="R67" s="35">
        <v>13.5</v>
      </c>
      <c r="S67" s="35">
        <v>13.6</v>
      </c>
      <c r="T67" s="4">
        <f t="shared" si="24"/>
        <v>1.0074074074074073</v>
      </c>
      <c r="U67" s="11">
        <v>5</v>
      </c>
      <c r="V67" s="35">
        <v>402.4</v>
      </c>
      <c r="W67" s="35">
        <v>376.7</v>
      </c>
      <c r="X67" s="4">
        <f t="shared" si="25"/>
        <v>0.93613320079522866</v>
      </c>
      <c r="Y67" s="11">
        <v>45</v>
      </c>
      <c r="Z67" s="11" t="s">
        <v>385</v>
      </c>
      <c r="AA67" s="11" t="s">
        <v>385</v>
      </c>
      <c r="AB67" s="11" t="s">
        <v>385</v>
      </c>
      <c r="AC67" s="11" t="s">
        <v>385</v>
      </c>
      <c r="AD67" s="11">
        <v>360</v>
      </c>
      <c r="AE67" s="11">
        <v>289</v>
      </c>
      <c r="AF67" s="4">
        <f t="shared" si="26"/>
        <v>0.80277777777777781</v>
      </c>
      <c r="AG67" s="11">
        <v>20</v>
      </c>
      <c r="AH67" s="5" t="s">
        <v>362</v>
      </c>
      <c r="AI67" s="5" t="s">
        <v>362</v>
      </c>
      <c r="AJ67" s="5" t="s">
        <v>362</v>
      </c>
      <c r="AK67" s="5" t="s">
        <v>362</v>
      </c>
      <c r="AL67" s="5" t="s">
        <v>362</v>
      </c>
      <c r="AM67" s="5" t="s">
        <v>362</v>
      </c>
      <c r="AN67" s="5" t="s">
        <v>362</v>
      </c>
      <c r="AO67" s="5" t="s">
        <v>362</v>
      </c>
      <c r="AP67" s="44">
        <f t="shared" si="33"/>
        <v>0.95577915339161668</v>
      </c>
      <c r="AQ67" s="45">
        <v>2564</v>
      </c>
      <c r="AR67" s="35">
        <f t="shared" si="34"/>
        <v>699.27272727272725</v>
      </c>
      <c r="AS67" s="35">
        <f t="shared" si="27"/>
        <v>668.4</v>
      </c>
      <c r="AT67" s="35">
        <f t="shared" si="28"/>
        <v>-30.872727272727275</v>
      </c>
      <c r="AU67" s="35">
        <v>256.3</v>
      </c>
      <c r="AV67" s="35">
        <v>260.7</v>
      </c>
      <c r="AW67" s="35">
        <f t="shared" si="29"/>
        <v>151.4</v>
      </c>
      <c r="AX67" s="35"/>
      <c r="AY67" s="35">
        <f t="shared" si="30"/>
        <v>151.4</v>
      </c>
      <c r="AZ67" s="35">
        <v>0</v>
      </c>
      <c r="BA67" s="35">
        <f t="shared" si="31"/>
        <v>151.4</v>
      </c>
      <c r="BB67" s="35">
        <f>MIN(BA67,116.5)</f>
        <v>116.5</v>
      </c>
      <c r="BC67" s="35">
        <f t="shared" si="32"/>
        <v>34.9</v>
      </c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10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10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10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10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10"/>
      <c r="GZ67" s="9"/>
      <c r="HA67" s="9"/>
    </row>
    <row r="68" spans="1:209" s="2" customFormat="1" ht="17" customHeight="1">
      <c r="A68" s="14" t="s">
        <v>67</v>
      </c>
      <c r="B68" s="35">
        <v>0</v>
      </c>
      <c r="C68" s="35">
        <v>862.3</v>
      </c>
      <c r="D68" s="4">
        <f t="shared" si="22"/>
        <v>1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458.2</v>
      </c>
      <c r="O68" s="35">
        <v>403.7</v>
      </c>
      <c r="P68" s="4">
        <f t="shared" si="23"/>
        <v>0.88105630728939333</v>
      </c>
      <c r="Q68" s="11">
        <v>20</v>
      </c>
      <c r="R68" s="35">
        <v>81.099999999999994</v>
      </c>
      <c r="S68" s="35">
        <v>86.2</v>
      </c>
      <c r="T68" s="4">
        <f t="shared" si="24"/>
        <v>1.0628853267570901</v>
      </c>
      <c r="U68" s="11">
        <v>20</v>
      </c>
      <c r="V68" s="35">
        <v>41.3</v>
      </c>
      <c r="W68" s="35">
        <v>45.6</v>
      </c>
      <c r="X68" s="4">
        <f t="shared" si="25"/>
        <v>1.1041162227602908</v>
      </c>
      <c r="Y68" s="11">
        <v>30</v>
      </c>
      <c r="Z68" s="11" t="s">
        <v>385</v>
      </c>
      <c r="AA68" s="11" t="s">
        <v>385</v>
      </c>
      <c r="AB68" s="11" t="s">
        <v>385</v>
      </c>
      <c r="AC68" s="11" t="s">
        <v>385</v>
      </c>
      <c r="AD68" s="11">
        <v>160</v>
      </c>
      <c r="AE68" s="11">
        <v>170</v>
      </c>
      <c r="AF68" s="4">
        <f t="shared" si="26"/>
        <v>1.0625</v>
      </c>
      <c r="AG68" s="11">
        <v>20</v>
      </c>
      <c r="AH68" s="5" t="s">
        <v>362</v>
      </c>
      <c r="AI68" s="5" t="s">
        <v>362</v>
      </c>
      <c r="AJ68" s="5" t="s">
        <v>362</v>
      </c>
      <c r="AK68" s="5" t="s">
        <v>362</v>
      </c>
      <c r="AL68" s="5" t="s">
        <v>362</v>
      </c>
      <c r="AM68" s="5" t="s">
        <v>362</v>
      </c>
      <c r="AN68" s="5" t="s">
        <v>362</v>
      </c>
      <c r="AO68" s="5" t="s">
        <v>362</v>
      </c>
      <c r="AP68" s="44">
        <f t="shared" si="33"/>
        <v>1.032523193637384</v>
      </c>
      <c r="AQ68" s="45">
        <v>1012</v>
      </c>
      <c r="AR68" s="35">
        <f t="shared" si="34"/>
        <v>276</v>
      </c>
      <c r="AS68" s="35">
        <f t="shared" si="27"/>
        <v>285</v>
      </c>
      <c r="AT68" s="35">
        <f t="shared" si="28"/>
        <v>9</v>
      </c>
      <c r="AU68" s="35">
        <v>96.4</v>
      </c>
      <c r="AV68" s="35">
        <v>93.5</v>
      </c>
      <c r="AW68" s="35">
        <f t="shared" si="29"/>
        <v>95.1</v>
      </c>
      <c r="AX68" s="35"/>
      <c r="AY68" s="35">
        <f t="shared" si="30"/>
        <v>95.1</v>
      </c>
      <c r="AZ68" s="35">
        <v>0</v>
      </c>
      <c r="BA68" s="35">
        <f t="shared" si="31"/>
        <v>95.1</v>
      </c>
      <c r="BB68" s="35"/>
      <c r="BC68" s="35">
        <f t="shared" si="32"/>
        <v>95.1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10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10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10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10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10"/>
      <c r="GZ68" s="9"/>
      <c r="HA68" s="9"/>
    </row>
    <row r="69" spans="1:209" s="2" customFormat="1" ht="17" customHeight="1">
      <c r="A69" s="14" t="s">
        <v>68</v>
      </c>
      <c r="B69" s="35">
        <v>562925</v>
      </c>
      <c r="C69" s="35">
        <v>512537</v>
      </c>
      <c r="D69" s="4">
        <f t="shared" si="22"/>
        <v>0.91048896389394685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1674.9</v>
      </c>
      <c r="O69" s="35">
        <v>1329.8</v>
      </c>
      <c r="P69" s="4">
        <f t="shared" si="23"/>
        <v>0.79395784822974502</v>
      </c>
      <c r="Q69" s="11">
        <v>20</v>
      </c>
      <c r="R69" s="35">
        <v>11.4</v>
      </c>
      <c r="S69" s="35">
        <v>15.4</v>
      </c>
      <c r="T69" s="4">
        <f t="shared" si="24"/>
        <v>1.2150877192982457</v>
      </c>
      <c r="U69" s="11">
        <v>10</v>
      </c>
      <c r="V69" s="35">
        <v>12.7</v>
      </c>
      <c r="W69" s="35">
        <v>101.4</v>
      </c>
      <c r="X69" s="4">
        <f t="shared" si="25"/>
        <v>1.3</v>
      </c>
      <c r="Y69" s="11">
        <v>40</v>
      </c>
      <c r="Z69" s="11" t="s">
        <v>385</v>
      </c>
      <c r="AA69" s="11" t="s">
        <v>385</v>
      </c>
      <c r="AB69" s="11" t="s">
        <v>385</v>
      </c>
      <c r="AC69" s="11" t="s">
        <v>385</v>
      </c>
      <c r="AD69" s="11">
        <v>130</v>
      </c>
      <c r="AE69" s="11">
        <v>116</v>
      </c>
      <c r="AF69" s="4">
        <f t="shared" si="26"/>
        <v>0.89230769230769236</v>
      </c>
      <c r="AG69" s="11">
        <v>20</v>
      </c>
      <c r="AH69" s="5" t="s">
        <v>362</v>
      </c>
      <c r="AI69" s="5" t="s">
        <v>362</v>
      </c>
      <c r="AJ69" s="5" t="s">
        <v>362</v>
      </c>
      <c r="AK69" s="5" t="s">
        <v>362</v>
      </c>
      <c r="AL69" s="5" t="s">
        <v>362</v>
      </c>
      <c r="AM69" s="5" t="s">
        <v>362</v>
      </c>
      <c r="AN69" s="5" t="s">
        <v>362</v>
      </c>
      <c r="AO69" s="5" t="s">
        <v>362</v>
      </c>
      <c r="AP69" s="44">
        <f t="shared" si="33"/>
        <v>1.0698107764267066</v>
      </c>
      <c r="AQ69" s="45">
        <v>1599</v>
      </c>
      <c r="AR69" s="35">
        <f t="shared" si="34"/>
        <v>436.09090909090912</v>
      </c>
      <c r="AS69" s="35">
        <f t="shared" si="27"/>
        <v>466.5</v>
      </c>
      <c r="AT69" s="35">
        <f t="shared" si="28"/>
        <v>30.409090909090878</v>
      </c>
      <c r="AU69" s="35">
        <v>159.6</v>
      </c>
      <c r="AV69" s="35">
        <v>147.19999999999999</v>
      </c>
      <c r="AW69" s="35">
        <f t="shared" si="29"/>
        <v>159.69999999999999</v>
      </c>
      <c r="AX69" s="35"/>
      <c r="AY69" s="35">
        <f t="shared" si="30"/>
        <v>159.69999999999999</v>
      </c>
      <c r="AZ69" s="35">
        <v>0</v>
      </c>
      <c r="BA69" s="35">
        <f t="shared" si="31"/>
        <v>159.69999999999999</v>
      </c>
      <c r="BB69" s="35">
        <f>MIN(BA69,13.8)</f>
        <v>13.8</v>
      </c>
      <c r="BC69" s="35">
        <f t="shared" si="32"/>
        <v>145.9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10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10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10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10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10"/>
      <c r="GZ69" s="9"/>
      <c r="HA69" s="9"/>
    </row>
    <row r="70" spans="1:209" s="2" customFormat="1" ht="17" customHeight="1">
      <c r="A70" s="14" t="s">
        <v>69</v>
      </c>
      <c r="B70" s="35">
        <v>0</v>
      </c>
      <c r="C70" s="35">
        <v>0</v>
      </c>
      <c r="D70" s="4">
        <f t="shared" si="22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389.6</v>
      </c>
      <c r="O70" s="35">
        <v>323.8</v>
      </c>
      <c r="P70" s="4">
        <f t="shared" si="23"/>
        <v>0.83110882956878851</v>
      </c>
      <c r="Q70" s="11">
        <v>20</v>
      </c>
      <c r="R70" s="35">
        <v>110.8</v>
      </c>
      <c r="S70" s="35">
        <v>113.9</v>
      </c>
      <c r="T70" s="4">
        <f t="shared" si="24"/>
        <v>1.0279783393501807</v>
      </c>
      <c r="U70" s="11">
        <v>20</v>
      </c>
      <c r="V70" s="35">
        <v>49.7</v>
      </c>
      <c r="W70" s="35">
        <v>45.3</v>
      </c>
      <c r="X70" s="4">
        <f t="shared" si="25"/>
        <v>0.91146881287726345</v>
      </c>
      <c r="Y70" s="11">
        <v>30</v>
      </c>
      <c r="Z70" s="11" t="s">
        <v>385</v>
      </c>
      <c r="AA70" s="11" t="s">
        <v>385</v>
      </c>
      <c r="AB70" s="11" t="s">
        <v>385</v>
      </c>
      <c r="AC70" s="11" t="s">
        <v>385</v>
      </c>
      <c r="AD70" s="11">
        <v>530</v>
      </c>
      <c r="AE70" s="11">
        <v>534</v>
      </c>
      <c r="AF70" s="4">
        <f t="shared" si="26"/>
        <v>1.0075471698113208</v>
      </c>
      <c r="AG70" s="11">
        <v>20</v>
      </c>
      <c r="AH70" s="5" t="s">
        <v>362</v>
      </c>
      <c r="AI70" s="5" t="s">
        <v>362</v>
      </c>
      <c r="AJ70" s="5" t="s">
        <v>362</v>
      </c>
      <c r="AK70" s="5" t="s">
        <v>362</v>
      </c>
      <c r="AL70" s="5" t="s">
        <v>362</v>
      </c>
      <c r="AM70" s="5" t="s">
        <v>362</v>
      </c>
      <c r="AN70" s="5" t="s">
        <v>362</v>
      </c>
      <c r="AO70" s="5" t="s">
        <v>362</v>
      </c>
      <c r="AP70" s="44">
        <f t="shared" si="33"/>
        <v>0.94085279067692984</v>
      </c>
      <c r="AQ70" s="45">
        <v>1641</v>
      </c>
      <c r="AR70" s="35">
        <f t="shared" si="34"/>
        <v>447.54545454545456</v>
      </c>
      <c r="AS70" s="35">
        <f t="shared" si="27"/>
        <v>421.1</v>
      </c>
      <c r="AT70" s="35">
        <f t="shared" si="28"/>
        <v>-26.445454545454538</v>
      </c>
      <c r="AU70" s="35">
        <v>98.7</v>
      </c>
      <c r="AV70" s="35">
        <v>130.4</v>
      </c>
      <c r="AW70" s="35">
        <f t="shared" si="29"/>
        <v>192</v>
      </c>
      <c r="AX70" s="35"/>
      <c r="AY70" s="35">
        <f t="shared" si="30"/>
        <v>192</v>
      </c>
      <c r="AZ70" s="35">
        <v>0</v>
      </c>
      <c r="BA70" s="35">
        <f t="shared" si="31"/>
        <v>192</v>
      </c>
      <c r="BB70" s="35"/>
      <c r="BC70" s="35">
        <f t="shared" si="32"/>
        <v>192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10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10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10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10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10"/>
      <c r="GZ70" s="9"/>
      <c r="HA70" s="9"/>
    </row>
    <row r="71" spans="1:209" s="2" customFormat="1" ht="17" customHeight="1">
      <c r="A71" s="18" t="s">
        <v>70</v>
      </c>
      <c r="B71" s="6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35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10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10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10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10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10"/>
      <c r="GZ71" s="9"/>
      <c r="HA71" s="9"/>
    </row>
    <row r="72" spans="1:209" s="2" customFormat="1" ht="17" customHeight="1">
      <c r="A72" s="14" t="s">
        <v>71</v>
      </c>
      <c r="B72" s="35">
        <v>2910</v>
      </c>
      <c r="C72" s="35">
        <v>2713.8</v>
      </c>
      <c r="D72" s="4">
        <f t="shared" si="22"/>
        <v>0.93257731958762891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648.6</v>
      </c>
      <c r="O72" s="35">
        <v>416.9</v>
      </c>
      <c r="P72" s="4">
        <f t="shared" si="23"/>
        <v>0.64276904101140908</v>
      </c>
      <c r="Q72" s="11">
        <v>20</v>
      </c>
      <c r="R72" s="35">
        <v>150</v>
      </c>
      <c r="S72" s="35">
        <v>152.1</v>
      </c>
      <c r="T72" s="4">
        <f t="shared" si="24"/>
        <v>1.014</v>
      </c>
      <c r="U72" s="11">
        <v>30</v>
      </c>
      <c r="V72" s="35">
        <v>8</v>
      </c>
      <c r="W72" s="35">
        <v>8.1999999999999993</v>
      </c>
      <c r="X72" s="4">
        <f t="shared" si="25"/>
        <v>1.0249999999999999</v>
      </c>
      <c r="Y72" s="11">
        <v>20</v>
      </c>
      <c r="Z72" s="11" t="s">
        <v>385</v>
      </c>
      <c r="AA72" s="11" t="s">
        <v>385</v>
      </c>
      <c r="AB72" s="11" t="s">
        <v>385</v>
      </c>
      <c r="AC72" s="11" t="s">
        <v>385</v>
      </c>
      <c r="AD72" s="11">
        <v>318</v>
      </c>
      <c r="AE72" s="11">
        <v>318</v>
      </c>
      <c r="AF72" s="4">
        <f t="shared" si="26"/>
        <v>1</v>
      </c>
      <c r="AG72" s="11">
        <v>20</v>
      </c>
      <c r="AH72" s="5" t="s">
        <v>362</v>
      </c>
      <c r="AI72" s="5" t="s">
        <v>362</v>
      </c>
      <c r="AJ72" s="5" t="s">
        <v>362</v>
      </c>
      <c r="AK72" s="5" t="s">
        <v>362</v>
      </c>
      <c r="AL72" s="5" t="s">
        <v>362</v>
      </c>
      <c r="AM72" s="5" t="s">
        <v>362</v>
      </c>
      <c r="AN72" s="5" t="s">
        <v>362</v>
      </c>
      <c r="AO72" s="5" t="s">
        <v>362</v>
      </c>
      <c r="AP72" s="44">
        <f t="shared" si="33"/>
        <v>0.9310115401610447</v>
      </c>
      <c r="AQ72" s="45">
        <v>447</v>
      </c>
      <c r="AR72" s="35">
        <f t="shared" si="34"/>
        <v>121.90909090909091</v>
      </c>
      <c r="AS72" s="35">
        <f t="shared" si="27"/>
        <v>113.5</v>
      </c>
      <c r="AT72" s="35">
        <f t="shared" si="28"/>
        <v>-8.4090909090909065</v>
      </c>
      <c r="AU72" s="35">
        <v>35.700000000000003</v>
      </c>
      <c r="AV72" s="35">
        <v>33.299999999999997</v>
      </c>
      <c r="AW72" s="35">
        <f t="shared" si="29"/>
        <v>44.5</v>
      </c>
      <c r="AX72" s="35"/>
      <c r="AY72" s="35">
        <f t="shared" si="30"/>
        <v>44.5</v>
      </c>
      <c r="AZ72" s="35">
        <v>0</v>
      </c>
      <c r="BA72" s="35">
        <f t="shared" si="31"/>
        <v>44.5</v>
      </c>
      <c r="BB72" s="35"/>
      <c r="BC72" s="35">
        <f t="shared" si="32"/>
        <v>44.5</v>
      </c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10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10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10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10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10"/>
      <c r="GZ72" s="9"/>
      <c r="HA72" s="9"/>
    </row>
    <row r="73" spans="1:209" s="2" customFormat="1" ht="17" customHeight="1">
      <c r="A73" s="14" t="s">
        <v>72</v>
      </c>
      <c r="B73" s="35">
        <v>47357</v>
      </c>
      <c r="C73" s="35">
        <v>50181.9</v>
      </c>
      <c r="D73" s="4">
        <f t="shared" si="22"/>
        <v>1.0596511603353254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3421</v>
      </c>
      <c r="O73" s="35">
        <v>3930.1</v>
      </c>
      <c r="P73" s="4">
        <f t="shared" si="23"/>
        <v>1.1488161356328559</v>
      </c>
      <c r="Q73" s="11">
        <v>20</v>
      </c>
      <c r="R73" s="35">
        <v>48</v>
      </c>
      <c r="S73" s="35">
        <v>49.4</v>
      </c>
      <c r="T73" s="4">
        <f t="shared" si="24"/>
        <v>1.0291666666666666</v>
      </c>
      <c r="U73" s="11">
        <v>20</v>
      </c>
      <c r="V73" s="35">
        <v>57</v>
      </c>
      <c r="W73" s="35">
        <v>66.900000000000006</v>
      </c>
      <c r="X73" s="4">
        <f t="shared" si="25"/>
        <v>1.1736842105263159</v>
      </c>
      <c r="Y73" s="11">
        <v>30</v>
      </c>
      <c r="Z73" s="11" t="s">
        <v>385</v>
      </c>
      <c r="AA73" s="11" t="s">
        <v>385</v>
      </c>
      <c r="AB73" s="11" t="s">
        <v>385</v>
      </c>
      <c r="AC73" s="11" t="s">
        <v>385</v>
      </c>
      <c r="AD73" s="11">
        <v>762</v>
      </c>
      <c r="AE73" s="11">
        <v>764</v>
      </c>
      <c r="AF73" s="4">
        <f t="shared" si="26"/>
        <v>1.0026246719160106</v>
      </c>
      <c r="AG73" s="11">
        <v>20</v>
      </c>
      <c r="AH73" s="5" t="s">
        <v>362</v>
      </c>
      <c r="AI73" s="5" t="s">
        <v>362</v>
      </c>
      <c r="AJ73" s="5" t="s">
        <v>362</v>
      </c>
      <c r="AK73" s="5" t="s">
        <v>362</v>
      </c>
      <c r="AL73" s="5" t="s">
        <v>362</v>
      </c>
      <c r="AM73" s="5" t="s">
        <v>362</v>
      </c>
      <c r="AN73" s="5" t="s">
        <v>362</v>
      </c>
      <c r="AO73" s="5" t="s">
        <v>362</v>
      </c>
      <c r="AP73" s="44">
        <f t="shared" si="33"/>
        <v>1.094191874034534</v>
      </c>
      <c r="AQ73" s="45">
        <v>937</v>
      </c>
      <c r="AR73" s="35">
        <f t="shared" si="34"/>
        <v>255.54545454545456</v>
      </c>
      <c r="AS73" s="35">
        <f t="shared" si="27"/>
        <v>279.60000000000002</v>
      </c>
      <c r="AT73" s="35">
        <f t="shared" si="28"/>
        <v>24.054545454545462</v>
      </c>
      <c r="AU73" s="35">
        <v>91.9</v>
      </c>
      <c r="AV73" s="35">
        <v>87.8</v>
      </c>
      <c r="AW73" s="35">
        <f t="shared" si="29"/>
        <v>99.9</v>
      </c>
      <c r="AX73" s="35"/>
      <c r="AY73" s="35">
        <f t="shared" si="30"/>
        <v>99.9</v>
      </c>
      <c r="AZ73" s="35">
        <v>0</v>
      </c>
      <c r="BA73" s="35">
        <f t="shared" si="31"/>
        <v>99.9</v>
      </c>
      <c r="BB73" s="35">
        <f>MIN(BA73,42.6)</f>
        <v>42.6</v>
      </c>
      <c r="BC73" s="35">
        <f t="shared" si="32"/>
        <v>57.3</v>
      </c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10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10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10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10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10"/>
      <c r="GZ73" s="9"/>
      <c r="HA73" s="9"/>
    </row>
    <row r="74" spans="1:209" s="2" customFormat="1" ht="17" customHeight="1">
      <c r="A74" s="14" t="s">
        <v>73</v>
      </c>
      <c r="B74" s="35">
        <v>394</v>
      </c>
      <c r="C74" s="35">
        <v>521.4</v>
      </c>
      <c r="D74" s="4">
        <f t="shared" si="22"/>
        <v>1.2123350253807106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221.3</v>
      </c>
      <c r="O74" s="35">
        <v>86.5</v>
      </c>
      <c r="P74" s="4">
        <f t="shared" si="23"/>
        <v>0.39087211929507454</v>
      </c>
      <c r="Q74" s="11">
        <v>20</v>
      </c>
      <c r="R74" s="35">
        <v>43</v>
      </c>
      <c r="S74" s="35">
        <v>55.8</v>
      </c>
      <c r="T74" s="4">
        <f t="shared" si="24"/>
        <v>1.2097674418604651</v>
      </c>
      <c r="U74" s="11">
        <v>25</v>
      </c>
      <c r="V74" s="35">
        <v>4</v>
      </c>
      <c r="W74" s="35">
        <v>4.3</v>
      </c>
      <c r="X74" s="4">
        <f t="shared" si="25"/>
        <v>1.075</v>
      </c>
      <c r="Y74" s="11">
        <v>25</v>
      </c>
      <c r="Z74" s="11" t="s">
        <v>385</v>
      </c>
      <c r="AA74" s="11" t="s">
        <v>385</v>
      </c>
      <c r="AB74" s="11" t="s">
        <v>385</v>
      </c>
      <c r="AC74" s="11" t="s">
        <v>385</v>
      </c>
      <c r="AD74" s="11">
        <v>107</v>
      </c>
      <c r="AE74" s="11">
        <v>107</v>
      </c>
      <c r="AF74" s="4">
        <f t="shared" si="26"/>
        <v>1</v>
      </c>
      <c r="AG74" s="11">
        <v>20</v>
      </c>
      <c r="AH74" s="5" t="s">
        <v>362</v>
      </c>
      <c r="AI74" s="5" t="s">
        <v>362</v>
      </c>
      <c r="AJ74" s="5" t="s">
        <v>362</v>
      </c>
      <c r="AK74" s="5" t="s">
        <v>362</v>
      </c>
      <c r="AL74" s="5" t="s">
        <v>362</v>
      </c>
      <c r="AM74" s="5" t="s">
        <v>362</v>
      </c>
      <c r="AN74" s="5" t="s">
        <v>362</v>
      </c>
      <c r="AO74" s="5" t="s">
        <v>362</v>
      </c>
      <c r="AP74" s="44">
        <f t="shared" si="33"/>
        <v>0.97059978686220238</v>
      </c>
      <c r="AQ74" s="45">
        <v>302</v>
      </c>
      <c r="AR74" s="35">
        <f t="shared" si="34"/>
        <v>82.36363636363636</v>
      </c>
      <c r="AS74" s="35">
        <f t="shared" si="27"/>
        <v>79.900000000000006</v>
      </c>
      <c r="AT74" s="35">
        <f t="shared" si="28"/>
        <v>-2.4636363636363541</v>
      </c>
      <c r="AU74" s="35">
        <v>24.9</v>
      </c>
      <c r="AV74" s="35">
        <v>25.5</v>
      </c>
      <c r="AW74" s="35">
        <f t="shared" si="29"/>
        <v>29.5</v>
      </c>
      <c r="AX74" s="35"/>
      <c r="AY74" s="35">
        <f t="shared" si="30"/>
        <v>29.5</v>
      </c>
      <c r="AZ74" s="35">
        <v>0</v>
      </c>
      <c r="BA74" s="35">
        <f t="shared" si="31"/>
        <v>29.5</v>
      </c>
      <c r="BB74" s="35">
        <f>MIN(BA74,13.7)</f>
        <v>13.7</v>
      </c>
      <c r="BC74" s="35">
        <f t="shared" si="32"/>
        <v>15.8</v>
      </c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10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10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10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10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10"/>
      <c r="GZ74" s="9"/>
      <c r="HA74" s="9"/>
    </row>
    <row r="75" spans="1:209" s="2" customFormat="1" ht="17" customHeight="1">
      <c r="A75" s="14" t="s">
        <v>74</v>
      </c>
      <c r="B75" s="35">
        <v>1716</v>
      </c>
      <c r="C75" s="35">
        <v>1852.6</v>
      </c>
      <c r="D75" s="4">
        <f t="shared" si="22"/>
        <v>1.0796037296037295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311.10000000000002</v>
      </c>
      <c r="O75" s="35">
        <v>481</v>
      </c>
      <c r="P75" s="4">
        <f t="shared" si="23"/>
        <v>1.2346126647380262</v>
      </c>
      <c r="Q75" s="11">
        <v>20</v>
      </c>
      <c r="R75" s="35">
        <v>48</v>
      </c>
      <c r="S75" s="35">
        <v>54.2</v>
      </c>
      <c r="T75" s="4">
        <f t="shared" si="24"/>
        <v>1.1291666666666667</v>
      </c>
      <c r="U75" s="11">
        <v>30</v>
      </c>
      <c r="V75" s="35">
        <v>9</v>
      </c>
      <c r="W75" s="35">
        <v>10.5</v>
      </c>
      <c r="X75" s="4">
        <f t="shared" si="25"/>
        <v>1.1666666666666667</v>
      </c>
      <c r="Y75" s="11">
        <v>20</v>
      </c>
      <c r="Z75" s="11" t="s">
        <v>385</v>
      </c>
      <c r="AA75" s="11" t="s">
        <v>385</v>
      </c>
      <c r="AB75" s="11" t="s">
        <v>385</v>
      </c>
      <c r="AC75" s="11" t="s">
        <v>385</v>
      </c>
      <c r="AD75" s="11">
        <v>606</v>
      </c>
      <c r="AE75" s="11">
        <v>616</v>
      </c>
      <c r="AF75" s="4">
        <f t="shared" si="26"/>
        <v>1.0165016501650166</v>
      </c>
      <c r="AG75" s="11">
        <v>20</v>
      </c>
      <c r="AH75" s="5" t="s">
        <v>362</v>
      </c>
      <c r="AI75" s="5" t="s">
        <v>362</v>
      </c>
      <c r="AJ75" s="5" t="s">
        <v>362</v>
      </c>
      <c r="AK75" s="5" t="s">
        <v>362</v>
      </c>
      <c r="AL75" s="5" t="s">
        <v>362</v>
      </c>
      <c r="AM75" s="5" t="s">
        <v>362</v>
      </c>
      <c r="AN75" s="5" t="s">
        <v>362</v>
      </c>
      <c r="AO75" s="5" t="s">
        <v>362</v>
      </c>
      <c r="AP75" s="44">
        <f t="shared" si="33"/>
        <v>1.1302665692743148</v>
      </c>
      <c r="AQ75" s="45">
        <v>790</v>
      </c>
      <c r="AR75" s="35">
        <f t="shared" si="34"/>
        <v>215.45454545454544</v>
      </c>
      <c r="AS75" s="35">
        <f t="shared" si="27"/>
        <v>243.5</v>
      </c>
      <c r="AT75" s="35">
        <f t="shared" si="28"/>
        <v>28.045454545454561</v>
      </c>
      <c r="AU75" s="35">
        <v>69</v>
      </c>
      <c r="AV75" s="35">
        <v>79.5</v>
      </c>
      <c r="AW75" s="35">
        <f t="shared" si="29"/>
        <v>95</v>
      </c>
      <c r="AX75" s="35"/>
      <c r="AY75" s="35">
        <f t="shared" si="30"/>
        <v>95</v>
      </c>
      <c r="AZ75" s="35">
        <v>0</v>
      </c>
      <c r="BA75" s="35">
        <f t="shared" si="31"/>
        <v>95</v>
      </c>
      <c r="BB75" s="35"/>
      <c r="BC75" s="35">
        <f t="shared" si="32"/>
        <v>95</v>
      </c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10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10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10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10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10"/>
      <c r="GZ75" s="9"/>
      <c r="HA75" s="9"/>
    </row>
    <row r="76" spans="1:209" s="2" customFormat="1" ht="17" customHeight="1">
      <c r="A76" s="14" t="s">
        <v>75</v>
      </c>
      <c r="B76" s="35">
        <v>748</v>
      </c>
      <c r="C76" s="35">
        <v>753.4</v>
      </c>
      <c r="D76" s="4">
        <f t="shared" si="22"/>
        <v>1.0072192513368983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485.4</v>
      </c>
      <c r="O76" s="35">
        <v>623.6</v>
      </c>
      <c r="P76" s="4">
        <f t="shared" si="23"/>
        <v>1.2084713638236506</v>
      </c>
      <c r="Q76" s="11">
        <v>20</v>
      </c>
      <c r="R76" s="35">
        <v>37</v>
      </c>
      <c r="S76" s="35">
        <v>39.200000000000003</v>
      </c>
      <c r="T76" s="4">
        <f t="shared" si="24"/>
        <v>1.0594594594594595</v>
      </c>
      <c r="U76" s="11">
        <v>30</v>
      </c>
      <c r="V76" s="35">
        <v>7</v>
      </c>
      <c r="W76" s="35">
        <v>7.4</v>
      </c>
      <c r="X76" s="4">
        <f t="shared" si="25"/>
        <v>1.0571428571428572</v>
      </c>
      <c r="Y76" s="11">
        <v>20</v>
      </c>
      <c r="Z76" s="11" t="s">
        <v>385</v>
      </c>
      <c r="AA76" s="11" t="s">
        <v>385</v>
      </c>
      <c r="AB76" s="11" t="s">
        <v>385</v>
      </c>
      <c r="AC76" s="11" t="s">
        <v>385</v>
      </c>
      <c r="AD76" s="11">
        <v>505</v>
      </c>
      <c r="AE76" s="11">
        <v>487</v>
      </c>
      <c r="AF76" s="4">
        <f t="shared" si="26"/>
        <v>0.96435643564356432</v>
      </c>
      <c r="AG76" s="11">
        <v>20</v>
      </c>
      <c r="AH76" s="5" t="s">
        <v>362</v>
      </c>
      <c r="AI76" s="5" t="s">
        <v>362</v>
      </c>
      <c r="AJ76" s="5" t="s">
        <v>362</v>
      </c>
      <c r="AK76" s="5" t="s">
        <v>362</v>
      </c>
      <c r="AL76" s="5" t="s">
        <v>362</v>
      </c>
      <c r="AM76" s="5" t="s">
        <v>362</v>
      </c>
      <c r="AN76" s="5" t="s">
        <v>362</v>
      </c>
      <c r="AO76" s="5" t="s">
        <v>362</v>
      </c>
      <c r="AP76" s="44">
        <f t="shared" si="33"/>
        <v>1.064553894293542</v>
      </c>
      <c r="AQ76" s="45">
        <v>498</v>
      </c>
      <c r="AR76" s="35">
        <f t="shared" si="34"/>
        <v>135.81818181818181</v>
      </c>
      <c r="AS76" s="35">
        <f t="shared" si="27"/>
        <v>144.6</v>
      </c>
      <c r="AT76" s="35">
        <f t="shared" si="28"/>
        <v>8.7818181818181813</v>
      </c>
      <c r="AU76" s="35">
        <v>50.1</v>
      </c>
      <c r="AV76" s="35">
        <v>39.6</v>
      </c>
      <c r="AW76" s="35">
        <f t="shared" si="29"/>
        <v>54.9</v>
      </c>
      <c r="AX76" s="35"/>
      <c r="AY76" s="35">
        <f t="shared" si="30"/>
        <v>54.9</v>
      </c>
      <c r="AZ76" s="35">
        <v>0</v>
      </c>
      <c r="BA76" s="35">
        <f t="shared" si="31"/>
        <v>54.9</v>
      </c>
      <c r="BB76" s="35"/>
      <c r="BC76" s="35">
        <f t="shared" si="32"/>
        <v>54.9</v>
      </c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10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10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10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10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10"/>
      <c r="GZ76" s="9"/>
      <c r="HA76" s="9"/>
    </row>
    <row r="77" spans="1:209" s="2" customFormat="1" ht="17" customHeight="1">
      <c r="A77" s="14" t="s">
        <v>76</v>
      </c>
      <c r="B77" s="35">
        <v>523</v>
      </c>
      <c r="C77" s="35">
        <v>445</v>
      </c>
      <c r="D77" s="4">
        <f t="shared" si="22"/>
        <v>0.85086042065009559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103</v>
      </c>
      <c r="O77" s="35">
        <v>105.5</v>
      </c>
      <c r="P77" s="4">
        <f t="shared" si="23"/>
        <v>1.0242718446601942</v>
      </c>
      <c r="Q77" s="11">
        <v>20</v>
      </c>
      <c r="R77" s="35">
        <v>315</v>
      </c>
      <c r="S77" s="35">
        <v>315.3</v>
      </c>
      <c r="T77" s="4">
        <f t="shared" si="24"/>
        <v>1.000952380952381</v>
      </c>
      <c r="U77" s="11">
        <v>30</v>
      </c>
      <c r="V77" s="35">
        <v>8</v>
      </c>
      <c r="W77" s="35">
        <v>8.4</v>
      </c>
      <c r="X77" s="4">
        <f t="shared" si="25"/>
        <v>1.05</v>
      </c>
      <c r="Y77" s="11">
        <v>20</v>
      </c>
      <c r="Z77" s="11" t="s">
        <v>385</v>
      </c>
      <c r="AA77" s="11" t="s">
        <v>385</v>
      </c>
      <c r="AB77" s="11" t="s">
        <v>385</v>
      </c>
      <c r="AC77" s="11" t="s">
        <v>385</v>
      </c>
      <c r="AD77" s="11">
        <v>690</v>
      </c>
      <c r="AE77" s="11">
        <v>706</v>
      </c>
      <c r="AF77" s="4">
        <f t="shared" si="26"/>
        <v>1.0231884057971015</v>
      </c>
      <c r="AG77" s="11">
        <v>20</v>
      </c>
      <c r="AH77" s="5" t="s">
        <v>362</v>
      </c>
      <c r="AI77" s="5" t="s">
        <v>362</v>
      </c>
      <c r="AJ77" s="5" t="s">
        <v>362</v>
      </c>
      <c r="AK77" s="5" t="s">
        <v>362</v>
      </c>
      <c r="AL77" s="5" t="s">
        <v>362</v>
      </c>
      <c r="AM77" s="5" t="s">
        <v>362</v>
      </c>
      <c r="AN77" s="5" t="s">
        <v>362</v>
      </c>
      <c r="AO77" s="5" t="s">
        <v>362</v>
      </c>
      <c r="AP77" s="44">
        <f t="shared" si="33"/>
        <v>1.0048638064421831</v>
      </c>
      <c r="AQ77" s="45">
        <v>1035</v>
      </c>
      <c r="AR77" s="35">
        <f t="shared" si="34"/>
        <v>282.27272727272725</v>
      </c>
      <c r="AS77" s="35">
        <f t="shared" si="27"/>
        <v>283.60000000000002</v>
      </c>
      <c r="AT77" s="35">
        <f t="shared" si="28"/>
        <v>1.3272727272727707</v>
      </c>
      <c r="AU77" s="35">
        <v>72.2</v>
      </c>
      <c r="AV77" s="35">
        <v>89.7</v>
      </c>
      <c r="AW77" s="35">
        <f t="shared" si="29"/>
        <v>121.7</v>
      </c>
      <c r="AX77" s="35"/>
      <c r="AY77" s="35">
        <f t="shared" si="30"/>
        <v>121.7</v>
      </c>
      <c r="AZ77" s="35">
        <v>0</v>
      </c>
      <c r="BA77" s="35">
        <f t="shared" si="31"/>
        <v>121.7</v>
      </c>
      <c r="BB77" s="35"/>
      <c r="BC77" s="35">
        <f t="shared" si="32"/>
        <v>121.7</v>
      </c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10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10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10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10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10"/>
      <c r="GZ77" s="9"/>
      <c r="HA77" s="9"/>
    </row>
    <row r="78" spans="1:209" s="2" customFormat="1" ht="17" customHeight="1">
      <c r="A78" s="14" t="s">
        <v>77</v>
      </c>
      <c r="B78" s="35">
        <v>2702</v>
      </c>
      <c r="C78" s="35">
        <v>2675</v>
      </c>
      <c r="D78" s="4">
        <f t="shared" si="22"/>
        <v>0.99000740192450032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130.6</v>
      </c>
      <c r="O78" s="35">
        <v>435.3</v>
      </c>
      <c r="P78" s="4">
        <f t="shared" si="23"/>
        <v>1.3</v>
      </c>
      <c r="Q78" s="11">
        <v>20</v>
      </c>
      <c r="R78" s="35">
        <v>22</v>
      </c>
      <c r="S78" s="35">
        <v>28.7</v>
      </c>
      <c r="T78" s="4">
        <f t="shared" si="24"/>
        <v>1.2104545454545454</v>
      </c>
      <c r="U78" s="11">
        <v>25</v>
      </c>
      <c r="V78" s="35">
        <v>6</v>
      </c>
      <c r="W78" s="35">
        <v>6.5</v>
      </c>
      <c r="X78" s="4">
        <f t="shared" si="25"/>
        <v>1.0833333333333333</v>
      </c>
      <c r="Y78" s="11">
        <v>25</v>
      </c>
      <c r="Z78" s="11" t="s">
        <v>385</v>
      </c>
      <c r="AA78" s="11" t="s">
        <v>385</v>
      </c>
      <c r="AB78" s="11" t="s">
        <v>385</v>
      </c>
      <c r="AC78" s="11" t="s">
        <v>385</v>
      </c>
      <c r="AD78" s="11">
        <v>496</v>
      </c>
      <c r="AE78" s="11">
        <v>496</v>
      </c>
      <c r="AF78" s="4">
        <f t="shared" si="26"/>
        <v>1</v>
      </c>
      <c r="AG78" s="11">
        <v>20</v>
      </c>
      <c r="AH78" s="5" t="s">
        <v>362</v>
      </c>
      <c r="AI78" s="5" t="s">
        <v>362</v>
      </c>
      <c r="AJ78" s="5" t="s">
        <v>362</v>
      </c>
      <c r="AK78" s="5" t="s">
        <v>362</v>
      </c>
      <c r="AL78" s="5" t="s">
        <v>362</v>
      </c>
      <c r="AM78" s="5" t="s">
        <v>362</v>
      </c>
      <c r="AN78" s="5" t="s">
        <v>362</v>
      </c>
      <c r="AO78" s="5" t="s">
        <v>362</v>
      </c>
      <c r="AP78" s="44">
        <f t="shared" si="33"/>
        <v>1.1324477098894197</v>
      </c>
      <c r="AQ78" s="45">
        <v>1040</v>
      </c>
      <c r="AR78" s="35">
        <f t="shared" si="34"/>
        <v>283.63636363636363</v>
      </c>
      <c r="AS78" s="35">
        <f t="shared" si="27"/>
        <v>321.2</v>
      </c>
      <c r="AT78" s="35">
        <f t="shared" si="28"/>
        <v>37.563636363636363</v>
      </c>
      <c r="AU78" s="35">
        <v>103.9</v>
      </c>
      <c r="AV78" s="35">
        <v>101.3</v>
      </c>
      <c r="AW78" s="35">
        <f t="shared" si="29"/>
        <v>116</v>
      </c>
      <c r="AX78" s="35"/>
      <c r="AY78" s="35">
        <f t="shared" si="30"/>
        <v>116</v>
      </c>
      <c r="AZ78" s="35">
        <v>0</v>
      </c>
      <c r="BA78" s="35">
        <f t="shared" si="31"/>
        <v>116</v>
      </c>
      <c r="BB78" s="35"/>
      <c r="BC78" s="35">
        <f t="shared" si="32"/>
        <v>116</v>
      </c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10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10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10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10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10"/>
      <c r="GZ78" s="9"/>
      <c r="HA78" s="9"/>
    </row>
    <row r="79" spans="1:209" s="2" customFormat="1" ht="17" customHeight="1">
      <c r="A79" s="14" t="s">
        <v>78</v>
      </c>
      <c r="B79" s="35">
        <v>2234</v>
      </c>
      <c r="C79" s="35">
        <v>2229</v>
      </c>
      <c r="D79" s="4">
        <f t="shared" si="22"/>
        <v>0.99776186213070728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548.6</v>
      </c>
      <c r="O79" s="35">
        <v>1125.4000000000001</v>
      </c>
      <c r="P79" s="4">
        <f t="shared" si="23"/>
        <v>1.2851403572730586</v>
      </c>
      <c r="Q79" s="11">
        <v>20</v>
      </c>
      <c r="R79" s="35">
        <v>48</v>
      </c>
      <c r="S79" s="35">
        <v>60.1</v>
      </c>
      <c r="T79" s="4">
        <f t="shared" si="24"/>
        <v>1.2052083333333332</v>
      </c>
      <c r="U79" s="11">
        <v>20</v>
      </c>
      <c r="V79" s="35">
        <v>30</v>
      </c>
      <c r="W79" s="35">
        <v>31.9</v>
      </c>
      <c r="X79" s="4">
        <f t="shared" si="25"/>
        <v>1.0633333333333332</v>
      </c>
      <c r="Y79" s="11">
        <v>30</v>
      </c>
      <c r="Z79" s="11" t="s">
        <v>385</v>
      </c>
      <c r="AA79" s="11" t="s">
        <v>385</v>
      </c>
      <c r="AB79" s="11" t="s">
        <v>385</v>
      </c>
      <c r="AC79" s="11" t="s">
        <v>385</v>
      </c>
      <c r="AD79" s="11">
        <v>1416</v>
      </c>
      <c r="AE79" s="11">
        <v>1406</v>
      </c>
      <c r="AF79" s="4">
        <f t="shared" si="26"/>
        <v>0.99293785310734461</v>
      </c>
      <c r="AG79" s="11">
        <v>20</v>
      </c>
      <c r="AH79" s="5" t="s">
        <v>362</v>
      </c>
      <c r="AI79" s="5" t="s">
        <v>362</v>
      </c>
      <c r="AJ79" s="5" t="s">
        <v>362</v>
      </c>
      <c r="AK79" s="5" t="s">
        <v>362</v>
      </c>
      <c r="AL79" s="5" t="s">
        <v>362</v>
      </c>
      <c r="AM79" s="5" t="s">
        <v>362</v>
      </c>
      <c r="AN79" s="5" t="s">
        <v>362</v>
      </c>
      <c r="AO79" s="5" t="s">
        <v>362</v>
      </c>
      <c r="AP79" s="44">
        <f t="shared" si="33"/>
        <v>1.115433494955818</v>
      </c>
      <c r="AQ79" s="45">
        <v>782</v>
      </c>
      <c r="AR79" s="35">
        <f t="shared" si="34"/>
        <v>213.27272727272728</v>
      </c>
      <c r="AS79" s="35">
        <f t="shared" si="27"/>
        <v>237.9</v>
      </c>
      <c r="AT79" s="35">
        <f t="shared" si="28"/>
        <v>24.627272727272725</v>
      </c>
      <c r="AU79" s="35">
        <v>80.7</v>
      </c>
      <c r="AV79" s="35">
        <v>80.3</v>
      </c>
      <c r="AW79" s="35">
        <f t="shared" si="29"/>
        <v>76.900000000000006</v>
      </c>
      <c r="AX79" s="35"/>
      <c r="AY79" s="35">
        <f t="shared" si="30"/>
        <v>76.900000000000006</v>
      </c>
      <c r="AZ79" s="35">
        <v>0</v>
      </c>
      <c r="BA79" s="35">
        <f t="shared" si="31"/>
        <v>76.900000000000006</v>
      </c>
      <c r="BB79" s="35"/>
      <c r="BC79" s="35">
        <f t="shared" si="32"/>
        <v>76.900000000000006</v>
      </c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10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10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10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10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10"/>
      <c r="GZ79" s="9"/>
      <c r="HA79" s="9"/>
    </row>
    <row r="80" spans="1:209" s="2" customFormat="1" ht="17" customHeight="1">
      <c r="A80" s="18" t="s">
        <v>79</v>
      </c>
      <c r="B80" s="6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35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10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10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10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10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10"/>
      <c r="GZ80" s="9"/>
      <c r="HA80" s="9"/>
    </row>
    <row r="81" spans="1:209" s="2" customFormat="1" ht="17" customHeight="1">
      <c r="A81" s="14" t="s">
        <v>80</v>
      </c>
      <c r="B81" s="35">
        <v>20757</v>
      </c>
      <c r="C81" s="35">
        <v>28538</v>
      </c>
      <c r="D81" s="4">
        <f t="shared" si="22"/>
        <v>1.2174861492508551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640.70000000000005</v>
      </c>
      <c r="O81" s="35">
        <v>1071.4000000000001</v>
      </c>
      <c r="P81" s="4">
        <f t="shared" si="23"/>
        <v>1.2472233494615264</v>
      </c>
      <c r="Q81" s="11">
        <v>20</v>
      </c>
      <c r="R81" s="35">
        <v>49.5</v>
      </c>
      <c r="S81" s="35">
        <v>57.6</v>
      </c>
      <c r="T81" s="4">
        <f t="shared" si="24"/>
        <v>1.1636363636363636</v>
      </c>
      <c r="U81" s="11">
        <v>15</v>
      </c>
      <c r="V81" s="35">
        <v>22.9</v>
      </c>
      <c r="W81" s="35">
        <v>27.2</v>
      </c>
      <c r="X81" s="4">
        <f t="shared" si="25"/>
        <v>1.1877729257641922</v>
      </c>
      <c r="Y81" s="11">
        <v>35</v>
      </c>
      <c r="Z81" s="11" t="s">
        <v>385</v>
      </c>
      <c r="AA81" s="11" t="s">
        <v>385</v>
      </c>
      <c r="AB81" s="11" t="s">
        <v>385</v>
      </c>
      <c r="AC81" s="11" t="s">
        <v>385</v>
      </c>
      <c r="AD81" s="11">
        <v>1477</v>
      </c>
      <c r="AE81" s="11">
        <v>1508</v>
      </c>
      <c r="AF81" s="4">
        <f t="shared" si="26"/>
        <v>1.020988490182803</v>
      </c>
      <c r="AG81" s="11">
        <v>20</v>
      </c>
      <c r="AH81" s="5" t="s">
        <v>362</v>
      </c>
      <c r="AI81" s="5" t="s">
        <v>362</v>
      </c>
      <c r="AJ81" s="5" t="s">
        <v>362</v>
      </c>
      <c r="AK81" s="5" t="s">
        <v>362</v>
      </c>
      <c r="AL81" s="5" t="s">
        <v>362</v>
      </c>
      <c r="AM81" s="5" t="s">
        <v>362</v>
      </c>
      <c r="AN81" s="5" t="s">
        <v>362</v>
      </c>
      <c r="AO81" s="5" t="s">
        <v>362</v>
      </c>
      <c r="AP81" s="44">
        <f t="shared" si="33"/>
        <v>1.165656961416873</v>
      </c>
      <c r="AQ81" s="45">
        <v>1881</v>
      </c>
      <c r="AR81" s="35">
        <f t="shared" si="34"/>
        <v>513</v>
      </c>
      <c r="AS81" s="35">
        <f t="shared" si="27"/>
        <v>598</v>
      </c>
      <c r="AT81" s="35">
        <f t="shared" si="28"/>
        <v>85</v>
      </c>
      <c r="AU81" s="35">
        <v>196.1</v>
      </c>
      <c r="AV81" s="35">
        <v>207.5</v>
      </c>
      <c r="AW81" s="35">
        <f t="shared" si="29"/>
        <v>194.4</v>
      </c>
      <c r="AX81" s="35"/>
      <c r="AY81" s="35">
        <f t="shared" si="30"/>
        <v>194.4</v>
      </c>
      <c r="AZ81" s="35">
        <v>0</v>
      </c>
      <c r="BA81" s="35">
        <f t="shared" si="31"/>
        <v>194.4</v>
      </c>
      <c r="BB81" s="35"/>
      <c r="BC81" s="35">
        <f t="shared" si="32"/>
        <v>194.4</v>
      </c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10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10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10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10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10"/>
      <c r="GZ81" s="9"/>
      <c r="HA81" s="9"/>
    </row>
    <row r="82" spans="1:209" s="2" customFormat="1" ht="17" customHeight="1">
      <c r="A82" s="46" t="s">
        <v>81</v>
      </c>
      <c r="B82" s="35">
        <v>39660</v>
      </c>
      <c r="C82" s="35">
        <v>40286</v>
      </c>
      <c r="D82" s="4">
        <f t="shared" si="22"/>
        <v>1.0157841654059505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4401.2</v>
      </c>
      <c r="O82" s="35">
        <v>2861.2</v>
      </c>
      <c r="P82" s="4">
        <f t="shared" si="23"/>
        <v>0.65009542851949464</v>
      </c>
      <c r="Q82" s="11">
        <v>20</v>
      </c>
      <c r="R82" s="35">
        <v>209.2</v>
      </c>
      <c r="S82" s="35">
        <v>244.9</v>
      </c>
      <c r="T82" s="4">
        <f t="shared" si="24"/>
        <v>1.1706500956022945</v>
      </c>
      <c r="U82" s="11">
        <v>25</v>
      </c>
      <c r="V82" s="35">
        <v>13</v>
      </c>
      <c r="W82" s="35">
        <v>16.3</v>
      </c>
      <c r="X82" s="4">
        <f t="shared" si="25"/>
        <v>1.2053846153846153</v>
      </c>
      <c r="Y82" s="11">
        <v>25</v>
      </c>
      <c r="Z82" s="11" t="s">
        <v>385</v>
      </c>
      <c r="AA82" s="11" t="s">
        <v>385</v>
      </c>
      <c r="AB82" s="11" t="s">
        <v>385</v>
      </c>
      <c r="AC82" s="11" t="s">
        <v>385</v>
      </c>
      <c r="AD82" s="11">
        <v>1354</v>
      </c>
      <c r="AE82" s="11">
        <v>1270</v>
      </c>
      <c r="AF82" s="4">
        <f t="shared" si="26"/>
        <v>0.93796159527326439</v>
      </c>
      <c r="AG82" s="11">
        <v>20</v>
      </c>
      <c r="AH82" s="5" t="s">
        <v>362</v>
      </c>
      <c r="AI82" s="5" t="s">
        <v>362</v>
      </c>
      <c r="AJ82" s="5" t="s">
        <v>362</v>
      </c>
      <c r="AK82" s="5" t="s">
        <v>362</v>
      </c>
      <c r="AL82" s="5" t="s">
        <v>362</v>
      </c>
      <c r="AM82" s="5" t="s">
        <v>362</v>
      </c>
      <c r="AN82" s="5" t="s">
        <v>362</v>
      </c>
      <c r="AO82" s="5" t="s">
        <v>362</v>
      </c>
      <c r="AP82" s="44">
        <f t="shared" si="33"/>
        <v>1.0131984990458742</v>
      </c>
      <c r="AQ82" s="45">
        <v>2006</v>
      </c>
      <c r="AR82" s="35">
        <f t="shared" si="34"/>
        <v>547.09090909090912</v>
      </c>
      <c r="AS82" s="35">
        <f t="shared" si="27"/>
        <v>554.29999999999995</v>
      </c>
      <c r="AT82" s="35">
        <f t="shared" si="28"/>
        <v>7.2090909090908326</v>
      </c>
      <c r="AU82" s="35">
        <v>180.5</v>
      </c>
      <c r="AV82" s="35">
        <v>185.8</v>
      </c>
      <c r="AW82" s="35">
        <f t="shared" si="29"/>
        <v>188</v>
      </c>
      <c r="AX82" s="35"/>
      <c r="AY82" s="35">
        <f t="shared" si="30"/>
        <v>188</v>
      </c>
      <c r="AZ82" s="35">
        <v>0</v>
      </c>
      <c r="BA82" s="35">
        <f t="shared" si="31"/>
        <v>188</v>
      </c>
      <c r="BB82" s="35"/>
      <c r="BC82" s="35">
        <f t="shared" si="32"/>
        <v>188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10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10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10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10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10"/>
      <c r="GZ82" s="9"/>
      <c r="HA82" s="9"/>
    </row>
    <row r="83" spans="1:209" s="2" customFormat="1" ht="17" customHeight="1">
      <c r="A83" s="14" t="s">
        <v>82</v>
      </c>
      <c r="B83" s="35">
        <v>111</v>
      </c>
      <c r="C83" s="35">
        <v>115</v>
      </c>
      <c r="D83" s="4">
        <f t="shared" si="22"/>
        <v>1.0360360360360361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121.8</v>
      </c>
      <c r="O83" s="35">
        <v>62.9</v>
      </c>
      <c r="P83" s="4">
        <f t="shared" si="23"/>
        <v>0.51642036124794743</v>
      </c>
      <c r="Q83" s="11">
        <v>20</v>
      </c>
      <c r="R83" s="35">
        <v>53.8</v>
      </c>
      <c r="S83" s="35">
        <v>63.5</v>
      </c>
      <c r="T83" s="4">
        <f t="shared" si="24"/>
        <v>1.1802973977695168</v>
      </c>
      <c r="U83" s="11">
        <v>20</v>
      </c>
      <c r="V83" s="35">
        <v>21.8</v>
      </c>
      <c r="W83" s="35">
        <v>24.4</v>
      </c>
      <c r="X83" s="4">
        <f t="shared" si="25"/>
        <v>1.1192660550458715</v>
      </c>
      <c r="Y83" s="11">
        <v>30</v>
      </c>
      <c r="Z83" s="11" t="s">
        <v>385</v>
      </c>
      <c r="AA83" s="11" t="s">
        <v>385</v>
      </c>
      <c r="AB83" s="11" t="s">
        <v>385</v>
      </c>
      <c r="AC83" s="11" t="s">
        <v>385</v>
      </c>
      <c r="AD83" s="11">
        <v>1920</v>
      </c>
      <c r="AE83" s="11">
        <v>1940</v>
      </c>
      <c r="AF83" s="4">
        <f t="shared" si="26"/>
        <v>1.0104166666666667</v>
      </c>
      <c r="AG83" s="11">
        <v>20</v>
      </c>
      <c r="AH83" s="5" t="s">
        <v>362</v>
      </c>
      <c r="AI83" s="5" t="s">
        <v>362</v>
      </c>
      <c r="AJ83" s="5" t="s">
        <v>362</v>
      </c>
      <c r="AK83" s="5" t="s">
        <v>362</v>
      </c>
      <c r="AL83" s="5" t="s">
        <v>362</v>
      </c>
      <c r="AM83" s="5" t="s">
        <v>362</v>
      </c>
      <c r="AN83" s="5" t="s">
        <v>362</v>
      </c>
      <c r="AO83" s="5" t="s">
        <v>362</v>
      </c>
      <c r="AP83" s="44">
        <f t="shared" si="33"/>
        <v>0.98081030525419122</v>
      </c>
      <c r="AQ83" s="45">
        <v>2718</v>
      </c>
      <c r="AR83" s="35">
        <f t="shared" si="34"/>
        <v>741.27272727272725</v>
      </c>
      <c r="AS83" s="35">
        <f t="shared" si="27"/>
        <v>727</v>
      </c>
      <c r="AT83" s="35">
        <f t="shared" si="28"/>
        <v>-14.272727272727252</v>
      </c>
      <c r="AU83" s="35">
        <v>261</v>
      </c>
      <c r="AV83" s="35">
        <v>217.6</v>
      </c>
      <c r="AW83" s="35">
        <f t="shared" si="29"/>
        <v>248.4</v>
      </c>
      <c r="AX83" s="35"/>
      <c r="AY83" s="35">
        <f t="shared" si="30"/>
        <v>248.4</v>
      </c>
      <c r="AZ83" s="35">
        <v>0</v>
      </c>
      <c r="BA83" s="35">
        <f t="shared" si="31"/>
        <v>248.4</v>
      </c>
      <c r="BB83" s="35">
        <f>MIN(BA83,7.5)</f>
        <v>7.5</v>
      </c>
      <c r="BC83" s="35">
        <f t="shared" si="32"/>
        <v>240.9</v>
      </c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10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10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10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10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10"/>
      <c r="GZ83" s="9"/>
      <c r="HA83" s="9"/>
    </row>
    <row r="84" spans="1:209" s="2" customFormat="1" ht="17" customHeight="1">
      <c r="A84" s="14" t="s">
        <v>83</v>
      </c>
      <c r="B84" s="35">
        <v>1544</v>
      </c>
      <c r="C84" s="35">
        <v>1663</v>
      </c>
      <c r="D84" s="4">
        <f t="shared" si="22"/>
        <v>1.0770725388601037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700.3</v>
      </c>
      <c r="O84" s="35">
        <v>656.9</v>
      </c>
      <c r="P84" s="4">
        <f t="shared" si="23"/>
        <v>0.93802656004569474</v>
      </c>
      <c r="Q84" s="11">
        <v>20</v>
      </c>
      <c r="R84" s="35">
        <v>190.8</v>
      </c>
      <c r="S84" s="35">
        <v>261.2</v>
      </c>
      <c r="T84" s="4">
        <f t="shared" si="24"/>
        <v>1.2168972746331237</v>
      </c>
      <c r="U84" s="11">
        <v>25</v>
      </c>
      <c r="V84" s="35">
        <v>15.1</v>
      </c>
      <c r="W84" s="35">
        <v>17.7</v>
      </c>
      <c r="X84" s="4">
        <f t="shared" si="25"/>
        <v>1.1721854304635762</v>
      </c>
      <c r="Y84" s="11">
        <v>25</v>
      </c>
      <c r="Z84" s="11" t="s">
        <v>385</v>
      </c>
      <c r="AA84" s="11" t="s">
        <v>385</v>
      </c>
      <c r="AB84" s="11" t="s">
        <v>385</v>
      </c>
      <c r="AC84" s="11" t="s">
        <v>385</v>
      </c>
      <c r="AD84" s="11">
        <v>1356</v>
      </c>
      <c r="AE84" s="11">
        <v>1452</v>
      </c>
      <c r="AF84" s="4">
        <f t="shared" si="26"/>
        <v>1.0707964601769913</v>
      </c>
      <c r="AG84" s="11">
        <v>20</v>
      </c>
      <c r="AH84" s="5" t="s">
        <v>362</v>
      </c>
      <c r="AI84" s="5" t="s">
        <v>362</v>
      </c>
      <c r="AJ84" s="5" t="s">
        <v>362</v>
      </c>
      <c r="AK84" s="5" t="s">
        <v>362</v>
      </c>
      <c r="AL84" s="5" t="s">
        <v>362</v>
      </c>
      <c r="AM84" s="5" t="s">
        <v>362</v>
      </c>
      <c r="AN84" s="5" t="s">
        <v>362</v>
      </c>
      <c r="AO84" s="5" t="s">
        <v>362</v>
      </c>
      <c r="AP84" s="44">
        <f t="shared" si="33"/>
        <v>1.1067425342047228</v>
      </c>
      <c r="AQ84" s="45">
        <v>2749</v>
      </c>
      <c r="AR84" s="35">
        <f t="shared" si="34"/>
        <v>749.72727272727275</v>
      </c>
      <c r="AS84" s="35">
        <f t="shared" si="27"/>
        <v>829.8</v>
      </c>
      <c r="AT84" s="35">
        <f t="shared" si="28"/>
        <v>80.072727272727207</v>
      </c>
      <c r="AU84" s="35">
        <v>294.39999999999998</v>
      </c>
      <c r="AV84" s="35">
        <v>231.4</v>
      </c>
      <c r="AW84" s="35">
        <f t="shared" si="29"/>
        <v>304</v>
      </c>
      <c r="AX84" s="35"/>
      <c r="AY84" s="35">
        <f t="shared" si="30"/>
        <v>304</v>
      </c>
      <c r="AZ84" s="35">
        <v>0</v>
      </c>
      <c r="BA84" s="35">
        <f t="shared" si="31"/>
        <v>304</v>
      </c>
      <c r="BB84" s="35">
        <f>MIN(BA84,100.4)</f>
        <v>100.4</v>
      </c>
      <c r="BC84" s="35">
        <f t="shared" si="32"/>
        <v>203.6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10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10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10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10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10"/>
      <c r="GZ84" s="9"/>
      <c r="HA84" s="9"/>
    </row>
    <row r="85" spans="1:209" s="2" customFormat="1" ht="17" customHeight="1">
      <c r="A85" s="14" t="s">
        <v>84</v>
      </c>
      <c r="B85" s="35">
        <v>127</v>
      </c>
      <c r="C85" s="35">
        <v>130</v>
      </c>
      <c r="D85" s="4">
        <f t="shared" si="22"/>
        <v>1.0236220472440944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334.3</v>
      </c>
      <c r="O85" s="35">
        <v>174</v>
      </c>
      <c r="P85" s="4">
        <f t="shared" si="23"/>
        <v>0.52049057732575532</v>
      </c>
      <c r="Q85" s="11">
        <v>20</v>
      </c>
      <c r="R85" s="35">
        <v>52.1</v>
      </c>
      <c r="S85" s="35">
        <v>61.5</v>
      </c>
      <c r="T85" s="4">
        <f t="shared" si="24"/>
        <v>1.1804222648752398</v>
      </c>
      <c r="U85" s="11">
        <v>20</v>
      </c>
      <c r="V85" s="35">
        <v>11.8</v>
      </c>
      <c r="W85" s="35">
        <v>13.9</v>
      </c>
      <c r="X85" s="4">
        <f t="shared" si="25"/>
        <v>1.1779661016949152</v>
      </c>
      <c r="Y85" s="11">
        <v>30</v>
      </c>
      <c r="Z85" s="11" t="s">
        <v>385</v>
      </c>
      <c r="AA85" s="11" t="s">
        <v>385</v>
      </c>
      <c r="AB85" s="11" t="s">
        <v>385</v>
      </c>
      <c r="AC85" s="11" t="s">
        <v>385</v>
      </c>
      <c r="AD85" s="11">
        <v>800</v>
      </c>
      <c r="AE85" s="11">
        <v>655</v>
      </c>
      <c r="AF85" s="4">
        <f t="shared" si="26"/>
        <v>0.81874999999999998</v>
      </c>
      <c r="AG85" s="11">
        <v>20</v>
      </c>
      <c r="AH85" s="5" t="s">
        <v>362</v>
      </c>
      <c r="AI85" s="5" t="s">
        <v>362</v>
      </c>
      <c r="AJ85" s="5" t="s">
        <v>362</v>
      </c>
      <c r="AK85" s="5" t="s">
        <v>362</v>
      </c>
      <c r="AL85" s="5" t="s">
        <v>362</v>
      </c>
      <c r="AM85" s="5" t="s">
        <v>362</v>
      </c>
      <c r="AN85" s="5" t="s">
        <v>362</v>
      </c>
      <c r="AO85" s="5" t="s">
        <v>362</v>
      </c>
      <c r="AP85" s="44">
        <f t="shared" si="33"/>
        <v>0.95968460367308306</v>
      </c>
      <c r="AQ85" s="45">
        <v>1944</v>
      </c>
      <c r="AR85" s="35">
        <f t="shared" si="34"/>
        <v>530.18181818181813</v>
      </c>
      <c r="AS85" s="35">
        <f t="shared" si="27"/>
        <v>508.8</v>
      </c>
      <c r="AT85" s="35">
        <f t="shared" si="28"/>
        <v>-21.381818181818119</v>
      </c>
      <c r="AU85" s="35">
        <v>179.6</v>
      </c>
      <c r="AV85" s="35">
        <v>196.4</v>
      </c>
      <c r="AW85" s="35">
        <f t="shared" si="29"/>
        <v>132.80000000000001</v>
      </c>
      <c r="AX85" s="35"/>
      <c r="AY85" s="35">
        <f t="shared" si="30"/>
        <v>132.80000000000001</v>
      </c>
      <c r="AZ85" s="35">
        <v>0</v>
      </c>
      <c r="BA85" s="35">
        <f t="shared" si="31"/>
        <v>132.80000000000001</v>
      </c>
      <c r="BB85" s="35">
        <f>MIN(BA85,88.4)</f>
        <v>88.4</v>
      </c>
      <c r="BC85" s="35">
        <f t="shared" si="32"/>
        <v>44.4</v>
      </c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10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10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10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10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10"/>
      <c r="GZ85" s="9"/>
      <c r="HA85" s="9"/>
    </row>
    <row r="86" spans="1:209" s="2" customFormat="1" ht="17" customHeight="1">
      <c r="A86" s="14" t="s">
        <v>85</v>
      </c>
      <c r="B86" s="35">
        <v>123</v>
      </c>
      <c r="C86" s="35">
        <v>126</v>
      </c>
      <c r="D86" s="4">
        <f t="shared" si="22"/>
        <v>1.024390243902439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388.6</v>
      </c>
      <c r="O86" s="35">
        <v>427.4</v>
      </c>
      <c r="P86" s="4">
        <f t="shared" si="23"/>
        <v>1.0998455995882654</v>
      </c>
      <c r="Q86" s="11">
        <v>20</v>
      </c>
      <c r="R86" s="35">
        <v>230.1</v>
      </c>
      <c r="S86" s="35">
        <v>263.89999999999998</v>
      </c>
      <c r="T86" s="4">
        <f t="shared" si="24"/>
        <v>1.1468926553672316</v>
      </c>
      <c r="U86" s="11">
        <v>30</v>
      </c>
      <c r="V86" s="35">
        <v>13</v>
      </c>
      <c r="W86" s="35">
        <v>15.1</v>
      </c>
      <c r="X86" s="4">
        <f t="shared" si="25"/>
        <v>1.1615384615384614</v>
      </c>
      <c r="Y86" s="11">
        <v>20</v>
      </c>
      <c r="Z86" s="11" t="s">
        <v>385</v>
      </c>
      <c r="AA86" s="11" t="s">
        <v>385</v>
      </c>
      <c r="AB86" s="11" t="s">
        <v>385</v>
      </c>
      <c r="AC86" s="11" t="s">
        <v>385</v>
      </c>
      <c r="AD86" s="11">
        <v>1398</v>
      </c>
      <c r="AE86" s="11">
        <v>1380</v>
      </c>
      <c r="AF86" s="4">
        <f t="shared" si="26"/>
        <v>0.98712446351931327</v>
      </c>
      <c r="AG86" s="11">
        <v>20</v>
      </c>
      <c r="AH86" s="5" t="s">
        <v>362</v>
      </c>
      <c r="AI86" s="5" t="s">
        <v>362</v>
      </c>
      <c r="AJ86" s="5" t="s">
        <v>362</v>
      </c>
      <c r="AK86" s="5" t="s">
        <v>362</v>
      </c>
      <c r="AL86" s="5" t="s">
        <v>362</v>
      </c>
      <c r="AM86" s="5" t="s">
        <v>362</v>
      </c>
      <c r="AN86" s="5" t="s">
        <v>362</v>
      </c>
      <c r="AO86" s="5" t="s">
        <v>362</v>
      </c>
      <c r="AP86" s="44">
        <f t="shared" si="33"/>
        <v>1.0962085259296215</v>
      </c>
      <c r="AQ86" s="45">
        <v>1465</v>
      </c>
      <c r="AR86" s="35">
        <f t="shared" si="34"/>
        <v>399.54545454545456</v>
      </c>
      <c r="AS86" s="35">
        <f t="shared" si="27"/>
        <v>438</v>
      </c>
      <c r="AT86" s="35">
        <f t="shared" si="28"/>
        <v>38.454545454545439</v>
      </c>
      <c r="AU86" s="35">
        <v>137</v>
      </c>
      <c r="AV86" s="35">
        <v>136.5</v>
      </c>
      <c r="AW86" s="35">
        <f t="shared" si="29"/>
        <v>164.5</v>
      </c>
      <c r="AX86" s="35"/>
      <c r="AY86" s="35">
        <f t="shared" si="30"/>
        <v>164.5</v>
      </c>
      <c r="AZ86" s="35">
        <v>0</v>
      </c>
      <c r="BA86" s="35">
        <f t="shared" si="31"/>
        <v>164.5</v>
      </c>
      <c r="BB86" s="35">
        <f>MIN(BA86,66.6)</f>
        <v>66.599999999999994</v>
      </c>
      <c r="BC86" s="35">
        <f t="shared" si="32"/>
        <v>97.9</v>
      </c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10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10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10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10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10"/>
      <c r="GZ86" s="9"/>
      <c r="HA86" s="9"/>
    </row>
    <row r="87" spans="1:209" s="2" customFormat="1" ht="17" customHeight="1">
      <c r="A87" s="14" t="s">
        <v>86</v>
      </c>
      <c r="B87" s="35">
        <v>63</v>
      </c>
      <c r="C87" s="35">
        <v>66</v>
      </c>
      <c r="D87" s="4">
        <f t="shared" si="22"/>
        <v>1.0476190476190477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192.3</v>
      </c>
      <c r="O87" s="35">
        <v>169.4</v>
      </c>
      <c r="P87" s="4">
        <f t="shared" si="23"/>
        <v>0.88091523660946436</v>
      </c>
      <c r="Q87" s="11">
        <v>20</v>
      </c>
      <c r="R87" s="35">
        <v>29.7</v>
      </c>
      <c r="S87" s="35">
        <v>35.200000000000003</v>
      </c>
      <c r="T87" s="4">
        <f t="shared" si="24"/>
        <v>1.1851851851851853</v>
      </c>
      <c r="U87" s="11">
        <v>25</v>
      </c>
      <c r="V87" s="35">
        <v>5.3</v>
      </c>
      <c r="W87" s="35">
        <v>6.2</v>
      </c>
      <c r="X87" s="4">
        <f t="shared" si="25"/>
        <v>1.1698113207547169</v>
      </c>
      <c r="Y87" s="11">
        <v>25</v>
      </c>
      <c r="Z87" s="11" t="s">
        <v>385</v>
      </c>
      <c r="AA87" s="11" t="s">
        <v>385</v>
      </c>
      <c r="AB87" s="11" t="s">
        <v>385</v>
      </c>
      <c r="AC87" s="11" t="s">
        <v>385</v>
      </c>
      <c r="AD87" s="11">
        <v>382</v>
      </c>
      <c r="AE87" s="11">
        <v>358</v>
      </c>
      <c r="AF87" s="4">
        <f t="shared" si="26"/>
        <v>0.93717277486910999</v>
      </c>
      <c r="AG87" s="11">
        <v>20</v>
      </c>
      <c r="AH87" s="5" t="s">
        <v>362</v>
      </c>
      <c r="AI87" s="5" t="s">
        <v>362</v>
      </c>
      <c r="AJ87" s="5" t="s">
        <v>362</v>
      </c>
      <c r="AK87" s="5" t="s">
        <v>362</v>
      </c>
      <c r="AL87" s="5" t="s">
        <v>362</v>
      </c>
      <c r="AM87" s="5" t="s">
        <v>362</v>
      </c>
      <c r="AN87" s="5" t="s">
        <v>362</v>
      </c>
      <c r="AO87" s="5" t="s">
        <v>362</v>
      </c>
      <c r="AP87" s="44">
        <f t="shared" si="33"/>
        <v>1.0571286335425953</v>
      </c>
      <c r="AQ87" s="45">
        <v>1667</v>
      </c>
      <c r="AR87" s="35">
        <f t="shared" si="34"/>
        <v>454.63636363636363</v>
      </c>
      <c r="AS87" s="35">
        <f t="shared" si="27"/>
        <v>480.6</v>
      </c>
      <c r="AT87" s="35">
        <f t="shared" si="28"/>
        <v>25.963636363636397</v>
      </c>
      <c r="AU87" s="35">
        <v>128.19999999999999</v>
      </c>
      <c r="AV87" s="35">
        <v>151.5</v>
      </c>
      <c r="AW87" s="35">
        <f t="shared" si="29"/>
        <v>200.9</v>
      </c>
      <c r="AX87" s="35"/>
      <c r="AY87" s="35">
        <f t="shared" si="30"/>
        <v>200.9</v>
      </c>
      <c r="AZ87" s="35">
        <v>0</v>
      </c>
      <c r="BA87" s="35">
        <f t="shared" si="31"/>
        <v>200.9</v>
      </c>
      <c r="BB87" s="35">
        <f>MIN(BA87,75.8)</f>
        <v>75.8</v>
      </c>
      <c r="BC87" s="35">
        <f t="shared" si="32"/>
        <v>125.1</v>
      </c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10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10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10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10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10"/>
      <c r="GZ87" s="9"/>
      <c r="HA87" s="9"/>
    </row>
    <row r="88" spans="1:209" s="2" customFormat="1" ht="17" customHeight="1">
      <c r="A88" s="14" t="s">
        <v>87</v>
      </c>
      <c r="B88" s="35">
        <v>111</v>
      </c>
      <c r="C88" s="35">
        <v>114</v>
      </c>
      <c r="D88" s="4">
        <f t="shared" si="22"/>
        <v>1.027027027027027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392.4</v>
      </c>
      <c r="O88" s="35">
        <v>96.6</v>
      </c>
      <c r="P88" s="4">
        <f t="shared" si="23"/>
        <v>0.24617737003058104</v>
      </c>
      <c r="Q88" s="11">
        <v>20</v>
      </c>
      <c r="R88" s="35">
        <v>48.5</v>
      </c>
      <c r="S88" s="35">
        <v>56.9</v>
      </c>
      <c r="T88" s="4">
        <f t="shared" si="24"/>
        <v>1.1731958762886598</v>
      </c>
      <c r="U88" s="11">
        <v>25</v>
      </c>
      <c r="V88" s="35">
        <v>8.1999999999999993</v>
      </c>
      <c r="W88" s="35">
        <v>9.5</v>
      </c>
      <c r="X88" s="4">
        <f t="shared" si="25"/>
        <v>1.1585365853658538</v>
      </c>
      <c r="Y88" s="11">
        <v>25</v>
      </c>
      <c r="Z88" s="11" t="s">
        <v>385</v>
      </c>
      <c r="AA88" s="11" t="s">
        <v>385</v>
      </c>
      <c r="AB88" s="11" t="s">
        <v>385</v>
      </c>
      <c r="AC88" s="11" t="s">
        <v>385</v>
      </c>
      <c r="AD88" s="11">
        <v>899</v>
      </c>
      <c r="AE88" s="11">
        <v>859</v>
      </c>
      <c r="AF88" s="4">
        <f t="shared" si="26"/>
        <v>0.95550611790878759</v>
      </c>
      <c r="AG88" s="11">
        <v>20</v>
      </c>
      <c r="AH88" s="5" t="s">
        <v>362</v>
      </c>
      <c r="AI88" s="5" t="s">
        <v>362</v>
      </c>
      <c r="AJ88" s="5" t="s">
        <v>362</v>
      </c>
      <c r="AK88" s="5" t="s">
        <v>362</v>
      </c>
      <c r="AL88" s="5" t="s">
        <v>362</v>
      </c>
      <c r="AM88" s="5" t="s">
        <v>362</v>
      </c>
      <c r="AN88" s="5" t="s">
        <v>362</v>
      </c>
      <c r="AO88" s="5" t="s">
        <v>362</v>
      </c>
      <c r="AP88" s="44">
        <f t="shared" si="33"/>
        <v>0.92597251570420491</v>
      </c>
      <c r="AQ88" s="45">
        <v>1467</v>
      </c>
      <c r="AR88" s="35">
        <f t="shared" si="34"/>
        <v>400.09090909090912</v>
      </c>
      <c r="AS88" s="35">
        <f t="shared" si="27"/>
        <v>370.5</v>
      </c>
      <c r="AT88" s="35">
        <f t="shared" si="28"/>
        <v>-29.590909090909122</v>
      </c>
      <c r="AU88" s="35">
        <v>144</v>
      </c>
      <c r="AV88" s="35">
        <v>136.9</v>
      </c>
      <c r="AW88" s="35">
        <f t="shared" si="29"/>
        <v>89.6</v>
      </c>
      <c r="AX88" s="35"/>
      <c r="AY88" s="35">
        <f t="shared" si="30"/>
        <v>89.6</v>
      </c>
      <c r="AZ88" s="35">
        <v>0</v>
      </c>
      <c r="BA88" s="35">
        <f t="shared" si="31"/>
        <v>89.6</v>
      </c>
      <c r="BB88" s="35">
        <f>MIN(BA88,42.8)</f>
        <v>42.8</v>
      </c>
      <c r="BC88" s="35">
        <f t="shared" si="32"/>
        <v>46.8</v>
      </c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10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10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10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10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10"/>
      <c r="GZ88" s="9"/>
      <c r="HA88" s="9"/>
    </row>
    <row r="89" spans="1:209" s="2" customFormat="1" ht="17" customHeight="1">
      <c r="A89" s="14" t="s">
        <v>88</v>
      </c>
      <c r="B89" s="35">
        <v>1518</v>
      </c>
      <c r="C89" s="35">
        <v>1546</v>
      </c>
      <c r="D89" s="4">
        <f t="shared" si="22"/>
        <v>1.0184453227931489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500.1</v>
      </c>
      <c r="O89" s="35">
        <v>554.79999999999995</v>
      </c>
      <c r="P89" s="4">
        <f t="shared" si="23"/>
        <v>1.1093781243751248</v>
      </c>
      <c r="Q89" s="11">
        <v>20</v>
      </c>
      <c r="R89" s="35">
        <v>62.2</v>
      </c>
      <c r="S89" s="35">
        <v>73.400000000000006</v>
      </c>
      <c r="T89" s="4">
        <f t="shared" si="24"/>
        <v>1.180064308681672</v>
      </c>
      <c r="U89" s="11">
        <v>30</v>
      </c>
      <c r="V89" s="35">
        <v>6.4</v>
      </c>
      <c r="W89" s="35">
        <v>7.5</v>
      </c>
      <c r="X89" s="4">
        <f t="shared" si="25"/>
        <v>1.171875</v>
      </c>
      <c r="Y89" s="11">
        <v>20</v>
      </c>
      <c r="Z89" s="11" t="s">
        <v>385</v>
      </c>
      <c r="AA89" s="11" t="s">
        <v>385</v>
      </c>
      <c r="AB89" s="11" t="s">
        <v>385</v>
      </c>
      <c r="AC89" s="11" t="s">
        <v>385</v>
      </c>
      <c r="AD89" s="11">
        <v>889</v>
      </c>
      <c r="AE89" s="11">
        <v>901</v>
      </c>
      <c r="AF89" s="4">
        <f t="shared" si="26"/>
        <v>1.0134983127109112</v>
      </c>
      <c r="AG89" s="11">
        <v>20</v>
      </c>
      <c r="AH89" s="5" t="s">
        <v>362</v>
      </c>
      <c r="AI89" s="5" t="s">
        <v>362</v>
      </c>
      <c r="AJ89" s="5" t="s">
        <v>362</v>
      </c>
      <c r="AK89" s="5" t="s">
        <v>362</v>
      </c>
      <c r="AL89" s="5" t="s">
        <v>362</v>
      </c>
      <c r="AM89" s="5" t="s">
        <v>362</v>
      </c>
      <c r="AN89" s="5" t="s">
        <v>362</v>
      </c>
      <c r="AO89" s="5" t="s">
        <v>362</v>
      </c>
      <c r="AP89" s="44">
        <f t="shared" si="33"/>
        <v>1.1148141123010236</v>
      </c>
      <c r="AQ89" s="45">
        <v>1901</v>
      </c>
      <c r="AR89" s="35">
        <f t="shared" si="34"/>
        <v>518.4545454545455</v>
      </c>
      <c r="AS89" s="35">
        <f t="shared" si="27"/>
        <v>578</v>
      </c>
      <c r="AT89" s="35">
        <f t="shared" si="28"/>
        <v>59.545454545454504</v>
      </c>
      <c r="AU89" s="35">
        <v>186.7</v>
      </c>
      <c r="AV89" s="35">
        <v>155.1</v>
      </c>
      <c r="AW89" s="35">
        <f t="shared" si="29"/>
        <v>236.2</v>
      </c>
      <c r="AX89" s="35"/>
      <c r="AY89" s="35">
        <f t="shared" si="30"/>
        <v>236.2</v>
      </c>
      <c r="AZ89" s="35">
        <v>0</v>
      </c>
      <c r="BA89" s="35">
        <f t="shared" si="31"/>
        <v>236.2</v>
      </c>
      <c r="BB89" s="35">
        <f>MIN(BA89,86.4)</f>
        <v>86.4</v>
      </c>
      <c r="BC89" s="35">
        <f t="shared" si="32"/>
        <v>149.80000000000001</v>
      </c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10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10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10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10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10"/>
      <c r="GZ89" s="9"/>
      <c r="HA89" s="9"/>
    </row>
    <row r="90" spans="1:209" s="2" customFormat="1" ht="17" customHeight="1">
      <c r="A90" s="18" t="s">
        <v>89</v>
      </c>
      <c r="B90" s="6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35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10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10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10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10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10"/>
      <c r="GZ90" s="9"/>
      <c r="HA90" s="9"/>
    </row>
    <row r="91" spans="1:209" s="2" customFormat="1" ht="17" customHeight="1">
      <c r="A91" s="14" t="s">
        <v>90</v>
      </c>
      <c r="B91" s="35">
        <v>0</v>
      </c>
      <c r="C91" s="35">
        <v>0</v>
      </c>
      <c r="D91" s="4">
        <f t="shared" si="22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65.3</v>
      </c>
      <c r="O91" s="35">
        <v>25.6</v>
      </c>
      <c r="P91" s="4">
        <f t="shared" si="23"/>
        <v>0.39203675344563554</v>
      </c>
      <c r="Q91" s="11">
        <v>20</v>
      </c>
      <c r="R91" s="35">
        <v>10</v>
      </c>
      <c r="S91" s="35">
        <v>11.5</v>
      </c>
      <c r="T91" s="4">
        <f t="shared" si="24"/>
        <v>1.1499999999999999</v>
      </c>
      <c r="U91" s="11">
        <v>20</v>
      </c>
      <c r="V91" s="35">
        <v>0.8</v>
      </c>
      <c r="W91" s="35">
        <v>0.9</v>
      </c>
      <c r="X91" s="4">
        <f t="shared" si="25"/>
        <v>1.125</v>
      </c>
      <c r="Y91" s="11">
        <v>30</v>
      </c>
      <c r="Z91" s="11" t="s">
        <v>385</v>
      </c>
      <c r="AA91" s="11" t="s">
        <v>385</v>
      </c>
      <c r="AB91" s="11" t="s">
        <v>385</v>
      </c>
      <c r="AC91" s="11" t="s">
        <v>385</v>
      </c>
      <c r="AD91" s="11">
        <v>41</v>
      </c>
      <c r="AE91" s="11">
        <v>41</v>
      </c>
      <c r="AF91" s="4">
        <f t="shared" si="26"/>
        <v>1</v>
      </c>
      <c r="AG91" s="11">
        <v>20</v>
      </c>
      <c r="AH91" s="5" t="s">
        <v>362</v>
      </c>
      <c r="AI91" s="5" t="s">
        <v>362</v>
      </c>
      <c r="AJ91" s="5" t="s">
        <v>362</v>
      </c>
      <c r="AK91" s="5" t="s">
        <v>362</v>
      </c>
      <c r="AL91" s="5" t="s">
        <v>362</v>
      </c>
      <c r="AM91" s="5" t="s">
        <v>362</v>
      </c>
      <c r="AN91" s="5" t="s">
        <v>362</v>
      </c>
      <c r="AO91" s="5" t="s">
        <v>362</v>
      </c>
      <c r="AP91" s="44">
        <f t="shared" si="33"/>
        <v>0.93989705632125231</v>
      </c>
      <c r="AQ91" s="45">
        <v>543</v>
      </c>
      <c r="AR91" s="35">
        <f t="shared" si="34"/>
        <v>148.09090909090909</v>
      </c>
      <c r="AS91" s="35">
        <f t="shared" si="27"/>
        <v>139.19999999999999</v>
      </c>
      <c r="AT91" s="35">
        <f t="shared" si="28"/>
        <v>-8.8909090909091049</v>
      </c>
      <c r="AU91" s="35">
        <v>50.4</v>
      </c>
      <c r="AV91" s="35">
        <v>44.3</v>
      </c>
      <c r="AW91" s="35">
        <f t="shared" si="29"/>
        <v>44.5</v>
      </c>
      <c r="AX91" s="35"/>
      <c r="AY91" s="35">
        <f t="shared" si="30"/>
        <v>44.5</v>
      </c>
      <c r="AZ91" s="35">
        <v>0</v>
      </c>
      <c r="BA91" s="35">
        <f t="shared" si="31"/>
        <v>44.5</v>
      </c>
      <c r="BB91" s="35"/>
      <c r="BC91" s="35">
        <f t="shared" si="32"/>
        <v>44.5</v>
      </c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10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10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10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10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10"/>
      <c r="GZ91" s="9"/>
      <c r="HA91" s="9"/>
    </row>
    <row r="92" spans="1:209" s="2" customFormat="1" ht="17" customHeight="1">
      <c r="A92" s="14" t="s">
        <v>91</v>
      </c>
      <c r="B92" s="35">
        <v>59046</v>
      </c>
      <c r="C92" s="35">
        <v>66240</v>
      </c>
      <c r="D92" s="4">
        <f t="shared" si="22"/>
        <v>1.1218372116654811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2225.9</v>
      </c>
      <c r="O92" s="35">
        <v>1831.4</v>
      </c>
      <c r="P92" s="4">
        <f t="shared" si="23"/>
        <v>0.82276831843299336</v>
      </c>
      <c r="Q92" s="11">
        <v>20</v>
      </c>
      <c r="R92" s="35">
        <v>33.4</v>
      </c>
      <c r="S92" s="35">
        <v>39</v>
      </c>
      <c r="T92" s="4">
        <f t="shared" si="24"/>
        <v>1.1676646706586826</v>
      </c>
      <c r="U92" s="11">
        <v>20</v>
      </c>
      <c r="V92" s="35">
        <v>8.5</v>
      </c>
      <c r="W92" s="35">
        <v>9.6</v>
      </c>
      <c r="X92" s="4">
        <f t="shared" si="25"/>
        <v>1.1294117647058823</v>
      </c>
      <c r="Y92" s="11">
        <v>30</v>
      </c>
      <c r="Z92" s="11" t="s">
        <v>385</v>
      </c>
      <c r="AA92" s="11" t="s">
        <v>385</v>
      </c>
      <c r="AB92" s="11" t="s">
        <v>385</v>
      </c>
      <c r="AC92" s="11" t="s">
        <v>385</v>
      </c>
      <c r="AD92" s="11">
        <v>99</v>
      </c>
      <c r="AE92" s="11">
        <v>99</v>
      </c>
      <c r="AF92" s="4">
        <f t="shared" si="26"/>
        <v>1</v>
      </c>
      <c r="AG92" s="11">
        <v>20</v>
      </c>
      <c r="AH92" s="5" t="s">
        <v>362</v>
      </c>
      <c r="AI92" s="5" t="s">
        <v>362</v>
      </c>
      <c r="AJ92" s="5" t="s">
        <v>362</v>
      </c>
      <c r="AK92" s="5" t="s">
        <v>362</v>
      </c>
      <c r="AL92" s="5" t="s">
        <v>362</v>
      </c>
      <c r="AM92" s="5" t="s">
        <v>362</v>
      </c>
      <c r="AN92" s="5" t="s">
        <v>362</v>
      </c>
      <c r="AO92" s="5" t="s">
        <v>362</v>
      </c>
      <c r="AP92" s="44">
        <f t="shared" si="33"/>
        <v>1.0490938483966479</v>
      </c>
      <c r="AQ92" s="45">
        <v>1582</v>
      </c>
      <c r="AR92" s="35">
        <f t="shared" si="34"/>
        <v>431.45454545454544</v>
      </c>
      <c r="AS92" s="35">
        <f t="shared" si="27"/>
        <v>452.6</v>
      </c>
      <c r="AT92" s="35">
        <f t="shared" si="28"/>
        <v>21.145454545454584</v>
      </c>
      <c r="AU92" s="35">
        <v>144.19999999999999</v>
      </c>
      <c r="AV92" s="35">
        <v>153.80000000000001</v>
      </c>
      <c r="AW92" s="35">
        <f t="shared" si="29"/>
        <v>154.6</v>
      </c>
      <c r="AX92" s="35"/>
      <c r="AY92" s="35">
        <f t="shared" si="30"/>
        <v>154.6</v>
      </c>
      <c r="AZ92" s="35">
        <v>0</v>
      </c>
      <c r="BA92" s="35">
        <f t="shared" si="31"/>
        <v>154.6</v>
      </c>
      <c r="BB92" s="35">
        <f>MIN(BA92,71.9)</f>
        <v>71.900000000000006</v>
      </c>
      <c r="BC92" s="35">
        <f t="shared" si="32"/>
        <v>82.7</v>
      </c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10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10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10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10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10"/>
      <c r="GZ92" s="9"/>
      <c r="HA92" s="9"/>
    </row>
    <row r="93" spans="1:209" s="2" customFormat="1" ht="17" customHeight="1">
      <c r="A93" s="14" t="s">
        <v>92</v>
      </c>
      <c r="B93" s="35">
        <v>0</v>
      </c>
      <c r="C93" s="35">
        <v>0</v>
      </c>
      <c r="D93" s="4">
        <f t="shared" si="22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768.8</v>
      </c>
      <c r="O93" s="35">
        <v>277.5</v>
      </c>
      <c r="P93" s="4">
        <f t="shared" si="23"/>
        <v>0.36095213319458896</v>
      </c>
      <c r="Q93" s="11">
        <v>20</v>
      </c>
      <c r="R93" s="35">
        <v>57.2</v>
      </c>
      <c r="S93" s="35">
        <v>66.400000000000006</v>
      </c>
      <c r="T93" s="4">
        <f t="shared" si="24"/>
        <v>1.1608391608391608</v>
      </c>
      <c r="U93" s="11">
        <v>20</v>
      </c>
      <c r="V93" s="35">
        <v>5.6</v>
      </c>
      <c r="W93" s="35">
        <v>6.5</v>
      </c>
      <c r="X93" s="4">
        <f t="shared" si="25"/>
        <v>1.1607142857142858</v>
      </c>
      <c r="Y93" s="11">
        <v>30</v>
      </c>
      <c r="Z93" s="11" t="s">
        <v>385</v>
      </c>
      <c r="AA93" s="11" t="s">
        <v>385</v>
      </c>
      <c r="AB93" s="11" t="s">
        <v>385</v>
      </c>
      <c r="AC93" s="11" t="s">
        <v>385</v>
      </c>
      <c r="AD93" s="11">
        <v>215</v>
      </c>
      <c r="AE93" s="11">
        <v>215</v>
      </c>
      <c r="AF93" s="4">
        <f t="shared" si="26"/>
        <v>1</v>
      </c>
      <c r="AG93" s="11">
        <v>20</v>
      </c>
      <c r="AH93" s="5" t="s">
        <v>362</v>
      </c>
      <c r="AI93" s="5" t="s">
        <v>362</v>
      </c>
      <c r="AJ93" s="5" t="s">
        <v>362</v>
      </c>
      <c r="AK93" s="5" t="s">
        <v>362</v>
      </c>
      <c r="AL93" s="5" t="s">
        <v>362</v>
      </c>
      <c r="AM93" s="5" t="s">
        <v>362</v>
      </c>
      <c r="AN93" s="5" t="s">
        <v>362</v>
      </c>
      <c r="AO93" s="5" t="s">
        <v>362</v>
      </c>
      <c r="AP93" s="44">
        <f t="shared" si="33"/>
        <v>0.94730282724559534</v>
      </c>
      <c r="AQ93" s="45">
        <v>1281</v>
      </c>
      <c r="AR93" s="35">
        <f t="shared" si="34"/>
        <v>349.36363636363637</v>
      </c>
      <c r="AS93" s="35">
        <f t="shared" si="27"/>
        <v>331</v>
      </c>
      <c r="AT93" s="35">
        <f t="shared" si="28"/>
        <v>-18.363636363636374</v>
      </c>
      <c r="AU93" s="35">
        <v>110.9</v>
      </c>
      <c r="AV93" s="35">
        <v>113.3</v>
      </c>
      <c r="AW93" s="35">
        <f t="shared" si="29"/>
        <v>106.8</v>
      </c>
      <c r="AX93" s="35"/>
      <c r="AY93" s="35">
        <f t="shared" si="30"/>
        <v>106.8</v>
      </c>
      <c r="AZ93" s="35">
        <v>0</v>
      </c>
      <c r="BA93" s="35">
        <f t="shared" si="31"/>
        <v>106.8</v>
      </c>
      <c r="BB93" s="35">
        <f>MIN(BA93,35.3)</f>
        <v>35.299999999999997</v>
      </c>
      <c r="BC93" s="35">
        <f t="shared" si="32"/>
        <v>71.5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10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10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10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10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10"/>
      <c r="GZ93" s="9"/>
      <c r="HA93" s="9"/>
    </row>
    <row r="94" spans="1:209" s="2" customFormat="1" ht="17" customHeight="1">
      <c r="A94" s="14" t="s">
        <v>93</v>
      </c>
      <c r="B94" s="35">
        <v>0</v>
      </c>
      <c r="C94" s="35">
        <v>0</v>
      </c>
      <c r="D94" s="4">
        <f t="shared" si="22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371.3</v>
      </c>
      <c r="O94" s="35">
        <v>159.69999999999999</v>
      </c>
      <c r="P94" s="4">
        <f t="shared" si="23"/>
        <v>0.4301104228386749</v>
      </c>
      <c r="Q94" s="11">
        <v>20</v>
      </c>
      <c r="R94" s="35">
        <v>1.3</v>
      </c>
      <c r="S94" s="35">
        <v>37.6</v>
      </c>
      <c r="T94" s="4">
        <f t="shared" si="24"/>
        <v>1.3</v>
      </c>
      <c r="U94" s="11">
        <v>20</v>
      </c>
      <c r="V94" s="35">
        <v>1.3</v>
      </c>
      <c r="W94" s="35">
        <v>4.2</v>
      </c>
      <c r="X94" s="4">
        <f t="shared" si="25"/>
        <v>1.3</v>
      </c>
      <c r="Y94" s="11">
        <v>30</v>
      </c>
      <c r="Z94" s="11" t="s">
        <v>385</v>
      </c>
      <c r="AA94" s="11" t="s">
        <v>385</v>
      </c>
      <c r="AB94" s="11" t="s">
        <v>385</v>
      </c>
      <c r="AC94" s="11" t="s">
        <v>385</v>
      </c>
      <c r="AD94" s="11">
        <v>101</v>
      </c>
      <c r="AE94" s="11">
        <v>101</v>
      </c>
      <c r="AF94" s="4">
        <f t="shared" si="26"/>
        <v>1</v>
      </c>
      <c r="AG94" s="11">
        <v>20</v>
      </c>
      <c r="AH94" s="5" t="s">
        <v>362</v>
      </c>
      <c r="AI94" s="5" t="s">
        <v>362</v>
      </c>
      <c r="AJ94" s="5" t="s">
        <v>362</v>
      </c>
      <c r="AK94" s="5" t="s">
        <v>362</v>
      </c>
      <c r="AL94" s="5" t="s">
        <v>362</v>
      </c>
      <c r="AM94" s="5" t="s">
        <v>362</v>
      </c>
      <c r="AN94" s="5" t="s">
        <v>362</v>
      </c>
      <c r="AO94" s="5" t="s">
        <v>362</v>
      </c>
      <c r="AP94" s="44">
        <f t="shared" si="33"/>
        <v>1.0400245384085944</v>
      </c>
      <c r="AQ94" s="45">
        <v>553</v>
      </c>
      <c r="AR94" s="35">
        <f t="shared" si="34"/>
        <v>150.81818181818181</v>
      </c>
      <c r="AS94" s="35">
        <f t="shared" si="27"/>
        <v>156.9</v>
      </c>
      <c r="AT94" s="35">
        <f t="shared" si="28"/>
        <v>6.0818181818181927</v>
      </c>
      <c r="AU94" s="35">
        <v>47.9</v>
      </c>
      <c r="AV94" s="35">
        <v>46.1</v>
      </c>
      <c r="AW94" s="35">
        <f t="shared" si="29"/>
        <v>62.9</v>
      </c>
      <c r="AX94" s="35"/>
      <c r="AY94" s="35">
        <f t="shared" si="30"/>
        <v>62.9</v>
      </c>
      <c r="AZ94" s="35">
        <v>0</v>
      </c>
      <c r="BA94" s="35">
        <f t="shared" si="31"/>
        <v>62.9</v>
      </c>
      <c r="BB94" s="35">
        <f>MIN(BA94,9.1)</f>
        <v>9.1</v>
      </c>
      <c r="BC94" s="35">
        <f t="shared" si="32"/>
        <v>53.8</v>
      </c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10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10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10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10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10"/>
      <c r="GZ94" s="9"/>
      <c r="HA94" s="9"/>
    </row>
    <row r="95" spans="1:209" s="2" customFormat="1" ht="17" customHeight="1">
      <c r="A95" s="14" t="s">
        <v>94</v>
      </c>
      <c r="B95" s="35">
        <v>646</v>
      </c>
      <c r="C95" s="35">
        <v>790</v>
      </c>
      <c r="D95" s="4">
        <f t="shared" si="22"/>
        <v>1.2022910216718266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805</v>
      </c>
      <c r="O95" s="35">
        <v>721.5</v>
      </c>
      <c r="P95" s="4">
        <f t="shared" si="23"/>
        <v>0.89627329192546579</v>
      </c>
      <c r="Q95" s="11">
        <v>20</v>
      </c>
      <c r="R95" s="35">
        <v>100.7</v>
      </c>
      <c r="S95" s="35">
        <v>119.3</v>
      </c>
      <c r="T95" s="4">
        <f t="shared" si="24"/>
        <v>1.1847070506454815</v>
      </c>
      <c r="U95" s="11">
        <v>25</v>
      </c>
      <c r="V95" s="35">
        <v>7</v>
      </c>
      <c r="W95" s="35">
        <v>8.3000000000000007</v>
      </c>
      <c r="X95" s="4">
        <f t="shared" si="25"/>
        <v>1.1857142857142857</v>
      </c>
      <c r="Y95" s="11">
        <v>25</v>
      </c>
      <c r="Z95" s="11" t="s">
        <v>385</v>
      </c>
      <c r="AA95" s="11" t="s">
        <v>385</v>
      </c>
      <c r="AB95" s="11" t="s">
        <v>385</v>
      </c>
      <c r="AC95" s="11" t="s">
        <v>385</v>
      </c>
      <c r="AD95" s="11">
        <v>388</v>
      </c>
      <c r="AE95" s="11">
        <v>388</v>
      </c>
      <c r="AF95" s="4">
        <f t="shared" si="26"/>
        <v>1</v>
      </c>
      <c r="AG95" s="11">
        <v>20</v>
      </c>
      <c r="AH95" s="5" t="s">
        <v>362</v>
      </c>
      <c r="AI95" s="5" t="s">
        <v>362</v>
      </c>
      <c r="AJ95" s="5" t="s">
        <v>362</v>
      </c>
      <c r="AK95" s="5" t="s">
        <v>362</v>
      </c>
      <c r="AL95" s="5" t="s">
        <v>362</v>
      </c>
      <c r="AM95" s="5" t="s">
        <v>362</v>
      </c>
      <c r="AN95" s="5" t="s">
        <v>362</v>
      </c>
      <c r="AO95" s="5" t="s">
        <v>362</v>
      </c>
      <c r="AP95" s="44">
        <f t="shared" si="33"/>
        <v>1.0920890946422177</v>
      </c>
      <c r="AQ95" s="45">
        <v>1261</v>
      </c>
      <c r="AR95" s="35">
        <f t="shared" si="34"/>
        <v>343.90909090909093</v>
      </c>
      <c r="AS95" s="35">
        <f t="shared" si="27"/>
        <v>375.6</v>
      </c>
      <c r="AT95" s="35">
        <f t="shared" si="28"/>
        <v>31.690909090909088</v>
      </c>
      <c r="AU95" s="35">
        <v>102.2</v>
      </c>
      <c r="AV95" s="35">
        <v>126.1</v>
      </c>
      <c r="AW95" s="35">
        <f t="shared" si="29"/>
        <v>147.30000000000001</v>
      </c>
      <c r="AX95" s="35"/>
      <c r="AY95" s="35">
        <f t="shared" si="30"/>
        <v>147.30000000000001</v>
      </c>
      <c r="AZ95" s="35">
        <v>0</v>
      </c>
      <c r="BA95" s="35">
        <f t="shared" si="31"/>
        <v>147.30000000000001</v>
      </c>
      <c r="BB95" s="35"/>
      <c r="BC95" s="35">
        <f t="shared" si="32"/>
        <v>147.30000000000001</v>
      </c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10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10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10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10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10"/>
      <c r="GZ95" s="9"/>
      <c r="HA95" s="9"/>
    </row>
    <row r="96" spans="1:209" s="2" customFormat="1" ht="17" customHeight="1">
      <c r="A96" s="14" t="s">
        <v>95</v>
      </c>
      <c r="B96" s="35">
        <v>0</v>
      </c>
      <c r="C96" s="35">
        <v>0</v>
      </c>
      <c r="D96" s="4">
        <f t="shared" si="22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251.5</v>
      </c>
      <c r="O96" s="35">
        <v>311.10000000000002</v>
      </c>
      <c r="P96" s="4">
        <f t="shared" si="23"/>
        <v>1.2036978131212723</v>
      </c>
      <c r="Q96" s="11">
        <v>20</v>
      </c>
      <c r="R96" s="35">
        <v>98.5</v>
      </c>
      <c r="S96" s="35">
        <v>114.7</v>
      </c>
      <c r="T96" s="4">
        <f t="shared" si="24"/>
        <v>1.1644670050761421</v>
      </c>
      <c r="U96" s="11">
        <v>25</v>
      </c>
      <c r="V96" s="35">
        <v>10.1</v>
      </c>
      <c r="W96" s="35">
        <v>11.4</v>
      </c>
      <c r="X96" s="4">
        <f t="shared" si="25"/>
        <v>1.1287128712871288</v>
      </c>
      <c r="Y96" s="11">
        <v>25</v>
      </c>
      <c r="Z96" s="11" t="s">
        <v>385</v>
      </c>
      <c r="AA96" s="11" t="s">
        <v>385</v>
      </c>
      <c r="AB96" s="11" t="s">
        <v>385</v>
      </c>
      <c r="AC96" s="11" t="s">
        <v>385</v>
      </c>
      <c r="AD96" s="11">
        <v>170</v>
      </c>
      <c r="AE96" s="11">
        <v>170</v>
      </c>
      <c r="AF96" s="4">
        <f t="shared" si="26"/>
        <v>1</v>
      </c>
      <c r="AG96" s="11">
        <v>20</v>
      </c>
      <c r="AH96" s="5" t="s">
        <v>362</v>
      </c>
      <c r="AI96" s="5" t="s">
        <v>362</v>
      </c>
      <c r="AJ96" s="5" t="s">
        <v>362</v>
      </c>
      <c r="AK96" s="5" t="s">
        <v>362</v>
      </c>
      <c r="AL96" s="5" t="s">
        <v>362</v>
      </c>
      <c r="AM96" s="5" t="s">
        <v>362</v>
      </c>
      <c r="AN96" s="5" t="s">
        <v>362</v>
      </c>
      <c r="AO96" s="5" t="s">
        <v>362</v>
      </c>
      <c r="AP96" s="44">
        <f t="shared" si="33"/>
        <v>1.1267050352389691</v>
      </c>
      <c r="AQ96" s="45">
        <v>686</v>
      </c>
      <c r="AR96" s="35">
        <f t="shared" si="34"/>
        <v>187.09090909090909</v>
      </c>
      <c r="AS96" s="35">
        <f t="shared" si="27"/>
        <v>210.8</v>
      </c>
      <c r="AT96" s="35">
        <f t="shared" si="28"/>
        <v>23.709090909090918</v>
      </c>
      <c r="AU96" s="35">
        <v>66.5</v>
      </c>
      <c r="AV96" s="35">
        <v>57.9</v>
      </c>
      <c r="AW96" s="35">
        <f t="shared" si="29"/>
        <v>86.4</v>
      </c>
      <c r="AX96" s="35"/>
      <c r="AY96" s="35">
        <f t="shared" si="30"/>
        <v>86.4</v>
      </c>
      <c r="AZ96" s="35">
        <v>0</v>
      </c>
      <c r="BA96" s="35">
        <f t="shared" si="31"/>
        <v>86.4</v>
      </c>
      <c r="BB96" s="35">
        <f>MIN(BA96,17.4)</f>
        <v>17.399999999999999</v>
      </c>
      <c r="BC96" s="35">
        <f t="shared" si="32"/>
        <v>69</v>
      </c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10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10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10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10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10"/>
      <c r="GZ96" s="9"/>
      <c r="HA96" s="9"/>
    </row>
    <row r="97" spans="1:209" s="2" customFormat="1" ht="17" customHeight="1">
      <c r="A97" s="14" t="s">
        <v>96</v>
      </c>
      <c r="B97" s="35">
        <v>4575</v>
      </c>
      <c r="C97" s="35">
        <v>4257</v>
      </c>
      <c r="D97" s="4">
        <f t="shared" si="22"/>
        <v>0.93049180327868852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258.39999999999998</v>
      </c>
      <c r="O97" s="35">
        <v>256.89999999999998</v>
      </c>
      <c r="P97" s="4">
        <f t="shared" si="23"/>
        <v>0.99419504643962853</v>
      </c>
      <c r="Q97" s="11">
        <v>20</v>
      </c>
      <c r="R97" s="35">
        <v>6.3</v>
      </c>
      <c r="S97" s="35">
        <v>7.3</v>
      </c>
      <c r="T97" s="4">
        <f t="shared" si="24"/>
        <v>1.1587301587301588</v>
      </c>
      <c r="U97" s="11">
        <v>20</v>
      </c>
      <c r="V97" s="35">
        <v>2.5</v>
      </c>
      <c r="W97" s="35">
        <v>2.9</v>
      </c>
      <c r="X97" s="4">
        <f t="shared" si="25"/>
        <v>1.1599999999999999</v>
      </c>
      <c r="Y97" s="11">
        <v>30</v>
      </c>
      <c r="Z97" s="11" t="s">
        <v>385</v>
      </c>
      <c r="AA97" s="11" t="s">
        <v>385</v>
      </c>
      <c r="AB97" s="11" t="s">
        <v>385</v>
      </c>
      <c r="AC97" s="11" t="s">
        <v>385</v>
      </c>
      <c r="AD97" s="11">
        <v>25</v>
      </c>
      <c r="AE97" s="11">
        <v>25</v>
      </c>
      <c r="AF97" s="4">
        <f t="shared" si="26"/>
        <v>1</v>
      </c>
      <c r="AG97" s="11">
        <v>20</v>
      </c>
      <c r="AH97" s="5" t="s">
        <v>362</v>
      </c>
      <c r="AI97" s="5" t="s">
        <v>362</v>
      </c>
      <c r="AJ97" s="5" t="s">
        <v>362</v>
      </c>
      <c r="AK97" s="5" t="s">
        <v>362</v>
      </c>
      <c r="AL97" s="5" t="s">
        <v>362</v>
      </c>
      <c r="AM97" s="5" t="s">
        <v>362</v>
      </c>
      <c r="AN97" s="5" t="s">
        <v>362</v>
      </c>
      <c r="AO97" s="5" t="s">
        <v>362</v>
      </c>
      <c r="AP97" s="44">
        <f t="shared" si="33"/>
        <v>1.0716342213618264</v>
      </c>
      <c r="AQ97" s="45">
        <v>1000</v>
      </c>
      <c r="AR97" s="35">
        <f t="shared" si="34"/>
        <v>272.72727272727275</v>
      </c>
      <c r="AS97" s="35">
        <f t="shared" si="27"/>
        <v>292.3</v>
      </c>
      <c r="AT97" s="35">
        <f t="shared" si="28"/>
        <v>19.572727272727263</v>
      </c>
      <c r="AU97" s="35">
        <v>92.8</v>
      </c>
      <c r="AV97" s="35">
        <v>104.4</v>
      </c>
      <c r="AW97" s="35">
        <f t="shared" si="29"/>
        <v>95.1</v>
      </c>
      <c r="AX97" s="35"/>
      <c r="AY97" s="35">
        <f t="shared" si="30"/>
        <v>95.1</v>
      </c>
      <c r="AZ97" s="35">
        <v>0</v>
      </c>
      <c r="BA97" s="35">
        <f t="shared" si="31"/>
        <v>95.1</v>
      </c>
      <c r="BB97" s="35">
        <f>MIN(BA97,45.5)</f>
        <v>45.5</v>
      </c>
      <c r="BC97" s="35">
        <f t="shared" si="32"/>
        <v>49.6</v>
      </c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10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10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10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10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10"/>
      <c r="GZ97" s="9"/>
      <c r="HA97" s="9"/>
    </row>
    <row r="98" spans="1:209" s="2" customFormat="1" ht="17" customHeight="1">
      <c r="A98" s="14" t="s">
        <v>97</v>
      </c>
      <c r="B98" s="35">
        <v>226</v>
      </c>
      <c r="C98" s="35">
        <v>246</v>
      </c>
      <c r="D98" s="4">
        <f t="shared" si="22"/>
        <v>1.0884955752212389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1009.7</v>
      </c>
      <c r="O98" s="35">
        <v>1220.5999999999999</v>
      </c>
      <c r="P98" s="4">
        <f t="shared" si="23"/>
        <v>1.200887392294741</v>
      </c>
      <c r="Q98" s="11">
        <v>20</v>
      </c>
      <c r="R98" s="35">
        <v>22.4</v>
      </c>
      <c r="S98" s="35">
        <v>26.5</v>
      </c>
      <c r="T98" s="4">
        <f t="shared" si="24"/>
        <v>1.1830357142857144</v>
      </c>
      <c r="U98" s="11">
        <v>25</v>
      </c>
      <c r="V98" s="35">
        <v>2.7</v>
      </c>
      <c r="W98" s="35">
        <v>3.2</v>
      </c>
      <c r="X98" s="4">
        <f t="shared" si="25"/>
        <v>1.1851851851851851</v>
      </c>
      <c r="Y98" s="11">
        <v>25</v>
      </c>
      <c r="Z98" s="11" t="s">
        <v>385</v>
      </c>
      <c r="AA98" s="11" t="s">
        <v>385</v>
      </c>
      <c r="AB98" s="11" t="s">
        <v>385</v>
      </c>
      <c r="AC98" s="11" t="s">
        <v>385</v>
      </c>
      <c r="AD98" s="11">
        <v>1672</v>
      </c>
      <c r="AE98" s="11">
        <v>1672</v>
      </c>
      <c r="AF98" s="4">
        <f t="shared" si="26"/>
        <v>1</v>
      </c>
      <c r="AG98" s="11">
        <v>20</v>
      </c>
      <c r="AH98" s="5" t="s">
        <v>362</v>
      </c>
      <c r="AI98" s="5" t="s">
        <v>362</v>
      </c>
      <c r="AJ98" s="5" t="s">
        <v>362</v>
      </c>
      <c r="AK98" s="5" t="s">
        <v>362</v>
      </c>
      <c r="AL98" s="5" t="s">
        <v>362</v>
      </c>
      <c r="AM98" s="5" t="s">
        <v>362</v>
      </c>
      <c r="AN98" s="5" t="s">
        <v>362</v>
      </c>
      <c r="AO98" s="5" t="s">
        <v>362</v>
      </c>
      <c r="AP98" s="44">
        <f t="shared" si="33"/>
        <v>1.1410822608487969</v>
      </c>
      <c r="AQ98" s="45">
        <v>955</v>
      </c>
      <c r="AR98" s="35">
        <f t="shared" si="34"/>
        <v>260.45454545454544</v>
      </c>
      <c r="AS98" s="35">
        <f t="shared" si="27"/>
        <v>297.2</v>
      </c>
      <c r="AT98" s="35">
        <f t="shared" si="28"/>
        <v>36.74545454545455</v>
      </c>
      <c r="AU98" s="35">
        <v>86.5</v>
      </c>
      <c r="AV98" s="35">
        <v>98.6</v>
      </c>
      <c r="AW98" s="35">
        <f t="shared" si="29"/>
        <v>112.1</v>
      </c>
      <c r="AX98" s="35"/>
      <c r="AY98" s="35">
        <f t="shared" si="30"/>
        <v>112.1</v>
      </c>
      <c r="AZ98" s="35">
        <v>0</v>
      </c>
      <c r="BA98" s="35">
        <f t="shared" si="31"/>
        <v>112.1</v>
      </c>
      <c r="BB98" s="35"/>
      <c r="BC98" s="35">
        <f t="shared" si="32"/>
        <v>112.1</v>
      </c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10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10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10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10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10"/>
      <c r="GZ98" s="9"/>
      <c r="HA98" s="9"/>
    </row>
    <row r="99" spans="1:209" s="2" customFormat="1" ht="17" customHeight="1">
      <c r="A99" s="14" t="s">
        <v>98</v>
      </c>
      <c r="B99" s="35">
        <v>918</v>
      </c>
      <c r="C99" s="35">
        <v>832</v>
      </c>
      <c r="D99" s="4">
        <f t="shared" si="22"/>
        <v>0.90631808278867099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595.29999999999995</v>
      </c>
      <c r="O99" s="35">
        <v>562.5</v>
      </c>
      <c r="P99" s="4">
        <f t="shared" si="23"/>
        <v>0.94490173022005719</v>
      </c>
      <c r="Q99" s="11">
        <v>20</v>
      </c>
      <c r="R99" s="35">
        <v>399.9</v>
      </c>
      <c r="S99" s="35">
        <v>441.1</v>
      </c>
      <c r="T99" s="4">
        <f t="shared" si="24"/>
        <v>1.1030257564391099</v>
      </c>
      <c r="U99" s="11">
        <v>25</v>
      </c>
      <c r="V99" s="35">
        <v>22.4</v>
      </c>
      <c r="W99" s="35">
        <v>23.4</v>
      </c>
      <c r="X99" s="4">
        <f t="shared" si="25"/>
        <v>1.0446428571428572</v>
      </c>
      <c r="Y99" s="11">
        <v>25</v>
      </c>
      <c r="Z99" s="11" t="s">
        <v>385</v>
      </c>
      <c r="AA99" s="11" t="s">
        <v>385</v>
      </c>
      <c r="AB99" s="11" t="s">
        <v>385</v>
      </c>
      <c r="AC99" s="11" t="s">
        <v>385</v>
      </c>
      <c r="AD99" s="11">
        <v>567</v>
      </c>
      <c r="AE99" s="11">
        <v>567</v>
      </c>
      <c r="AF99" s="4">
        <f t="shared" si="26"/>
        <v>1</v>
      </c>
      <c r="AG99" s="11">
        <v>20</v>
      </c>
      <c r="AH99" s="5" t="s">
        <v>362</v>
      </c>
      <c r="AI99" s="5" t="s">
        <v>362</v>
      </c>
      <c r="AJ99" s="5" t="s">
        <v>362</v>
      </c>
      <c r="AK99" s="5" t="s">
        <v>362</v>
      </c>
      <c r="AL99" s="5" t="s">
        <v>362</v>
      </c>
      <c r="AM99" s="5" t="s">
        <v>362</v>
      </c>
      <c r="AN99" s="5" t="s">
        <v>362</v>
      </c>
      <c r="AO99" s="5" t="s">
        <v>362</v>
      </c>
      <c r="AP99" s="44">
        <f t="shared" si="33"/>
        <v>1.0165293077183704</v>
      </c>
      <c r="AQ99" s="45">
        <v>633</v>
      </c>
      <c r="AR99" s="35">
        <f t="shared" si="34"/>
        <v>172.63636363636363</v>
      </c>
      <c r="AS99" s="35">
        <f t="shared" si="27"/>
        <v>175.5</v>
      </c>
      <c r="AT99" s="35">
        <f t="shared" si="28"/>
        <v>2.863636363636374</v>
      </c>
      <c r="AU99" s="35">
        <v>55.9</v>
      </c>
      <c r="AV99" s="35">
        <v>58.8</v>
      </c>
      <c r="AW99" s="35">
        <f t="shared" si="29"/>
        <v>60.8</v>
      </c>
      <c r="AX99" s="35"/>
      <c r="AY99" s="35">
        <f t="shared" si="30"/>
        <v>60.8</v>
      </c>
      <c r="AZ99" s="35">
        <v>0</v>
      </c>
      <c r="BA99" s="35">
        <f t="shared" si="31"/>
        <v>60.8</v>
      </c>
      <c r="BB99" s="35"/>
      <c r="BC99" s="35">
        <f t="shared" si="32"/>
        <v>60.8</v>
      </c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10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10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10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10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10"/>
      <c r="GZ99" s="9"/>
      <c r="HA99" s="9"/>
    </row>
    <row r="100" spans="1:209" s="2" customFormat="1" ht="17" customHeight="1">
      <c r="A100" s="14" t="s">
        <v>99</v>
      </c>
      <c r="B100" s="35">
        <v>0</v>
      </c>
      <c r="C100" s="35">
        <v>0</v>
      </c>
      <c r="D100" s="4">
        <f t="shared" si="22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103.7</v>
      </c>
      <c r="O100" s="35">
        <v>0</v>
      </c>
      <c r="P100" s="4">
        <f t="shared" si="23"/>
        <v>0</v>
      </c>
      <c r="Q100" s="11">
        <v>20</v>
      </c>
      <c r="R100" s="35">
        <v>49.2</v>
      </c>
      <c r="S100" s="35">
        <v>56.4</v>
      </c>
      <c r="T100" s="4">
        <f t="shared" si="24"/>
        <v>1.1463414634146341</v>
      </c>
      <c r="U100" s="11">
        <v>15</v>
      </c>
      <c r="V100" s="35">
        <v>4.2</v>
      </c>
      <c r="W100" s="35">
        <v>4.8</v>
      </c>
      <c r="X100" s="4">
        <f t="shared" si="25"/>
        <v>1.1428571428571428</v>
      </c>
      <c r="Y100" s="11">
        <v>35</v>
      </c>
      <c r="Z100" s="11" t="s">
        <v>385</v>
      </c>
      <c r="AA100" s="11" t="s">
        <v>385</v>
      </c>
      <c r="AB100" s="11" t="s">
        <v>385</v>
      </c>
      <c r="AC100" s="11" t="s">
        <v>385</v>
      </c>
      <c r="AD100" s="11">
        <v>145</v>
      </c>
      <c r="AE100" s="11">
        <v>145</v>
      </c>
      <c r="AF100" s="4">
        <f t="shared" si="26"/>
        <v>1</v>
      </c>
      <c r="AG100" s="11">
        <v>20</v>
      </c>
      <c r="AH100" s="5" t="s">
        <v>362</v>
      </c>
      <c r="AI100" s="5" t="s">
        <v>362</v>
      </c>
      <c r="AJ100" s="5" t="s">
        <v>362</v>
      </c>
      <c r="AK100" s="5" t="s">
        <v>362</v>
      </c>
      <c r="AL100" s="5" t="s">
        <v>362</v>
      </c>
      <c r="AM100" s="5" t="s">
        <v>362</v>
      </c>
      <c r="AN100" s="5" t="s">
        <v>362</v>
      </c>
      <c r="AO100" s="5" t="s">
        <v>362</v>
      </c>
      <c r="AP100" s="44">
        <f t="shared" si="33"/>
        <v>0.85772357723577231</v>
      </c>
      <c r="AQ100" s="45">
        <v>1299</v>
      </c>
      <c r="AR100" s="35">
        <f t="shared" si="34"/>
        <v>354.27272727272725</v>
      </c>
      <c r="AS100" s="35">
        <f t="shared" si="27"/>
        <v>303.89999999999998</v>
      </c>
      <c r="AT100" s="35">
        <f t="shared" si="28"/>
        <v>-50.372727272727275</v>
      </c>
      <c r="AU100" s="35">
        <v>122.6</v>
      </c>
      <c r="AV100" s="35">
        <v>103.3</v>
      </c>
      <c r="AW100" s="35">
        <f t="shared" si="29"/>
        <v>78</v>
      </c>
      <c r="AX100" s="35"/>
      <c r="AY100" s="35">
        <f t="shared" si="30"/>
        <v>78</v>
      </c>
      <c r="AZ100" s="35">
        <v>0</v>
      </c>
      <c r="BA100" s="35">
        <f t="shared" si="31"/>
        <v>78</v>
      </c>
      <c r="BB100" s="35">
        <f>MIN(BA100,59)</f>
        <v>59</v>
      </c>
      <c r="BC100" s="35">
        <f t="shared" si="32"/>
        <v>19</v>
      </c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10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10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10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10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10"/>
      <c r="GZ100" s="9"/>
      <c r="HA100" s="9"/>
    </row>
    <row r="101" spans="1:209" s="2" customFormat="1" ht="17" customHeight="1">
      <c r="A101" s="46" t="s">
        <v>100</v>
      </c>
      <c r="B101" s="35">
        <v>0</v>
      </c>
      <c r="C101" s="35">
        <v>0</v>
      </c>
      <c r="D101" s="4">
        <f t="shared" si="22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430.5</v>
      </c>
      <c r="O101" s="35">
        <v>666.7</v>
      </c>
      <c r="P101" s="4">
        <f t="shared" si="23"/>
        <v>1.2348664343786295</v>
      </c>
      <c r="Q101" s="11">
        <v>20</v>
      </c>
      <c r="R101" s="35">
        <v>290.10000000000002</v>
      </c>
      <c r="S101" s="35">
        <v>301.39999999999998</v>
      </c>
      <c r="T101" s="4">
        <f t="shared" si="24"/>
        <v>1.0389520854877627</v>
      </c>
      <c r="U101" s="11">
        <v>30</v>
      </c>
      <c r="V101" s="35">
        <v>11.1</v>
      </c>
      <c r="W101" s="35">
        <v>11.2</v>
      </c>
      <c r="X101" s="4">
        <f t="shared" si="25"/>
        <v>1.0090090090090089</v>
      </c>
      <c r="Y101" s="11">
        <v>20</v>
      </c>
      <c r="Z101" s="11" t="s">
        <v>385</v>
      </c>
      <c r="AA101" s="11" t="s">
        <v>385</v>
      </c>
      <c r="AB101" s="11" t="s">
        <v>385</v>
      </c>
      <c r="AC101" s="11" t="s">
        <v>385</v>
      </c>
      <c r="AD101" s="11">
        <v>441</v>
      </c>
      <c r="AE101" s="11">
        <v>441</v>
      </c>
      <c r="AF101" s="4">
        <f t="shared" si="26"/>
        <v>1</v>
      </c>
      <c r="AG101" s="11">
        <v>20</v>
      </c>
      <c r="AH101" s="5" t="s">
        <v>362</v>
      </c>
      <c r="AI101" s="5" t="s">
        <v>362</v>
      </c>
      <c r="AJ101" s="5" t="s">
        <v>362</v>
      </c>
      <c r="AK101" s="5" t="s">
        <v>362</v>
      </c>
      <c r="AL101" s="5" t="s">
        <v>362</v>
      </c>
      <c r="AM101" s="5" t="s">
        <v>362</v>
      </c>
      <c r="AN101" s="5" t="s">
        <v>362</v>
      </c>
      <c r="AO101" s="5" t="s">
        <v>362</v>
      </c>
      <c r="AP101" s="44">
        <f t="shared" si="33"/>
        <v>1.0671785714709516</v>
      </c>
      <c r="AQ101" s="45">
        <v>81</v>
      </c>
      <c r="AR101" s="35">
        <f t="shared" si="34"/>
        <v>22.09090909090909</v>
      </c>
      <c r="AS101" s="35">
        <f t="shared" si="27"/>
        <v>23.6</v>
      </c>
      <c r="AT101" s="35">
        <f t="shared" si="28"/>
        <v>1.5090909090909115</v>
      </c>
      <c r="AU101" s="35">
        <v>8</v>
      </c>
      <c r="AV101" s="35">
        <v>7.4</v>
      </c>
      <c r="AW101" s="35">
        <f t="shared" si="29"/>
        <v>8.1999999999999993</v>
      </c>
      <c r="AX101" s="35"/>
      <c r="AY101" s="35">
        <f t="shared" si="30"/>
        <v>8.1999999999999993</v>
      </c>
      <c r="AZ101" s="35">
        <v>0</v>
      </c>
      <c r="BA101" s="35">
        <f t="shared" si="31"/>
        <v>8.1999999999999993</v>
      </c>
      <c r="BB101" s="35">
        <f>MIN(BA101,3.7)</f>
        <v>3.7</v>
      </c>
      <c r="BC101" s="35">
        <f t="shared" si="32"/>
        <v>4.5</v>
      </c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10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10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10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10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10"/>
      <c r="GZ101" s="9"/>
      <c r="HA101" s="9"/>
    </row>
    <row r="102" spans="1:209" s="2" customFormat="1" ht="17" customHeight="1">
      <c r="A102" s="14" t="s">
        <v>101</v>
      </c>
      <c r="B102" s="35">
        <v>0</v>
      </c>
      <c r="C102" s="35">
        <v>0</v>
      </c>
      <c r="D102" s="4">
        <f t="shared" si="22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175.5</v>
      </c>
      <c r="O102" s="35">
        <v>149.69999999999999</v>
      </c>
      <c r="P102" s="4">
        <f t="shared" si="23"/>
        <v>0.85299145299145296</v>
      </c>
      <c r="Q102" s="11">
        <v>20</v>
      </c>
      <c r="R102" s="35">
        <v>50</v>
      </c>
      <c r="S102" s="35">
        <v>58.1</v>
      </c>
      <c r="T102" s="4">
        <f t="shared" si="24"/>
        <v>1.1619999999999999</v>
      </c>
      <c r="U102" s="11">
        <v>20</v>
      </c>
      <c r="V102" s="35">
        <v>6</v>
      </c>
      <c r="W102" s="35">
        <v>7</v>
      </c>
      <c r="X102" s="4">
        <f t="shared" si="25"/>
        <v>1.1666666666666667</v>
      </c>
      <c r="Y102" s="11">
        <v>30</v>
      </c>
      <c r="Z102" s="11" t="s">
        <v>385</v>
      </c>
      <c r="AA102" s="11" t="s">
        <v>385</v>
      </c>
      <c r="AB102" s="11" t="s">
        <v>385</v>
      </c>
      <c r="AC102" s="11" t="s">
        <v>385</v>
      </c>
      <c r="AD102" s="11">
        <v>201</v>
      </c>
      <c r="AE102" s="11">
        <v>201</v>
      </c>
      <c r="AF102" s="4">
        <f t="shared" si="26"/>
        <v>1</v>
      </c>
      <c r="AG102" s="11">
        <v>20</v>
      </c>
      <c r="AH102" s="5" t="s">
        <v>362</v>
      </c>
      <c r="AI102" s="5" t="s">
        <v>362</v>
      </c>
      <c r="AJ102" s="5" t="s">
        <v>362</v>
      </c>
      <c r="AK102" s="5" t="s">
        <v>362</v>
      </c>
      <c r="AL102" s="5" t="s">
        <v>362</v>
      </c>
      <c r="AM102" s="5" t="s">
        <v>362</v>
      </c>
      <c r="AN102" s="5" t="s">
        <v>362</v>
      </c>
      <c r="AO102" s="5" t="s">
        <v>362</v>
      </c>
      <c r="AP102" s="44">
        <f t="shared" si="33"/>
        <v>1.0588869895536561</v>
      </c>
      <c r="AQ102" s="45">
        <v>842</v>
      </c>
      <c r="AR102" s="35">
        <f t="shared" si="34"/>
        <v>229.63636363636363</v>
      </c>
      <c r="AS102" s="35">
        <f t="shared" si="27"/>
        <v>243.2</v>
      </c>
      <c r="AT102" s="35">
        <f t="shared" si="28"/>
        <v>13.563636363636363</v>
      </c>
      <c r="AU102" s="35">
        <v>91.7</v>
      </c>
      <c r="AV102" s="35">
        <v>66.7</v>
      </c>
      <c r="AW102" s="35">
        <f t="shared" si="29"/>
        <v>84.8</v>
      </c>
      <c r="AX102" s="35"/>
      <c r="AY102" s="35">
        <f t="shared" si="30"/>
        <v>84.8</v>
      </c>
      <c r="AZ102" s="35">
        <v>0</v>
      </c>
      <c r="BA102" s="35">
        <f t="shared" si="31"/>
        <v>84.8</v>
      </c>
      <c r="BB102" s="35"/>
      <c r="BC102" s="35">
        <f t="shared" si="32"/>
        <v>84.8</v>
      </c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10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10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10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10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10"/>
      <c r="GZ102" s="9"/>
      <c r="HA102" s="9"/>
    </row>
    <row r="103" spans="1:209" s="2" customFormat="1" ht="17" customHeight="1">
      <c r="A103" s="14" t="s">
        <v>102</v>
      </c>
      <c r="B103" s="35">
        <v>0</v>
      </c>
      <c r="C103" s="35">
        <v>0</v>
      </c>
      <c r="D103" s="4">
        <f t="shared" si="22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161.9</v>
      </c>
      <c r="O103" s="35">
        <v>160.80000000000001</v>
      </c>
      <c r="P103" s="4">
        <f t="shared" si="23"/>
        <v>0.99320568252007413</v>
      </c>
      <c r="Q103" s="11">
        <v>20</v>
      </c>
      <c r="R103" s="35">
        <v>24.6</v>
      </c>
      <c r="S103" s="35">
        <v>28.6</v>
      </c>
      <c r="T103" s="4">
        <f t="shared" si="24"/>
        <v>1.1626016260162602</v>
      </c>
      <c r="U103" s="11">
        <v>15</v>
      </c>
      <c r="V103" s="35">
        <v>3.4</v>
      </c>
      <c r="W103" s="35">
        <v>3.9</v>
      </c>
      <c r="X103" s="4">
        <f t="shared" si="25"/>
        <v>1.1470588235294117</v>
      </c>
      <c r="Y103" s="11">
        <v>35</v>
      </c>
      <c r="Z103" s="11" t="s">
        <v>385</v>
      </c>
      <c r="AA103" s="11" t="s">
        <v>385</v>
      </c>
      <c r="AB103" s="11" t="s">
        <v>385</v>
      </c>
      <c r="AC103" s="11" t="s">
        <v>385</v>
      </c>
      <c r="AD103" s="11">
        <v>117</v>
      </c>
      <c r="AE103" s="11">
        <v>117</v>
      </c>
      <c r="AF103" s="4">
        <f t="shared" si="26"/>
        <v>1</v>
      </c>
      <c r="AG103" s="11">
        <v>20</v>
      </c>
      <c r="AH103" s="5" t="s">
        <v>362</v>
      </c>
      <c r="AI103" s="5" t="s">
        <v>362</v>
      </c>
      <c r="AJ103" s="5" t="s">
        <v>362</v>
      </c>
      <c r="AK103" s="5" t="s">
        <v>362</v>
      </c>
      <c r="AL103" s="5" t="s">
        <v>362</v>
      </c>
      <c r="AM103" s="5" t="s">
        <v>362</v>
      </c>
      <c r="AN103" s="5" t="s">
        <v>362</v>
      </c>
      <c r="AO103" s="5" t="s">
        <v>362</v>
      </c>
      <c r="AP103" s="44">
        <f t="shared" si="33"/>
        <v>1.0827799651574976</v>
      </c>
      <c r="AQ103" s="45">
        <v>542</v>
      </c>
      <c r="AR103" s="35">
        <f t="shared" si="34"/>
        <v>147.81818181818181</v>
      </c>
      <c r="AS103" s="35">
        <f t="shared" si="27"/>
        <v>160.1</v>
      </c>
      <c r="AT103" s="35">
        <f t="shared" si="28"/>
        <v>12.281818181818181</v>
      </c>
      <c r="AU103" s="35">
        <v>54.5</v>
      </c>
      <c r="AV103" s="35">
        <v>57.4</v>
      </c>
      <c r="AW103" s="35">
        <f t="shared" si="29"/>
        <v>48.2</v>
      </c>
      <c r="AX103" s="35"/>
      <c r="AY103" s="35">
        <f t="shared" si="30"/>
        <v>48.2</v>
      </c>
      <c r="AZ103" s="35">
        <v>0</v>
      </c>
      <c r="BA103" s="35">
        <f t="shared" si="31"/>
        <v>48.2</v>
      </c>
      <c r="BB103" s="35">
        <f>MIN(BA103,8.3)</f>
        <v>8.3000000000000007</v>
      </c>
      <c r="BC103" s="35">
        <f t="shared" si="32"/>
        <v>39.9</v>
      </c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10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10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10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10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10"/>
      <c r="GZ103" s="9"/>
      <c r="HA103" s="9"/>
    </row>
    <row r="104" spans="1:209" s="2" customFormat="1" ht="17" customHeight="1">
      <c r="A104" s="18" t="s">
        <v>103</v>
      </c>
      <c r="B104" s="6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35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10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10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10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10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10"/>
      <c r="GZ104" s="9"/>
      <c r="HA104" s="9"/>
    </row>
    <row r="105" spans="1:209" s="2" customFormat="1" ht="15.55" customHeight="1">
      <c r="A105" s="14" t="s">
        <v>104</v>
      </c>
      <c r="B105" s="35">
        <v>466134</v>
      </c>
      <c r="C105" s="35">
        <v>909624.5</v>
      </c>
      <c r="D105" s="4">
        <f t="shared" si="22"/>
        <v>1.2751422766843867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6292.8</v>
      </c>
      <c r="O105" s="35">
        <v>7414.3</v>
      </c>
      <c r="P105" s="4">
        <f t="shared" si="23"/>
        <v>1.1782195525044494</v>
      </c>
      <c r="Q105" s="11">
        <v>20</v>
      </c>
      <c r="R105" s="35">
        <v>22</v>
      </c>
      <c r="S105" s="35">
        <v>41.4</v>
      </c>
      <c r="T105" s="4">
        <f t="shared" si="24"/>
        <v>1.2681818181818181</v>
      </c>
      <c r="U105" s="11">
        <v>30</v>
      </c>
      <c r="V105" s="35">
        <v>43</v>
      </c>
      <c r="W105" s="35">
        <v>84.7</v>
      </c>
      <c r="X105" s="4">
        <f t="shared" si="25"/>
        <v>1.2769767441860465</v>
      </c>
      <c r="Y105" s="11">
        <v>20</v>
      </c>
      <c r="Z105" s="11" t="s">
        <v>385</v>
      </c>
      <c r="AA105" s="11" t="s">
        <v>385</v>
      </c>
      <c r="AB105" s="11" t="s">
        <v>385</v>
      </c>
      <c r="AC105" s="11" t="s">
        <v>385</v>
      </c>
      <c r="AD105" s="11">
        <v>80</v>
      </c>
      <c r="AE105" s="11">
        <v>81</v>
      </c>
      <c r="AF105" s="4">
        <f t="shared" si="26"/>
        <v>1.0125</v>
      </c>
      <c r="AG105" s="11">
        <v>20</v>
      </c>
      <c r="AH105" s="5" t="s">
        <v>362</v>
      </c>
      <c r="AI105" s="5" t="s">
        <v>362</v>
      </c>
      <c r="AJ105" s="5" t="s">
        <v>362</v>
      </c>
      <c r="AK105" s="5" t="s">
        <v>362</v>
      </c>
      <c r="AL105" s="5" t="s">
        <v>362</v>
      </c>
      <c r="AM105" s="5" t="s">
        <v>362</v>
      </c>
      <c r="AN105" s="5" t="s">
        <v>362</v>
      </c>
      <c r="AO105" s="5" t="s">
        <v>362</v>
      </c>
      <c r="AP105" s="44">
        <f t="shared" si="33"/>
        <v>1.2015080324610832</v>
      </c>
      <c r="AQ105" s="45">
        <v>1514</v>
      </c>
      <c r="AR105" s="35">
        <f t="shared" si="34"/>
        <v>412.90909090909088</v>
      </c>
      <c r="AS105" s="35">
        <f t="shared" si="27"/>
        <v>496.1</v>
      </c>
      <c r="AT105" s="35">
        <f t="shared" si="28"/>
        <v>83.190909090909145</v>
      </c>
      <c r="AU105" s="35">
        <v>175.5</v>
      </c>
      <c r="AV105" s="35">
        <v>156.1</v>
      </c>
      <c r="AW105" s="35">
        <f t="shared" si="29"/>
        <v>164.5</v>
      </c>
      <c r="AX105" s="35"/>
      <c r="AY105" s="35">
        <f t="shared" si="30"/>
        <v>164.5</v>
      </c>
      <c r="AZ105" s="35">
        <v>0</v>
      </c>
      <c r="BA105" s="35">
        <f t="shared" si="31"/>
        <v>164.5</v>
      </c>
      <c r="BB105" s="35">
        <f>MIN(BA105,32.8)</f>
        <v>32.799999999999997</v>
      </c>
      <c r="BC105" s="35">
        <f t="shared" si="32"/>
        <v>131.69999999999999</v>
      </c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10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10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10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10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10"/>
      <c r="GZ105" s="9"/>
      <c r="HA105" s="9"/>
    </row>
    <row r="106" spans="1:209" s="2" customFormat="1" ht="17" customHeight="1">
      <c r="A106" s="14" t="s">
        <v>105</v>
      </c>
      <c r="B106" s="35">
        <v>0</v>
      </c>
      <c r="C106" s="35">
        <v>1395.4</v>
      </c>
      <c r="D106" s="4">
        <f t="shared" si="22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1868.4</v>
      </c>
      <c r="O106" s="35">
        <v>4225</v>
      </c>
      <c r="P106" s="4">
        <f t="shared" si="23"/>
        <v>1.3</v>
      </c>
      <c r="Q106" s="11">
        <v>20</v>
      </c>
      <c r="R106" s="35">
        <v>150</v>
      </c>
      <c r="S106" s="35">
        <v>168</v>
      </c>
      <c r="T106" s="4">
        <f t="shared" si="24"/>
        <v>1.1200000000000001</v>
      </c>
      <c r="U106" s="11">
        <v>25</v>
      </c>
      <c r="V106" s="35">
        <v>108.2</v>
      </c>
      <c r="W106" s="35">
        <v>111.8</v>
      </c>
      <c r="X106" s="4">
        <f t="shared" si="25"/>
        <v>1.033271719038817</v>
      </c>
      <c r="Y106" s="11">
        <v>25</v>
      </c>
      <c r="Z106" s="11" t="s">
        <v>385</v>
      </c>
      <c r="AA106" s="11" t="s">
        <v>385</v>
      </c>
      <c r="AB106" s="11" t="s">
        <v>385</v>
      </c>
      <c r="AC106" s="11" t="s">
        <v>385</v>
      </c>
      <c r="AD106" s="11">
        <v>927</v>
      </c>
      <c r="AE106" s="11">
        <v>1009</v>
      </c>
      <c r="AF106" s="4">
        <f t="shared" si="26"/>
        <v>1.0884573894282632</v>
      </c>
      <c r="AG106" s="11">
        <v>20</v>
      </c>
      <c r="AH106" s="5" t="s">
        <v>362</v>
      </c>
      <c r="AI106" s="5" t="s">
        <v>362</v>
      </c>
      <c r="AJ106" s="5" t="s">
        <v>362</v>
      </c>
      <c r="AK106" s="5" t="s">
        <v>362</v>
      </c>
      <c r="AL106" s="5" t="s">
        <v>362</v>
      </c>
      <c r="AM106" s="5" t="s">
        <v>362</v>
      </c>
      <c r="AN106" s="5" t="s">
        <v>362</v>
      </c>
      <c r="AO106" s="5" t="s">
        <v>362</v>
      </c>
      <c r="AP106" s="44">
        <f t="shared" si="33"/>
        <v>1.1288993418281743</v>
      </c>
      <c r="AQ106" s="45">
        <v>1297</v>
      </c>
      <c r="AR106" s="35">
        <f t="shared" si="34"/>
        <v>353.72727272727275</v>
      </c>
      <c r="AS106" s="35">
        <f t="shared" si="27"/>
        <v>399.3</v>
      </c>
      <c r="AT106" s="35">
        <f t="shared" si="28"/>
        <v>45.572727272727263</v>
      </c>
      <c r="AU106" s="35">
        <v>133.69999999999999</v>
      </c>
      <c r="AV106" s="35">
        <v>133</v>
      </c>
      <c r="AW106" s="35">
        <f t="shared" si="29"/>
        <v>132.6</v>
      </c>
      <c r="AX106" s="35"/>
      <c r="AY106" s="35">
        <f t="shared" si="30"/>
        <v>132.6</v>
      </c>
      <c r="AZ106" s="35">
        <v>0</v>
      </c>
      <c r="BA106" s="35">
        <f t="shared" si="31"/>
        <v>132.6</v>
      </c>
      <c r="BB106" s="35"/>
      <c r="BC106" s="35">
        <f t="shared" si="32"/>
        <v>132.6</v>
      </c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10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10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10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10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10"/>
      <c r="GZ106" s="9"/>
      <c r="HA106" s="9"/>
    </row>
    <row r="107" spans="1:209" s="2" customFormat="1" ht="17" customHeight="1">
      <c r="A107" s="14" t="s">
        <v>106</v>
      </c>
      <c r="B107" s="35">
        <v>2066</v>
      </c>
      <c r="C107" s="35">
        <v>4273.6000000000004</v>
      </c>
      <c r="D107" s="4">
        <f t="shared" si="22"/>
        <v>1.2868538238141336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4355.3999999999996</v>
      </c>
      <c r="O107" s="35">
        <v>4802.8999999999996</v>
      </c>
      <c r="P107" s="4">
        <f t="shared" si="23"/>
        <v>1.1027460164393625</v>
      </c>
      <c r="Q107" s="11">
        <v>20</v>
      </c>
      <c r="R107" s="35">
        <v>4.2</v>
      </c>
      <c r="S107" s="35">
        <v>4.3</v>
      </c>
      <c r="T107" s="4">
        <f t="shared" si="24"/>
        <v>1.0238095238095237</v>
      </c>
      <c r="U107" s="11">
        <v>25</v>
      </c>
      <c r="V107" s="35">
        <v>15</v>
      </c>
      <c r="W107" s="35">
        <v>18.3</v>
      </c>
      <c r="X107" s="4">
        <f t="shared" si="25"/>
        <v>1.202</v>
      </c>
      <c r="Y107" s="11">
        <v>25</v>
      </c>
      <c r="Z107" s="11" t="s">
        <v>385</v>
      </c>
      <c r="AA107" s="11" t="s">
        <v>385</v>
      </c>
      <c r="AB107" s="11" t="s">
        <v>385</v>
      </c>
      <c r="AC107" s="11" t="s">
        <v>385</v>
      </c>
      <c r="AD107" s="11">
        <v>404</v>
      </c>
      <c r="AE107" s="11">
        <v>375</v>
      </c>
      <c r="AF107" s="4">
        <f t="shared" si="26"/>
        <v>0.92821782178217827</v>
      </c>
      <c r="AG107" s="11">
        <v>20</v>
      </c>
      <c r="AH107" s="5" t="s">
        <v>362</v>
      </c>
      <c r="AI107" s="5" t="s">
        <v>362</v>
      </c>
      <c r="AJ107" s="5" t="s">
        <v>362</v>
      </c>
      <c r="AK107" s="5" t="s">
        <v>362</v>
      </c>
      <c r="AL107" s="5" t="s">
        <v>362</v>
      </c>
      <c r="AM107" s="5" t="s">
        <v>362</v>
      </c>
      <c r="AN107" s="5" t="s">
        <v>362</v>
      </c>
      <c r="AO107" s="5" t="s">
        <v>362</v>
      </c>
      <c r="AP107" s="44">
        <f t="shared" si="33"/>
        <v>1.0913305309781023</v>
      </c>
      <c r="AQ107" s="45">
        <v>2238</v>
      </c>
      <c r="AR107" s="35">
        <f t="shared" si="34"/>
        <v>610.36363636363637</v>
      </c>
      <c r="AS107" s="35">
        <f t="shared" si="27"/>
        <v>666.1</v>
      </c>
      <c r="AT107" s="35">
        <f t="shared" si="28"/>
        <v>55.736363636363649</v>
      </c>
      <c r="AU107" s="35">
        <v>233.4</v>
      </c>
      <c r="AV107" s="35">
        <v>213.7</v>
      </c>
      <c r="AW107" s="35">
        <f t="shared" si="29"/>
        <v>219</v>
      </c>
      <c r="AX107" s="35"/>
      <c r="AY107" s="35">
        <f t="shared" si="30"/>
        <v>219</v>
      </c>
      <c r="AZ107" s="35">
        <v>0</v>
      </c>
      <c r="BA107" s="35">
        <f t="shared" si="31"/>
        <v>219</v>
      </c>
      <c r="BB107" s="35">
        <f>MIN(BA107,101.7)</f>
        <v>101.7</v>
      </c>
      <c r="BC107" s="35">
        <f t="shared" si="32"/>
        <v>117.3</v>
      </c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10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10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10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10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10"/>
      <c r="GZ107" s="9"/>
      <c r="HA107" s="9"/>
    </row>
    <row r="108" spans="1:209" s="2" customFormat="1" ht="17" customHeight="1">
      <c r="A108" s="14" t="s">
        <v>107</v>
      </c>
      <c r="B108" s="35">
        <v>212232</v>
      </c>
      <c r="C108" s="35">
        <v>61970</v>
      </c>
      <c r="D108" s="4">
        <f t="shared" si="22"/>
        <v>0.29199178257755665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6216.7</v>
      </c>
      <c r="O108" s="35">
        <v>6157.3</v>
      </c>
      <c r="P108" s="4">
        <f t="shared" si="23"/>
        <v>0.99044509144723092</v>
      </c>
      <c r="Q108" s="11">
        <v>20</v>
      </c>
      <c r="R108" s="35">
        <v>3</v>
      </c>
      <c r="S108" s="35">
        <v>3</v>
      </c>
      <c r="T108" s="4">
        <f t="shared" si="24"/>
        <v>1</v>
      </c>
      <c r="U108" s="11">
        <v>20</v>
      </c>
      <c r="V108" s="35">
        <v>6</v>
      </c>
      <c r="W108" s="35">
        <v>10.3</v>
      </c>
      <c r="X108" s="4">
        <f t="shared" si="25"/>
        <v>1.2516666666666667</v>
      </c>
      <c r="Y108" s="11">
        <v>30</v>
      </c>
      <c r="Z108" s="11" t="s">
        <v>385</v>
      </c>
      <c r="AA108" s="11" t="s">
        <v>385</v>
      </c>
      <c r="AB108" s="11" t="s">
        <v>385</v>
      </c>
      <c r="AC108" s="11" t="s">
        <v>385</v>
      </c>
      <c r="AD108" s="11">
        <v>52</v>
      </c>
      <c r="AE108" s="11">
        <v>42</v>
      </c>
      <c r="AF108" s="4">
        <f t="shared" si="26"/>
        <v>0.80769230769230771</v>
      </c>
      <c r="AG108" s="11">
        <v>20</v>
      </c>
      <c r="AH108" s="5" t="s">
        <v>362</v>
      </c>
      <c r="AI108" s="5" t="s">
        <v>362</v>
      </c>
      <c r="AJ108" s="5" t="s">
        <v>362</v>
      </c>
      <c r="AK108" s="5" t="s">
        <v>362</v>
      </c>
      <c r="AL108" s="5" t="s">
        <v>362</v>
      </c>
      <c r="AM108" s="5" t="s">
        <v>362</v>
      </c>
      <c r="AN108" s="5" t="s">
        <v>362</v>
      </c>
      <c r="AO108" s="5" t="s">
        <v>362</v>
      </c>
      <c r="AP108" s="44">
        <f t="shared" si="33"/>
        <v>0.96432665808566354</v>
      </c>
      <c r="AQ108" s="45">
        <v>1455</v>
      </c>
      <c r="AR108" s="35">
        <f t="shared" si="34"/>
        <v>396.81818181818187</v>
      </c>
      <c r="AS108" s="35">
        <f t="shared" si="27"/>
        <v>382.7</v>
      </c>
      <c r="AT108" s="35">
        <f t="shared" si="28"/>
        <v>-14.118181818181881</v>
      </c>
      <c r="AU108" s="35">
        <v>141.80000000000001</v>
      </c>
      <c r="AV108" s="35">
        <v>119.9</v>
      </c>
      <c r="AW108" s="35">
        <f t="shared" si="29"/>
        <v>121</v>
      </c>
      <c r="AX108" s="35"/>
      <c r="AY108" s="35">
        <f t="shared" si="30"/>
        <v>121</v>
      </c>
      <c r="AZ108" s="35">
        <v>0</v>
      </c>
      <c r="BA108" s="35">
        <f t="shared" si="31"/>
        <v>121</v>
      </c>
      <c r="BB108" s="35">
        <f>MIN(BA108,66.1)</f>
        <v>66.099999999999994</v>
      </c>
      <c r="BC108" s="35">
        <f t="shared" si="32"/>
        <v>54.9</v>
      </c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10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10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10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10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10"/>
      <c r="GZ108" s="9"/>
      <c r="HA108" s="9"/>
    </row>
    <row r="109" spans="1:209" s="2" customFormat="1" ht="17" customHeight="1">
      <c r="A109" s="14" t="s">
        <v>108</v>
      </c>
      <c r="B109" s="35">
        <v>26349</v>
      </c>
      <c r="C109" s="35">
        <v>7554.7</v>
      </c>
      <c r="D109" s="4">
        <f t="shared" si="22"/>
        <v>0.28671676344453301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11597.5</v>
      </c>
      <c r="O109" s="35">
        <v>12062.9</v>
      </c>
      <c r="P109" s="4">
        <f t="shared" si="23"/>
        <v>1.0401293382194439</v>
      </c>
      <c r="Q109" s="11">
        <v>20</v>
      </c>
      <c r="R109" s="35">
        <v>432</v>
      </c>
      <c r="S109" s="35">
        <v>616.9</v>
      </c>
      <c r="T109" s="4">
        <f t="shared" si="24"/>
        <v>1.2228009259259258</v>
      </c>
      <c r="U109" s="11">
        <v>25</v>
      </c>
      <c r="V109" s="35">
        <v>0.5</v>
      </c>
      <c r="W109" s="35">
        <v>2.8</v>
      </c>
      <c r="X109" s="4">
        <f t="shared" si="25"/>
        <v>1.3</v>
      </c>
      <c r="Y109" s="11">
        <v>25</v>
      </c>
      <c r="Z109" s="11" t="s">
        <v>385</v>
      </c>
      <c r="AA109" s="11" t="s">
        <v>385</v>
      </c>
      <c r="AB109" s="11" t="s">
        <v>385</v>
      </c>
      <c r="AC109" s="11" t="s">
        <v>385</v>
      </c>
      <c r="AD109" s="11">
        <v>629</v>
      </c>
      <c r="AE109" s="11">
        <v>629</v>
      </c>
      <c r="AF109" s="4">
        <f t="shared" si="26"/>
        <v>1</v>
      </c>
      <c r="AG109" s="11">
        <v>20</v>
      </c>
      <c r="AH109" s="5" t="s">
        <v>362</v>
      </c>
      <c r="AI109" s="5" t="s">
        <v>362</v>
      </c>
      <c r="AJ109" s="5" t="s">
        <v>362</v>
      </c>
      <c r="AK109" s="5" t="s">
        <v>362</v>
      </c>
      <c r="AL109" s="5" t="s">
        <v>362</v>
      </c>
      <c r="AM109" s="5" t="s">
        <v>362</v>
      </c>
      <c r="AN109" s="5" t="s">
        <v>362</v>
      </c>
      <c r="AO109" s="5" t="s">
        <v>362</v>
      </c>
      <c r="AP109" s="44">
        <f t="shared" si="33"/>
        <v>1.0673977754698236</v>
      </c>
      <c r="AQ109" s="45">
        <v>1663</v>
      </c>
      <c r="AR109" s="35">
        <f t="shared" si="34"/>
        <v>453.54545454545456</v>
      </c>
      <c r="AS109" s="35">
        <f t="shared" si="27"/>
        <v>484.1</v>
      </c>
      <c r="AT109" s="35">
        <f t="shared" si="28"/>
        <v>30.554545454545462</v>
      </c>
      <c r="AU109" s="35">
        <v>157.6</v>
      </c>
      <c r="AV109" s="35">
        <v>140.80000000000001</v>
      </c>
      <c r="AW109" s="35">
        <f t="shared" si="29"/>
        <v>185.7</v>
      </c>
      <c r="AX109" s="35"/>
      <c r="AY109" s="35">
        <f t="shared" si="30"/>
        <v>185.7</v>
      </c>
      <c r="AZ109" s="35">
        <v>0</v>
      </c>
      <c r="BA109" s="35">
        <f t="shared" si="31"/>
        <v>185.7</v>
      </c>
      <c r="BB109" s="35">
        <f>MIN(BA109,58.8)</f>
        <v>58.8</v>
      </c>
      <c r="BC109" s="35">
        <f t="shared" si="32"/>
        <v>126.9</v>
      </c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10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10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10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10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10"/>
      <c r="GZ109" s="9"/>
      <c r="HA109" s="9"/>
    </row>
    <row r="110" spans="1:209" s="2" customFormat="1" ht="17" customHeight="1">
      <c r="A110" s="14" t="s">
        <v>109</v>
      </c>
      <c r="B110" s="35">
        <v>234196</v>
      </c>
      <c r="C110" s="35">
        <v>168008.9</v>
      </c>
      <c r="D110" s="4">
        <f t="shared" si="22"/>
        <v>0.71738586483116706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2886.9</v>
      </c>
      <c r="O110" s="35">
        <v>0</v>
      </c>
      <c r="P110" s="4">
        <f t="shared" si="23"/>
        <v>0</v>
      </c>
      <c r="Q110" s="11">
        <v>20</v>
      </c>
      <c r="R110" s="35">
        <v>3</v>
      </c>
      <c r="S110" s="35">
        <v>10</v>
      </c>
      <c r="T110" s="4">
        <f t="shared" si="24"/>
        <v>1.3</v>
      </c>
      <c r="U110" s="11">
        <v>30</v>
      </c>
      <c r="V110" s="35">
        <v>0.8</v>
      </c>
      <c r="W110" s="35">
        <v>3.6</v>
      </c>
      <c r="X110" s="4">
        <f t="shared" si="25"/>
        <v>1.3</v>
      </c>
      <c r="Y110" s="11">
        <v>20</v>
      </c>
      <c r="Z110" s="11" t="s">
        <v>385</v>
      </c>
      <c r="AA110" s="11" t="s">
        <v>385</v>
      </c>
      <c r="AB110" s="11" t="s">
        <v>385</v>
      </c>
      <c r="AC110" s="11" t="s">
        <v>385</v>
      </c>
      <c r="AD110" s="11">
        <v>21</v>
      </c>
      <c r="AE110" s="11">
        <v>21</v>
      </c>
      <c r="AF110" s="4">
        <f t="shared" si="26"/>
        <v>1</v>
      </c>
      <c r="AG110" s="11">
        <v>20</v>
      </c>
      <c r="AH110" s="5" t="s">
        <v>362</v>
      </c>
      <c r="AI110" s="5" t="s">
        <v>362</v>
      </c>
      <c r="AJ110" s="5" t="s">
        <v>362</v>
      </c>
      <c r="AK110" s="5" t="s">
        <v>362</v>
      </c>
      <c r="AL110" s="5" t="s">
        <v>362</v>
      </c>
      <c r="AM110" s="5" t="s">
        <v>362</v>
      </c>
      <c r="AN110" s="5" t="s">
        <v>362</v>
      </c>
      <c r="AO110" s="5" t="s">
        <v>362</v>
      </c>
      <c r="AP110" s="44">
        <f t="shared" si="33"/>
        <v>0.92173858648311668</v>
      </c>
      <c r="AQ110" s="45">
        <v>1917</v>
      </c>
      <c r="AR110" s="35">
        <f t="shared" si="34"/>
        <v>522.81818181818187</v>
      </c>
      <c r="AS110" s="35">
        <f t="shared" si="27"/>
        <v>481.9</v>
      </c>
      <c r="AT110" s="35">
        <f t="shared" si="28"/>
        <v>-40.918181818181893</v>
      </c>
      <c r="AU110" s="35">
        <v>153.5</v>
      </c>
      <c r="AV110" s="35">
        <v>156.9</v>
      </c>
      <c r="AW110" s="35">
        <f t="shared" si="29"/>
        <v>171.5</v>
      </c>
      <c r="AX110" s="35"/>
      <c r="AY110" s="35">
        <f t="shared" si="30"/>
        <v>171.5</v>
      </c>
      <c r="AZ110" s="35">
        <v>0</v>
      </c>
      <c r="BA110" s="35">
        <f t="shared" si="31"/>
        <v>171.5</v>
      </c>
      <c r="BB110" s="35">
        <f>MIN(BA110,87.1)</f>
        <v>87.1</v>
      </c>
      <c r="BC110" s="35">
        <f t="shared" si="32"/>
        <v>84.4</v>
      </c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10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10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10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10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10"/>
      <c r="GZ110" s="9"/>
      <c r="HA110" s="9"/>
    </row>
    <row r="111" spans="1:209" s="2" customFormat="1" ht="17" customHeight="1">
      <c r="A111" s="14" t="s">
        <v>110</v>
      </c>
      <c r="B111" s="35">
        <v>0</v>
      </c>
      <c r="C111" s="35">
        <v>785</v>
      </c>
      <c r="D111" s="4">
        <f t="shared" ref="D111:D174" si="35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1644.2</v>
      </c>
      <c r="O111" s="35">
        <v>843.8</v>
      </c>
      <c r="P111" s="4">
        <f t="shared" ref="P111:P174" si="36">IF(Q111=0,0,IF(N111=0,1,IF(O111&lt;0,0,IF(O111/N111&gt;1.2,IF((O111/N111-1.2)*0.1+1.2&gt;1.3,1.3,(O111/N111-1.2)*0.1+1.2),O111/N111))))</f>
        <v>0.51319790779710495</v>
      </c>
      <c r="Q111" s="11">
        <v>20</v>
      </c>
      <c r="R111" s="35">
        <v>97</v>
      </c>
      <c r="S111" s="35">
        <v>102.1</v>
      </c>
      <c r="T111" s="4">
        <f t="shared" ref="T111:T174" si="37">IF(U111=0,0,IF(R111=0,1,IF(S111&lt;0,0,IF(S111/R111&gt;1.2,IF((S111/R111-1.2)*0.1+1.2&gt;1.3,1.3,(S111/R111-1.2)*0.1+1.2),S111/R111))))</f>
        <v>1.0525773195876289</v>
      </c>
      <c r="U111" s="11">
        <v>20</v>
      </c>
      <c r="V111" s="35">
        <v>75</v>
      </c>
      <c r="W111" s="35">
        <v>77.400000000000006</v>
      </c>
      <c r="X111" s="4">
        <f t="shared" ref="X111:X174" si="38">IF(Y111=0,0,IF(V111=0,1,IF(W111&lt;0,0,IF(W111/V111&gt;1.2,IF((W111/V111-1.2)*0.1+1.2&gt;1.3,1.3,(W111/V111-1.2)*0.1+1.2),W111/V111))))</f>
        <v>1.032</v>
      </c>
      <c r="Y111" s="11">
        <v>30</v>
      </c>
      <c r="Z111" s="11" t="s">
        <v>385</v>
      </c>
      <c r="AA111" s="11" t="s">
        <v>385</v>
      </c>
      <c r="AB111" s="11" t="s">
        <v>385</v>
      </c>
      <c r="AC111" s="11" t="s">
        <v>385</v>
      </c>
      <c r="AD111" s="11">
        <v>1150</v>
      </c>
      <c r="AE111" s="11">
        <v>617</v>
      </c>
      <c r="AF111" s="4">
        <f t="shared" ref="AF111:AF174" si="39">IF(AG111=0,0,IF(AD111=0,1,IF(AE111&lt;0,0,IF(AE111/AD111&gt;1.2,IF((AE111/AD111-1.2)*0.1+1.2&gt;1.3,1.3,(AE111/AD111-1.2)*0.1+1.2),AE111/AD111))))</f>
        <v>0.53652173913043477</v>
      </c>
      <c r="AG111" s="11">
        <v>20</v>
      </c>
      <c r="AH111" s="5" t="s">
        <v>362</v>
      </c>
      <c r="AI111" s="5" t="s">
        <v>362</v>
      </c>
      <c r="AJ111" s="5" t="s">
        <v>362</v>
      </c>
      <c r="AK111" s="5" t="s">
        <v>362</v>
      </c>
      <c r="AL111" s="5" t="s">
        <v>362</v>
      </c>
      <c r="AM111" s="5" t="s">
        <v>362</v>
      </c>
      <c r="AN111" s="5" t="s">
        <v>362</v>
      </c>
      <c r="AO111" s="5" t="s">
        <v>362</v>
      </c>
      <c r="AP111" s="44">
        <f t="shared" si="33"/>
        <v>0.81117710367003748</v>
      </c>
      <c r="AQ111" s="45">
        <v>2699</v>
      </c>
      <c r="AR111" s="35">
        <f t="shared" ref="AR111:AR174" si="40">AQ111/11*3</f>
        <v>736.09090909090912</v>
      </c>
      <c r="AS111" s="35">
        <f t="shared" ref="AS111:AS174" si="41">ROUND(AP111*AR111,1)</f>
        <v>597.1</v>
      </c>
      <c r="AT111" s="35">
        <f t="shared" ref="AT111:AT174" si="42">AS111-AR111</f>
        <v>-138.9909090909091</v>
      </c>
      <c r="AU111" s="35">
        <v>242.2</v>
      </c>
      <c r="AV111" s="35">
        <v>201.6</v>
      </c>
      <c r="AW111" s="35">
        <f t="shared" ref="AW111:AW174" si="43">ROUND(AS111-SUM(AU111:AV111),1)</f>
        <v>153.30000000000001</v>
      </c>
      <c r="AX111" s="35"/>
      <c r="AY111" s="35">
        <f t="shared" ref="AY111:AY174" si="44">IF(OR(AW111&lt;0,AX111="+"),0,AW111)</f>
        <v>153.30000000000001</v>
      </c>
      <c r="AZ111" s="35">
        <v>0</v>
      </c>
      <c r="BA111" s="35">
        <f t="shared" ref="BA111:BA174" si="45">AY111+AZ111</f>
        <v>153.30000000000001</v>
      </c>
      <c r="BB111" s="35">
        <f>MIN(BA111,99.8)</f>
        <v>99.8</v>
      </c>
      <c r="BC111" s="35">
        <f t="shared" ref="BC111:BC174" si="46">IF((BA111-BB111)&gt;0,ROUND(BA111-BB111,1),0)</f>
        <v>53.5</v>
      </c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10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10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10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10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10"/>
      <c r="GZ111" s="9"/>
      <c r="HA111" s="9"/>
    </row>
    <row r="112" spans="1:209" s="2" customFormat="1" ht="17" customHeight="1">
      <c r="A112" s="14" t="s">
        <v>111</v>
      </c>
      <c r="B112" s="35">
        <v>69100</v>
      </c>
      <c r="C112" s="35">
        <v>48247</v>
      </c>
      <c r="D112" s="4">
        <f t="shared" si="35"/>
        <v>0.69821997105643996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2264.3000000000002</v>
      </c>
      <c r="O112" s="35">
        <v>11659.4</v>
      </c>
      <c r="P112" s="4">
        <f t="shared" si="36"/>
        <v>1.3</v>
      </c>
      <c r="Q112" s="11">
        <v>20</v>
      </c>
      <c r="R112" s="35">
        <v>124</v>
      </c>
      <c r="S112" s="35">
        <v>179.8</v>
      </c>
      <c r="T112" s="4">
        <f t="shared" si="37"/>
        <v>1.2250000000000001</v>
      </c>
      <c r="U112" s="11">
        <v>25</v>
      </c>
      <c r="V112" s="35">
        <v>235</v>
      </c>
      <c r="W112" s="35">
        <v>268.10000000000002</v>
      </c>
      <c r="X112" s="4">
        <f t="shared" si="38"/>
        <v>1.1408510638297873</v>
      </c>
      <c r="Y112" s="11">
        <v>25</v>
      </c>
      <c r="Z112" s="11" t="s">
        <v>385</v>
      </c>
      <c r="AA112" s="11" t="s">
        <v>385</v>
      </c>
      <c r="AB112" s="11" t="s">
        <v>385</v>
      </c>
      <c r="AC112" s="11" t="s">
        <v>385</v>
      </c>
      <c r="AD112" s="11">
        <v>390</v>
      </c>
      <c r="AE112" s="11">
        <v>376</v>
      </c>
      <c r="AF112" s="4">
        <f t="shared" si="39"/>
        <v>0.96410256410256412</v>
      </c>
      <c r="AG112" s="11">
        <v>20</v>
      </c>
      <c r="AH112" s="5" t="s">
        <v>362</v>
      </c>
      <c r="AI112" s="5" t="s">
        <v>362</v>
      </c>
      <c r="AJ112" s="5" t="s">
        <v>362</v>
      </c>
      <c r="AK112" s="5" t="s">
        <v>362</v>
      </c>
      <c r="AL112" s="5" t="s">
        <v>362</v>
      </c>
      <c r="AM112" s="5" t="s">
        <v>362</v>
      </c>
      <c r="AN112" s="5" t="s">
        <v>362</v>
      </c>
      <c r="AO112" s="5" t="s">
        <v>362</v>
      </c>
      <c r="AP112" s="44">
        <f t="shared" ref="AP112:AP175" si="47">(D112*E112+P112*Q112+T112*U112+X112*Y112+AF112*AG112)/(E112+Q112+U112+Y112+AG112)</f>
        <v>1.1141052758836036</v>
      </c>
      <c r="AQ112" s="45">
        <v>1839</v>
      </c>
      <c r="AR112" s="35">
        <f t="shared" si="40"/>
        <v>501.54545454545456</v>
      </c>
      <c r="AS112" s="35">
        <f t="shared" si="41"/>
        <v>558.79999999999995</v>
      </c>
      <c r="AT112" s="35">
        <f t="shared" si="42"/>
        <v>57.254545454545394</v>
      </c>
      <c r="AU112" s="35">
        <v>166.1</v>
      </c>
      <c r="AV112" s="35">
        <v>196.7</v>
      </c>
      <c r="AW112" s="35">
        <f t="shared" si="43"/>
        <v>196</v>
      </c>
      <c r="AX112" s="35"/>
      <c r="AY112" s="35">
        <f t="shared" si="44"/>
        <v>196</v>
      </c>
      <c r="AZ112" s="35">
        <v>0</v>
      </c>
      <c r="BA112" s="35">
        <f t="shared" si="45"/>
        <v>196</v>
      </c>
      <c r="BB112" s="35">
        <f>MIN(BA112,16.6)</f>
        <v>16.600000000000001</v>
      </c>
      <c r="BC112" s="35">
        <f t="shared" si="46"/>
        <v>179.4</v>
      </c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10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10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10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10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10"/>
      <c r="GZ112" s="9"/>
      <c r="HA112" s="9"/>
    </row>
    <row r="113" spans="1:209" s="2" customFormat="1" ht="17" customHeight="1">
      <c r="A113" s="14" t="s">
        <v>112</v>
      </c>
      <c r="B113" s="35">
        <v>4456</v>
      </c>
      <c r="C113" s="35">
        <v>4114</v>
      </c>
      <c r="D113" s="4">
        <f t="shared" si="35"/>
        <v>0.92324955116696594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2729.2</v>
      </c>
      <c r="O113" s="35">
        <v>1539.5</v>
      </c>
      <c r="P113" s="4">
        <f t="shared" si="36"/>
        <v>0.56408471346914846</v>
      </c>
      <c r="Q113" s="11">
        <v>20</v>
      </c>
      <c r="R113" s="35">
        <v>10</v>
      </c>
      <c r="S113" s="35">
        <v>10.3</v>
      </c>
      <c r="T113" s="4">
        <f t="shared" si="37"/>
        <v>1.03</v>
      </c>
      <c r="U113" s="11">
        <v>20</v>
      </c>
      <c r="V113" s="35">
        <v>9</v>
      </c>
      <c r="W113" s="35">
        <v>22.4</v>
      </c>
      <c r="X113" s="4">
        <f t="shared" si="38"/>
        <v>1.3</v>
      </c>
      <c r="Y113" s="11">
        <v>30</v>
      </c>
      <c r="Z113" s="11" t="s">
        <v>385</v>
      </c>
      <c r="AA113" s="11" t="s">
        <v>385</v>
      </c>
      <c r="AB113" s="11" t="s">
        <v>385</v>
      </c>
      <c r="AC113" s="11" t="s">
        <v>385</v>
      </c>
      <c r="AD113" s="11">
        <v>179</v>
      </c>
      <c r="AE113" s="11">
        <v>181</v>
      </c>
      <c r="AF113" s="4">
        <f t="shared" si="39"/>
        <v>1.011173184357542</v>
      </c>
      <c r="AG113" s="11">
        <v>20</v>
      </c>
      <c r="AH113" s="5" t="s">
        <v>362</v>
      </c>
      <c r="AI113" s="5" t="s">
        <v>362</v>
      </c>
      <c r="AJ113" s="5" t="s">
        <v>362</v>
      </c>
      <c r="AK113" s="5" t="s">
        <v>362</v>
      </c>
      <c r="AL113" s="5" t="s">
        <v>362</v>
      </c>
      <c r="AM113" s="5" t="s">
        <v>362</v>
      </c>
      <c r="AN113" s="5" t="s">
        <v>362</v>
      </c>
      <c r="AO113" s="5" t="s">
        <v>362</v>
      </c>
      <c r="AP113" s="44">
        <f t="shared" si="47"/>
        <v>1.0033765346820347</v>
      </c>
      <c r="AQ113" s="45">
        <v>3886</v>
      </c>
      <c r="AR113" s="35">
        <f t="shared" si="40"/>
        <v>1059.8181818181818</v>
      </c>
      <c r="AS113" s="35">
        <f t="shared" si="41"/>
        <v>1063.4000000000001</v>
      </c>
      <c r="AT113" s="35">
        <f t="shared" si="42"/>
        <v>3.5818181818183348</v>
      </c>
      <c r="AU113" s="35">
        <v>438.3</v>
      </c>
      <c r="AV113" s="35">
        <v>333.3</v>
      </c>
      <c r="AW113" s="35">
        <f t="shared" si="43"/>
        <v>291.8</v>
      </c>
      <c r="AX113" s="35"/>
      <c r="AY113" s="35">
        <f t="shared" si="44"/>
        <v>291.8</v>
      </c>
      <c r="AZ113" s="35">
        <v>0</v>
      </c>
      <c r="BA113" s="35">
        <f t="shared" si="45"/>
        <v>291.8</v>
      </c>
      <c r="BB113" s="35"/>
      <c r="BC113" s="35">
        <f t="shared" si="46"/>
        <v>291.8</v>
      </c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10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10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10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10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10"/>
      <c r="GZ113" s="9"/>
      <c r="HA113" s="9"/>
    </row>
    <row r="114" spans="1:209" s="2" customFormat="1" ht="17" customHeight="1">
      <c r="A114" s="14" t="s">
        <v>113</v>
      </c>
      <c r="B114" s="35">
        <v>1700</v>
      </c>
      <c r="C114" s="35">
        <v>7410.9</v>
      </c>
      <c r="D114" s="4">
        <f t="shared" si="35"/>
        <v>1.3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5105.7</v>
      </c>
      <c r="O114" s="35">
        <v>4164.1000000000004</v>
      </c>
      <c r="P114" s="4">
        <f t="shared" si="36"/>
        <v>0.815578666980042</v>
      </c>
      <c r="Q114" s="11">
        <v>20</v>
      </c>
      <c r="R114" s="35">
        <v>0</v>
      </c>
      <c r="S114" s="35">
        <v>0</v>
      </c>
      <c r="T114" s="4">
        <f t="shared" si="37"/>
        <v>0</v>
      </c>
      <c r="U114" s="11">
        <v>0</v>
      </c>
      <c r="V114" s="35">
        <v>0</v>
      </c>
      <c r="W114" s="35">
        <v>0</v>
      </c>
      <c r="X114" s="4">
        <f t="shared" si="38"/>
        <v>0</v>
      </c>
      <c r="Y114" s="11">
        <v>0</v>
      </c>
      <c r="Z114" s="11" t="s">
        <v>385</v>
      </c>
      <c r="AA114" s="11" t="s">
        <v>385</v>
      </c>
      <c r="AB114" s="11" t="s">
        <v>385</v>
      </c>
      <c r="AC114" s="11" t="s">
        <v>385</v>
      </c>
      <c r="AD114" s="11">
        <v>0</v>
      </c>
      <c r="AE114" s="11">
        <v>0</v>
      </c>
      <c r="AF114" s="4">
        <f t="shared" si="39"/>
        <v>0</v>
      </c>
      <c r="AG114" s="11">
        <v>0</v>
      </c>
      <c r="AH114" s="5" t="s">
        <v>362</v>
      </c>
      <c r="AI114" s="5" t="s">
        <v>362</v>
      </c>
      <c r="AJ114" s="5" t="s">
        <v>362</v>
      </c>
      <c r="AK114" s="5" t="s">
        <v>362</v>
      </c>
      <c r="AL114" s="5" t="s">
        <v>362</v>
      </c>
      <c r="AM114" s="5" t="s">
        <v>362</v>
      </c>
      <c r="AN114" s="5" t="s">
        <v>362</v>
      </c>
      <c r="AO114" s="5" t="s">
        <v>362</v>
      </c>
      <c r="AP114" s="44">
        <f t="shared" si="47"/>
        <v>0.97705244465336138</v>
      </c>
      <c r="AQ114" s="45">
        <v>0</v>
      </c>
      <c r="AR114" s="35">
        <f t="shared" si="40"/>
        <v>0</v>
      </c>
      <c r="AS114" s="35">
        <f t="shared" si="41"/>
        <v>0</v>
      </c>
      <c r="AT114" s="35">
        <f t="shared" si="42"/>
        <v>0</v>
      </c>
      <c r="AU114" s="35">
        <v>0</v>
      </c>
      <c r="AV114" s="35">
        <v>0</v>
      </c>
      <c r="AW114" s="35">
        <f t="shared" si="43"/>
        <v>0</v>
      </c>
      <c r="AX114" s="35"/>
      <c r="AY114" s="35">
        <f t="shared" si="44"/>
        <v>0</v>
      </c>
      <c r="AZ114" s="35">
        <v>0</v>
      </c>
      <c r="BA114" s="35">
        <f t="shared" si="45"/>
        <v>0</v>
      </c>
      <c r="BB114" s="35"/>
      <c r="BC114" s="35">
        <f t="shared" si="46"/>
        <v>0</v>
      </c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10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10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10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10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10"/>
      <c r="GZ114" s="9"/>
      <c r="HA114" s="9"/>
    </row>
    <row r="115" spans="1:209" s="2" customFormat="1" ht="17" customHeight="1">
      <c r="A115" s="14" t="s">
        <v>114</v>
      </c>
      <c r="B115" s="35">
        <v>2564230</v>
      </c>
      <c r="C115" s="35">
        <v>2184820.4</v>
      </c>
      <c r="D115" s="4">
        <f t="shared" si="35"/>
        <v>0.85203760973079634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13271.1</v>
      </c>
      <c r="O115" s="35">
        <v>21877.200000000001</v>
      </c>
      <c r="P115" s="4">
        <f t="shared" si="36"/>
        <v>1.2448484300472455</v>
      </c>
      <c r="Q115" s="11">
        <v>20</v>
      </c>
      <c r="R115" s="35">
        <v>20</v>
      </c>
      <c r="S115" s="35">
        <v>21.3</v>
      </c>
      <c r="T115" s="4">
        <f t="shared" si="37"/>
        <v>1.0649999999999999</v>
      </c>
      <c r="U115" s="11">
        <v>30</v>
      </c>
      <c r="V115" s="35">
        <v>6</v>
      </c>
      <c r="W115" s="35">
        <v>5.9</v>
      </c>
      <c r="X115" s="4">
        <f t="shared" si="38"/>
        <v>0.98333333333333339</v>
      </c>
      <c r="Y115" s="11">
        <v>20</v>
      </c>
      <c r="Z115" s="11" t="s">
        <v>385</v>
      </c>
      <c r="AA115" s="11" t="s">
        <v>385</v>
      </c>
      <c r="AB115" s="11" t="s">
        <v>385</v>
      </c>
      <c r="AC115" s="11" t="s">
        <v>385</v>
      </c>
      <c r="AD115" s="11">
        <v>75</v>
      </c>
      <c r="AE115" s="11">
        <v>75</v>
      </c>
      <c r="AF115" s="4">
        <f t="shared" si="39"/>
        <v>1</v>
      </c>
      <c r="AG115" s="11">
        <v>20</v>
      </c>
      <c r="AH115" s="5" t="s">
        <v>362</v>
      </c>
      <c r="AI115" s="5" t="s">
        <v>362</v>
      </c>
      <c r="AJ115" s="5" t="s">
        <v>362</v>
      </c>
      <c r="AK115" s="5" t="s">
        <v>362</v>
      </c>
      <c r="AL115" s="5" t="s">
        <v>362</v>
      </c>
      <c r="AM115" s="5" t="s">
        <v>362</v>
      </c>
      <c r="AN115" s="5" t="s">
        <v>362</v>
      </c>
      <c r="AO115" s="5" t="s">
        <v>362</v>
      </c>
      <c r="AP115" s="44">
        <f t="shared" si="47"/>
        <v>1.0503401136491954</v>
      </c>
      <c r="AQ115" s="45">
        <v>2683</v>
      </c>
      <c r="AR115" s="35">
        <f t="shared" si="40"/>
        <v>731.72727272727275</v>
      </c>
      <c r="AS115" s="35">
        <f t="shared" si="41"/>
        <v>768.6</v>
      </c>
      <c r="AT115" s="35">
        <f t="shared" si="42"/>
        <v>36.872727272727275</v>
      </c>
      <c r="AU115" s="35">
        <v>268.89999999999998</v>
      </c>
      <c r="AV115" s="35">
        <v>270.8</v>
      </c>
      <c r="AW115" s="35">
        <f t="shared" si="43"/>
        <v>228.9</v>
      </c>
      <c r="AX115" s="35"/>
      <c r="AY115" s="35">
        <f t="shared" si="44"/>
        <v>228.9</v>
      </c>
      <c r="AZ115" s="35">
        <v>0</v>
      </c>
      <c r="BA115" s="35">
        <f t="shared" si="45"/>
        <v>228.9</v>
      </c>
      <c r="BB115" s="35"/>
      <c r="BC115" s="35">
        <f t="shared" si="46"/>
        <v>228.9</v>
      </c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10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10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10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10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10"/>
      <c r="GZ115" s="9"/>
      <c r="HA115" s="9"/>
    </row>
    <row r="116" spans="1:209" s="2" customFormat="1" ht="17" customHeight="1">
      <c r="A116" s="14" t="s">
        <v>115</v>
      </c>
      <c r="B116" s="35">
        <v>24583</v>
      </c>
      <c r="C116" s="35">
        <v>19336</v>
      </c>
      <c r="D116" s="4">
        <f t="shared" si="35"/>
        <v>0.78655981776024086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993.2</v>
      </c>
      <c r="O116" s="35">
        <v>877.5</v>
      </c>
      <c r="P116" s="4">
        <f t="shared" si="36"/>
        <v>0.88350785340314131</v>
      </c>
      <c r="Q116" s="11">
        <v>20</v>
      </c>
      <c r="R116" s="35">
        <v>5</v>
      </c>
      <c r="S116" s="35">
        <v>3</v>
      </c>
      <c r="T116" s="4">
        <f t="shared" si="37"/>
        <v>0.6</v>
      </c>
      <c r="U116" s="11">
        <v>25</v>
      </c>
      <c r="V116" s="35">
        <v>0.6</v>
      </c>
      <c r="W116" s="35">
        <v>2.1</v>
      </c>
      <c r="X116" s="4">
        <f t="shared" si="38"/>
        <v>1.3</v>
      </c>
      <c r="Y116" s="11">
        <v>25</v>
      </c>
      <c r="Z116" s="11" t="s">
        <v>385</v>
      </c>
      <c r="AA116" s="11" t="s">
        <v>385</v>
      </c>
      <c r="AB116" s="11" t="s">
        <v>385</v>
      </c>
      <c r="AC116" s="11" t="s">
        <v>385</v>
      </c>
      <c r="AD116" s="11">
        <v>90</v>
      </c>
      <c r="AE116" s="11">
        <v>95</v>
      </c>
      <c r="AF116" s="4">
        <f t="shared" si="39"/>
        <v>1.0555555555555556</v>
      </c>
      <c r="AG116" s="11">
        <v>20</v>
      </c>
      <c r="AH116" s="5" t="s">
        <v>362</v>
      </c>
      <c r="AI116" s="5" t="s">
        <v>362</v>
      </c>
      <c r="AJ116" s="5" t="s">
        <v>362</v>
      </c>
      <c r="AK116" s="5" t="s">
        <v>362</v>
      </c>
      <c r="AL116" s="5" t="s">
        <v>362</v>
      </c>
      <c r="AM116" s="5" t="s">
        <v>362</v>
      </c>
      <c r="AN116" s="5" t="s">
        <v>362</v>
      </c>
      <c r="AO116" s="5" t="s">
        <v>362</v>
      </c>
      <c r="AP116" s="44">
        <f t="shared" si="47"/>
        <v>0.94146866356776338</v>
      </c>
      <c r="AQ116" s="45">
        <v>2132</v>
      </c>
      <c r="AR116" s="35">
        <f t="shared" si="40"/>
        <v>581.4545454545455</v>
      </c>
      <c r="AS116" s="35">
        <f t="shared" si="41"/>
        <v>547.4</v>
      </c>
      <c r="AT116" s="35">
        <f t="shared" si="42"/>
        <v>-34.054545454545519</v>
      </c>
      <c r="AU116" s="35">
        <v>137.80000000000001</v>
      </c>
      <c r="AV116" s="35">
        <v>69.7</v>
      </c>
      <c r="AW116" s="35">
        <f t="shared" si="43"/>
        <v>339.9</v>
      </c>
      <c r="AX116" s="35"/>
      <c r="AY116" s="35">
        <f t="shared" si="44"/>
        <v>339.9</v>
      </c>
      <c r="AZ116" s="35">
        <v>0</v>
      </c>
      <c r="BA116" s="35">
        <f t="shared" si="45"/>
        <v>339.9</v>
      </c>
      <c r="BB116" s="35">
        <f>MIN(BA116,96.9)</f>
        <v>96.9</v>
      </c>
      <c r="BC116" s="35">
        <f t="shared" si="46"/>
        <v>243</v>
      </c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10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10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10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10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10"/>
      <c r="GZ116" s="9"/>
      <c r="HA116" s="9"/>
    </row>
    <row r="117" spans="1:209" s="2" customFormat="1" ht="17" customHeight="1">
      <c r="A117" s="14" t="s">
        <v>116</v>
      </c>
      <c r="B117" s="35">
        <v>12133</v>
      </c>
      <c r="C117" s="35">
        <v>11319</v>
      </c>
      <c r="D117" s="4">
        <f t="shared" si="35"/>
        <v>0.93291024478694473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609.70000000000005</v>
      </c>
      <c r="O117" s="35">
        <v>337.9</v>
      </c>
      <c r="P117" s="4">
        <f t="shared" si="36"/>
        <v>0.55420698704280791</v>
      </c>
      <c r="Q117" s="11">
        <v>20</v>
      </c>
      <c r="R117" s="35">
        <v>14</v>
      </c>
      <c r="S117" s="35">
        <v>14.3</v>
      </c>
      <c r="T117" s="4">
        <f t="shared" si="37"/>
        <v>1.0214285714285716</v>
      </c>
      <c r="U117" s="11">
        <v>30</v>
      </c>
      <c r="V117" s="35">
        <v>1.5</v>
      </c>
      <c r="W117" s="35">
        <v>1.5</v>
      </c>
      <c r="X117" s="4">
        <f t="shared" si="38"/>
        <v>1</v>
      </c>
      <c r="Y117" s="11">
        <v>20</v>
      </c>
      <c r="Z117" s="11" t="s">
        <v>385</v>
      </c>
      <c r="AA117" s="11" t="s">
        <v>385</v>
      </c>
      <c r="AB117" s="11" t="s">
        <v>385</v>
      </c>
      <c r="AC117" s="11" t="s">
        <v>385</v>
      </c>
      <c r="AD117" s="11">
        <v>327</v>
      </c>
      <c r="AE117" s="11">
        <v>382</v>
      </c>
      <c r="AF117" s="4">
        <f t="shared" si="39"/>
        <v>1.1681957186544343</v>
      </c>
      <c r="AG117" s="11">
        <v>20</v>
      </c>
      <c r="AH117" s="5" t="s">
        <v>362</v>
      </c>
      <c r="AI117" s="5" t="s">
        <v>362</v>
      </c>
      <c r="AJ117" s="5" t="s">
        <v>362</v>
      </c>
      <c r="AK117" s="5" t="s">
        <v>362</v>
      </c>
      <c r="AL117" s="5" t="s">
        <v>362</v>
      </c>
      <c r="AM117" s="5" t="s">
        <v>362</v>
      </c>
      <c r="AN117" s="5" t="s">
        <v>362</v>
      </c>
      <c r="AO117" s="5" t="s">
        <v>362</v>
      </c>
      <c r="AP117" s="44">
        <f t="shared" si="47"/>
        <v>0.94420013704671435</v>
      </c>
      <c r="AQ117" s="45">
        <v>2258</v>
      </c>
      <c r="AR117" s="35">
        <f t="shared" si="40"/>
        <v>615.81818181818187</v>
      </c>
      <c r="AS117" s="35">
        <f t="shared" si="41"/>
        <v>581.5</v>
      </c>
      <c r="AT117" s="35">
        <f t="shared" si="42"/>
        <v>-34.31818181818187</v>
      </c>
      <c r="AU117" s="35">
        <v>164.9</v>
      </c>
      <c r="AV117" s="35">
        <v>200.2</v>
      </c>
      <c r="AW117" s="35">
        <f t="shared" si="43"/>
        <v>216.4</v>
      </c>
      <c r="AX117" s="35"/>
      <c r="AY117" s="35">
        <f t="shared" si="44"/>
        <v>216.4</v>
      </c>
      <c r="AZ117" s="35">
        <v>0</v>
      </c>
      <c r="BA117" s="35">
        <f t="shared" si="45"/>
        <v>216.4</v>
      </c>
      <c r="BB117" s="35"/>
      <c r="BC117" s="35">
        <f t="shared" si="46"/>
        <v>216.4</v>
      </c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10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10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10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10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10"/>
      <c r="GZ117" s="9"/>
      <c r="HA117" s="9"/>
    </row>
    <row r="118" spans="1:209" s="2" customFormat="1" ht="17" customHeight="1">
      <c r="A118" s="14" t="s">
        <v>117</v>
      </c>
      <c r="B118" s="35">
        <v>0</v>
      </c>
      <c r="C118" s="35">
        <v>0</v>
      </c>
      <c r="D118" s="4">
        <f t="shared" si="35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2261.1999999999998</v>
      </c>
      <c r="O118" s="35">
        <v>0</v>
      </c>
      <c r="P118" s="4">
        <f t="shared" si="36"/>
        <v>0</v>
      </c>
      <c r="Q118" s="11">
        <v>20</v>
      </c>
      <c r="R118" s="35">
        <v>4.5</v>
      </c>
      <c r="S118" s="35">
        <v>4.9000000000000004</v>
      </c>
      <c r="T118" s="4">
        <f t="shared" si="37"/>
        <v>1.088888888888889</v>
      </c>
      <c r="U118" s="11">
        <v>30</v>
      </c>
      <c r="V118" s="35">
        <v>15</v>
      </c>
      <c r="W118" s="35">
        <v>16</v>
      </c>
      <c r="X118" s="4">
        <f t="shared" si="38"/>
        <v>1.0666666666666667</v>
      </c>
      <c r="Y118" s="11">
        <v>20</v>
      </c>
      <c r="Z118" s="11" t="s">
        <v>385</v>
      </c>
      <c r="AA118" s="11" t="s">
        <v>385</v>
      </c>
      <c r="AB118" s="11" t="s">
        <v>385</v>
      </c>
      <c r="AC118" s="11" t="s">
        <v>385</v>
      </c>
      <c r="AD118" s="11">
        <v>160</v>
      </c>
      <c r="AE118" s="11">
        <v>238</v>
      </c>
      <c r="AF118" s="4">
        <f t="shared" si="39"/>
        <v>1.22875</v>
      </c>
      <c r="AG118" s="11">
        <v>20</v>
      </c>
      <c r="AH118" s="5" t="s">
        <v>362</v>
      </c>
      <c r="AI118" s="5" t="s">
        <v>362</v>
      </c>
      <c r="AJ118" s="5" t="s">
        <v>362</v>
      </c>
      <c r="AK118" s="5" t="s">
        <v>362</v>
      </c>
      <c r="AL118" s="5" t="s">
        <v>362</v>
      </c>
      <c r="AM118" s="5" t="s">
        <v>362</v>
      </c>
      <c r="AN118" s="5" t="s">
        <v>362</v>
      </c>
      <c r="AO118" s="5" t="s">
        <v>362</v>
      </c>
      <c r="AP118" s="44">
        <f t="shared" si="47"/>
        <v>0.87305555555555558</v>
      </c>
      <c r="AQ118" s="45">
        <v>1475</v>
      </c>
      <c r="AR118" s="35">
        <f t="shared" si="40"/>
        <v>402.27272727272725</v>
      </c>
      <c r="AS118" s="35">
        <f t="shared" si="41"/>
        <v>351.2</v>
      </c>
      <c r="AT118" s="35">
        <f t="shared" si="42"/>
        <v>-51.072727272727263</v>
      </c>
      <c r="AU118" s="35">
        <v>134.5</v>
      </c>
      <c r="AV118" s="35">
        <v>102.7</v>
      </c>
      <c r="AW118" s="35">
        <f t="shared" si="43"/>
        <v>114</v>
      </c>
      <c r="AX118" s="35"/>
      <c r="AY118" s="35">
        <f t="shared" si="44"/>
        <v>114</v>
      </c>
      <c r="AZ118" s="35">
        <v>0</v>
      </c>
      <c r="BA118" s="35">
        <f t="shared" si="45"/>
        <v>114</v>
      </c>
      <c r="BB118" s="35">
        <f>MIN(BA118,67)</f>
        <v>67</v>
      </c>
      <c r="BC118" s="35">
        <f t="shared" si="46"/>
        <v>47</v>
      </c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10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10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10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10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10"/>
      <c r="GZ118" s="9"/>
      <c r="HA118" s="9"/>
    </row>
    <row r="119" spans="1:209" s="2" customFormat="1" ht="17" customHeight="1">
      <c r="A119" s="14" t="s">
        <v>118</v>
      </c>
      <c r="B119" s="35">
        <v>4950</v>
      </c>
      <c r="C119" s="35">
        <v>957192</v>
      </c>
      <c r="D119" s="4">
        <f t="shared" si="35"/>
        <v>1.3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6967.4</v>
      </c>
      <c r="O119" s="35">
        <v>3772.5</v>
      </c>
      <c r="P119" s="4">
        <f t="shared" si="36"/>
        <v>0.54145018227746367</v>
      </c>
      <c r="Q119" s="11">
        <v>20</v>
      </c>
      <c r="R119" s="35">
        <v>110</v>
      </c>
      <c r="S119" s="35">
        <v>106.6</v>
      </c>
      <c r="T119" s="4">
        <f t="shared" si="37"/>
        <v>0.969090909090909</v>
      </c>
      <c r="U119" s="11">
        <v>5</v>
      </c>
      <c r="V119" s="35">
        <v>21</v>
      </c>
      <c r="W119" s="35">
        <v>14.7</v>
      </c>
      <c r="X119" s="4">
        <f t="shared" si="38"/>
        <v>0.7</v>
      </c>
      <c r="Y119" s="11">
        <v>45</v>
      </c>
      <c r="Z119" s="11" t="s">
        <v>385</v>
      </c>
      <c r="AA119" s="11" t="s">
        <v>385</v>
      </c>
      <c r="AB119" s="11" t="s">
        <v>385</v>
      </c>
      <c r="AC119" s="11" t="s">
        <v>385</v>
      </c>
      <c r="AD119" s="11">
        <v>310</v>
      </c>
      <c r="AE119" s="11">
        <v>313</v>
      </c>
      <c r="AF119" s="4">
        <f t="shared" si="39"/>
        <v>1.0096774193548388</v>
      </c>
      <c r="AG119" s="11">
        <v>20</v>
      </c>
      <c r="AH119" s="5" t="s">
        <v>362</v>
      </c>
      <c r="AI119" s="5" t="s">
        <v>362</v>
      </c>
      <c r="AJ119" s="5" t="s">
        <v>362</v>
      </c>
      <c r="AK119" s="5" t="s">
        <v>362</v>
      </c>
      <c r="AL119" s="5" t="s">
        <v>362</v>
      </c>
      <c r="AM119" s="5" t="s">
        <v>362</v>
      </c>
      <c r="AN119" s="5" t="s">
        <v>362</v>
      </c>
      <c r="AO119" s="5" t="s">
        <v>362</v>
      </c>
      <c r="AP119" s="44">
        <f t="shared" si="47"/>
        <v>0.80368006578100593</v>
      </c>
      <c r="AQ119" s="45">
        <v>2422</v>
      </c>
      <c r="AR119" s="35">
        <f t="shared" si="40"/>
        <v>660.5454545454545</v>
      </c>
      <c r="AS119" s="35">
        <f t="shared" si="41"/>
        <v>530.9</v>
      </c>
      <c r="AT119" s="35">
        <f t="shared" si="42"/>
        <v>-129.64545454545453</v>
      </c>
      <c r="AU119" s="35">
        <v>191.4</v>
      </c>
      <c r="AV119" s="35">
        <v>170.8</v>
      </c>
      <c r="AW119" s="35">
        <f t="shared" si="43"/>
        <v>168.7</v>
      </c>
      <c r="AX119" s="35"/>
      <c r="AY119" s="35">
        <f t="shared" si="44"/>
        <v>168.7</v>
      </c>
      <c r="AZ119" s="35">
        <v>0</v>
      </c>
      <c r="BA119" s="35">
        <f t="shared" si="45"/>
        <v>168.7</v>
      </c>
      <c r="BB119" s="35"/>
      <c r="BC119" s="35">
        <f t="shared" si="46"/>
        <v>168.7</v>
      </c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10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10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10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10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10"/>
      <c r="GZ119" s="9"/>
      <c r="HA119" s="9"/>
    </row>
    <row r="120" spans="1:209" s="2" customFormat="1" ht="17" customHeight="1">
      <c r="A120" s="18" t="s">
        <v>119</v>
      </c>
      <c r="B120" s="6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35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10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10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10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10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10"/>
      <c r="GZ120" s="9"/>
      <c r="HA120" s="9"/>
    </row>
    <row r="121" spans="1:209" s="2" customFormat="1" ht="17" customHeight="1">
      <c r="A121" s="14" t="s">
        <v>120</v>
      </c>
      <c r="B121" s="35">
        <v>1077</v>
      </c>
      <c r="C121" s="35">
        <v>1051.0999999999999</v>
      </c>
      <c r="D121" s="4">
        <f t="shared" si="35"/>
        <v>0.97595171773444744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107.6</v>
      </c>
      <c r="O121" s="35">
        <v>269.2</v>
      </c>
      <c r="P121" s="4">
        <f t="shared" si="36"/>
        <v>1.3</v>
      </c>
      <c r="Q121" s="11">
        <v>20</v>
      </c>
      <c r="R121" s="35">
        <v>7</v>
      </c>
      <c r="S121" s="35">
        <v>9.1999999999999993</v>
      </c>
      <c r="T121" s="4">
        <f t="shared" si="37"/>
        <v>1.2114285714285713</v>
      </c>
      <c r="U121" s="11">
        <v>25</v>
      </c>
      <c r="V121" s="35">
        <v>5</v>
      </c>
      <c r="W121" s="35">
        <v>5.7</v>
      </c>
      <c r="X121" s="4">
        <f t="shared" si="38"/>
        <v>1.1400000000000001</v>
      </c>
      <c r="Y121" s="11">
        <v>25</v>
      </c>
      <c r="Z121" s="11" t="s">
        <v>385</v>
      </c>
      <c r="AA121" s="11" t="s">
        <v>385</v>
      </c>
      <c r="AB121" s="11" t="s">
        <v>385</v>
      </c>
      <c r="AC121" s="11" t="s">
        <v>385</v>
      </c>
      <c r="AD121" s="11">
        <v>280</v>
      </c>
      <c r="AE121" s="11">
        <v>112</v>
      </c>
      <c r="AF121" s="4">
        <f t="shared" si="39"/>
        <v>0.4</v>
      </c>
      <c r="AG121" s="11">
        <v>20</v>
      </c>
      <c r="AH121" s="5" t="s">
        <v>362</v>
      </c>
      <c r="AI121" s="5" t="s">
        <v>362</v>
      </c>
      <c r="AJ121" s="5" t="s">
        <v>362</v>
      </c>
      <c r="AK121" s="5" t="s">
        <v>362</v>
      </c>
      <c r="AL121" s="5" t="s">
        <v>362</v>
      </c>
      <c r="AM121" s="5" t="s">
        <v>362</v>
      </c>
      <c r="AN121" s="5" t="s">
        <v>362</v>
      </c>
      <c r="AO121" s="5" t="s">
        <v>362</v>
      </c>
      <c r="AP121" s="44">
        <f t="shared" si="47"/>
        <v>1.0254523146305876</v>
      </c>
      <c r="AQ121" s="45">
        <v>699</v>
      </c>
      <c r="AR121" s="35">
        <f t="shared" si="40"/>
        <v>190.63636363636363</v>
      </c>
      <c r="AS121" s="35">
        <f t="shared" si="41"/>
        <v>195.5</v>
      </c>
      <c r="AT121" s="35">
        <f t="shared" si="42"/>
        <v>4.863636363636374</v>
      </c>
      <c r="AU121" s="35">
        <v>52.1</v>
      </c>
      <c r="AV121" s="35">
        <v>57.7</v>
      </c>
      <c r="AW121" s="35">
        <f t="shared" si="43"/>
        <v>85.7</v>
      </c>
      <c r="AX121" s="35"/>
      <c r="AY121" s="35">
        <f t="shared" si="44"/>
        <v>85.7</v>
      </c>
      <c r="AZ121" s="35">
        <v>0</v>
      </c>
      <c r="BA121" s="35">
        <f t="shared" si="45"/>
        <v>85.7</v>
      </c>
      <c r="BB121" s="35"/>
      <c r="BC121" s="35">
        <f t="shared" si="46"/>
        <v>85.7</v>
      </c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10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10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10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10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10"/>
      <c r="GZ121" s="9"/>
      <c r="HA121" s="9"/>
    </row>
    <row r="122" spans="1:209" s="2" customFormat="1" ht="17" customHeight="1">
      <c r="A122" s="14" t="s">
        <v>121</v>
      </c>
      <c r="B122" s="35">
        <v>38694</v>
      </c>
      <c r="C122" s="35">
        <v>45238</v>
      </c>
      <c r="D122" s="4">
        <f t="shared" si="35"/>
        <v>1.1691218276735411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2086.4</v>
      </c>
      <c r="O122" s="35">
        <v>1392.7</v>
      </c>
      <c r="P122" s="4">
        <f t="shared" si="36"/>
        <v>0.66751342024539873</v>
      </c>
      <c r="Q122" s="11">
        <v>20</v>
      </c>
      <c r="R122" s="35">
        <v>6</v>
      </c>
      <c r="S122" s="35">
        <v>6.7</v>
      </c>
      <c r="T122" s="4">
        <f t="shared" si="37"/>
        <v>1.1166666666666667</v>
      </c>
      <c r="U122" s="11">
        <v>30</v>
      </c>
      <c r="V122" s="35">
        <v>7</v>
      </c>
      <c r="W122" s="35">
        <v>6.9</v>
      </c>
      <c r="X122" s="4">
        <f t="shared" si="38"/>
        <v>0.98571428571428577</v>
      </c>
      <c r="Y122" s="11">
        <v>20</v>
      </c>
      <c r="Z122" s="11" t="s">
        <v>385</v>
      </c>
      <c r="AA122" s="11" t="s">
        <v>385</v>
      </c>
      <c r="AB122" s="11" t="s">
        <v>385</v>
      </c>
      <c r="AC122" s="11" t="s">
        <v>385</v>
      </c>
      <c r="AD122" s="11">
        <v>136</v>
      </c>
      <c r="AE122" s="11">
        <v>142</v>
      </c>
      <c r="AF122" s="4">
        <f t="shared" si="39"/>
        <v>1.0441176470588236</v>
      </c>
      <c r="AG122" s="11">
        <v>20</v>
      </c>
      <c r="AH122" s="5" t="s">
        <v>362</v>
      </c>
      <c r="AI122" s="5" t="s">
        <v>362</v>
      </c>
      <c r="AJ122" s="5" t="s">
        <v>362</v>
      </c>
      <c r="AK122" s="5" t="s">
        <v>362</v>
      </c>
      <c r="AL122" s="5" t="s">
        <v>362</v>
      </c>
      <c r="AM122" s="5" t="s">
        <v>362</v>
      </c>
      <c r="AN122" s="5" t="s">
        <v>362</v>
      </c>
      <c r="AO122" s="5" t="s">
        <v>362</v>
      </c>
      <c r="AP122" s="44">
        <f t="shared" si="47"/>
        <v>0.99138125337105576</v>
      </c>
      <c r="AQ122" s="45">
        <v>761</v>
      </c>
      <c r="AR122" s="35">
        <f t="shared" si="40"/>
        <v>207.54545454545456</v>
      </c>
      <c r="AS122" s="35">
        <f t="shared" si="41"/>
        <v>205.8</v>
      </c>
      <c r="AT122" s="35">
        <f t="shared" si="42"/>
        <v>-1.7454545454545496</v>
      </c>
      <c r="AU122" s="35">
        <v>63.8</v>
      </c>
      <c r="AV122" s="35">
        <v>71.5</v>
      </c>
      <c r="AW122" s="35">
        <f t="shared" si="43"/>
        <v>70.5</v>
      </c>
      <c r="AX122" s="35"/>
      <c r="AY122" s="35">
        <f t="shared" si="44"/>
        <v>70.5</v>
      </c>
      <c r="AZ122" s="35">
        <v>0</v>
      </c>
      <c r="BA122" s="35">
        <f t="shared" si="45"/>
        <v>70.5</v>
      </c>
      <c r="BB122" s="35"/>
      <c r="BC122" s="35">
        <f t="shared" si="46"/>
        <v>70.5</v>
      </c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10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10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10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10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10"/>
      <c r="GZ122" s="9"/>
      <c r="HA122" s="9"/>
    </row>
    <row r="123" spans="1:209" s="2" customFormat="1" ht="17" customHeight="1">
      <c r="A123" s="14" t="s">
        <v>122</v>
      </c>
      <c r="B123" s="35">
        <v>147</v>
      </c>
      <c r="C123" s="35">
        <v>91</v>
      </c>
      <c r="D123" s="4">
        <f t="shared" si="35"/>
        <v>0.61904761904761907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217.6</v>
      </c>
      <c r="O123" s="35">
        <v>160.69999999999999</v>
      </c>
      <c r="P123" s="4">
        <f t="shared" si="36"/>
        <v>0.73851102941176472</v>
      </c>
      <c r="Q123" s="11">
        <v>20</v>
      </c>
      <c r="R123" s="35">
        <v>36</v>
      </c>
      <c r="S123" s="35">
        <v>48.9</v>
      </c>
      <c r="T123" s="4">
        <f t="shared" si="37"/>
        <v>1.2158333333333333</v>
      </c>
      <c r="U123" s="11">
        <v>15</v>
      </c>
      <c r="V123" s="35">
        <v>6</v>
      </c>
      <c r="W123" s="35">
        <v>6.8</v>
      </c>
      <c r="X123" s="4">
        <f t="shared" si="38"/>
        <v>1.1333333333333333</v>
      </c>
      <c r="Y123" s="11">
        <v>35</v>
      </c>
      <c r="Z123" s="11" t="s">
        <v>385</v>
      </c>
      <c r="AA123" s="11" t="s">
        <v>385</v>
      </c>
      <c r="AB123" s="11" t="s">
        <v>385</v>
      </c>
      <c r="AC123" s="11" t="s">
        <v>385</v>
      </c>
      <c r="AD123" s="11">
        <v>98</v>
      </c>
      <c r="AE123" s="11">
        <v>100</v>
      </c>
      <c r="AF123" s="4">
        <f t="shared" si="39"/>
        <v>1.0204081632653061</v>
      </c>
      <c r="AG123" s="11">
        <v>20</v>
      </c>
      <c r="AH123" s="5" t="s">
        <v>362</v>
      </c>
      <c r="AI123" s="5" t="s">
        <v>362</v>
      </c>
      <c r="AJ123" s="5" t="s">
        <v>362</v>
      </c>
      <c r="AK123" s="5" t="s">
        <v>362</v>
      </c>
      <c r="AL123" s="5" t="s">
        <v>362</v>
      </c>
      <c r="AM123" s="5" t="s">
        <v>362</v>
      </c>
      <c r="AN123" s="5" t="s">
        <v>362</v>
      </c>
      <c r="AO123" s="5" t="s">
        <v>362</v>
      </c>
      <c r="AP123" s="44">
        <f t="shared" si="47"/>
        <v>0.99273026710684265</v>
      </c>
      <c r="AQ123" s="45">
        <v>859</v>
      </c>
      <c r="AR123" s="35">
        <f t="shared" si="40"/>
        <v>234.27272727272728</v>
      </c>
      <c r="AS123" s="35">
        <f t="shared" si="41"/>
        <v>232.6</v>
      </c>
      <c r="AT123" s="35">
        <f t="shared" si="42"/>
        <v>-1.6727272727272862</v>
      </c>
      <c r="AU123" s="35">
        <v>62.6</v>
      </c>
      <c r="AV123" s="35">
        <v>81.2</v>
      </c>
      <c r="AW123" s="35">
        <f t="shared" si="43"/>
        <v>88.8</v>
      </c>
      <c r="AX123" s="35"/>
      <c r="AY123" s="35">
        <f t="shared" si="44"/>
        <v>88.8</v>
      </c>
      <c r="AZ123" s="35">
        <v>0</v>
      </c>
      <c r="BA123" s="35">
        <f t="shared" si="45"/>
        <v>88.8</v>
      </c>
      <c r="BB123" s="35"/>
      <c r="BC123" s="35">
        <f t="shared" si="46"/>
        <v>88.8</v>
      </c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10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10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10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10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10"/>
      <c r="GZ123" s="9"/>
      <c r="HA123" s="9"/>
    </row>
    <row r="124" spans="1:209" s="2" customFormat="1" ht="17" customHeight="1">
      <c r="A124" s="14" t="s">
        <v>123</v>
      </c>
      <c r="B124" s="35">
        <v>1013</v>
      </c>
      <c r="C124" s="35">
        <v>969.6</v>
      </c>
      <c r="D124" s="4">
        <f t="shared" si="35"/>
        <v>0.95715695952615998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372.1</v>
      </c>
      <c r="O124" s="35">
        <v>119.7</v>
      </c>
      <c r="P124" s="4">
        <f t="shared" si="36"/>
        <v>0.32168771835528082</v>
      </c>
      <c r="Q124" s="11">
        <v>20</v>
      </c>
      <c r="R124" s="35">
        <v>171</v>
      </c>
      <c r="S124" s="35">
        <v>189.4</v>
      </c>
      <c r="T124" s="4">
        <f t="shared" si="37"/>
        <v>1.1076023391812866</v>
      </c>
      <c r="U124" s="11">
        <v>30</v>
      </c>
      <c r="V124" s="35">
        <v>4</v>
      </c>
      <c r="W124" s="35">
        <v>4.5</v>
      </c>
      <c r="X124" s="4">
        <f t="shared" si="38"/>
        <v>1.125</v>
      </c>
      <c r="Y124" s="11">
        <v>20</v>
      </c>
      <c r="Z124" s="11" t="s">
        <v>385</v>
      </c>
      <c r="AA124" s="11" t="s">
        <v>385</v>
      </c>
      <c r="AB124" s="11" t="s">
        <v>385</v>
      </c>
      <c r="AC124" s="11" t="s">
        <v>385</v>
      </c>
      <c r="AD124" s="11">
        <v>310</v>
      </c>
      <c r="AE124" s="11">
        <v>332</v>
      </c>
      <c r="AF124" s="4">
        <f t="shared" si="39"/>
        <v>1.0709677419354839</v>
      </c>
      <c r="AG124" s="11">
        <v>20</v>
      </c>
      <c r="AH124" s="5" t="s">
        <v>362</v>
      </c>
      <c r="AI124" s="5" t="s">
        <v>362</v>
      </c>
      <c r="AJ124" s="5" t="s">
        <v>362</v>
      </c>
      <c r="AK124" s="5" t="s">
        <v>362</v>
      </c>
      <c r="AL124" s="5" t="s">
        <v>362</v>
      </c>
      <c r="AM124" s="5" t="s">
        <v>362</v>
      </c>
      <c r="AN124" s="5" t="s">
        <v>362</v>
      </c>
      <c r="AO124" s="5" t="s">
        <v>362</v>
      </c>
      <c r="AP124" s="44">
        <f t="shared" si="47"/>
        <v>0.93152748976515498</v>
      </c>
      <c r="AQ124" s="45">
        <v>888</v>
      </c>
      <c r="AR124" s="35">
        <f t="shared" si="40"/>
        <v>242.18181818181819</v>
      </c>
      <c r="AS124" s="35">
        <f t="shared" si="41"/>
        <v>225.6</v>
      </c>
      <c r="AT124" s="35">
        <f t="shared" si="42"/>
        <v>-16.581818181818193</v>
      </c>
      <c r="AU124" s="35">
        <v>85.2</v>
      </c>
      <c r="AV124" s="35">
        <v>66.900000000000006</v>
      </c>
      <c r="AW124" s="35">
        <f t="shared" si="43"/>
        <v>73.5</v>
      </c>
      <c r="AX124" s="35"/>
      <c r="AY124" s="35">
        <f t="shared" si="44"/>
        <v>73.5</v>
      </c>
      <c r="AZ124" s="35">
        <v>0</v>
      </c>
      <c r="BA124" s="35">
        <f t="shared" si="45"/>
        <v>73.5</v>
      </c>
      <c r="BB124" s="35"/>
      <c r="BC124" s="35">
        <f t="shared" si="46"/>
        <v>73.5</v>
      </c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10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10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10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10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10"/>
      <c r="GZ124" s="9"/>
      <c r="HA124" s="9"/>
    </row>
    <row r="125" spans="1:209" s="2" customFormat="1" ht="17" customHeight="1">
      <c r="A125" s="14" t="s">
        <v>124</v>
      </c>
      <c r="B125" s="35">
        <v>854</v>
      </c>
      <c r="C125" s="35">
        <v>1567.8</v>
      </c>
      <c r="D125" s="4">
        <f t="shared" si="35"/>
        <v>1.263583138173302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467.6</v>
      </c>
      <c r="O125" s="35">
        <v>307.60000000000002</v>
      </c>
      <c r="P125" s="4">
        <f t="shared" si="36"/>
        <v>0.65782720273738238</v>
      </c>
      <c r="Q125" s="11">
        <v>20</v>
      </c>
      <c r="R125" s="35">
        <v>14</v>
      </c>
      <c r="S125" s="35">
        <v>15.2</v>
      </c>
      <c r="T125" s="4">
        <f t="shared" si="37"/>
        <v>1.0857142857142856</v>
      </c>
      <c r="U125" s="11">
        <v>30</v>
      </c>
      <c r="V125" s="35">
        <v>7</v>
      </c>
      <c r="W125" s="35">
        <v>8</v>
      </c>
      <c r="X125" s="4">
        <f t="shared" si="38"/>
        <v>1.1428571428571428</v>
      </c>
      <c r="Y125" s="11">
        <v>20</v>
      </c>
      <c r="Z125" s="11" t="s">
        <v>385</v>
      </c>
      <c r="AA125" s="11" t="s">
        <v>385</v>
      </c>
      <c r="AB125" s="11" t="s">
        <v>385</v>
      </c>
      <c r="AC125" s="11" t="s">
        <v>385</v>
      </c>
      <c r="AD125" s="11">
        <v>171</v>
      </c>
      <c r="AE125" s="11">
        <v>167</v>
      </c>
      <c r="AF125" s="4">
        <f t="shared" si="39"/>
        <v>0.97660818713450293</v>
      </c>
      <c r="AG125" s="11">
        <v>20</v>
      </c>
      <c r="AH125" s="5" t="s">
        <v>362</v>
      </c>
      <c r="AI125" s="5" t="s">
        <v>362</v>
      </c>
      <c r="AJ125" s="5" t="s">
        <v>362</v>
      </c>
      <c r="AK125" s="5" t="s">
        <v>362</v>
      </c>
      <c r="AL125" s="5" t="s">
        <v>362</v>
      </c>
      <c r="AM125" s="5" t="s">
        <v>362</v>
      </c>
      <c r="AN125" s="5" t="s">
        <v>362</v>
      </c>
      <c r="AO125" s="5" t="s">
        <v>362</v>
      </c>
      <c r="AP125" s="44">
        <f t="shared" si="47"/>
        <v>1.0075311060774217</v>
      </c>
      <c r="AQ125" s="45">
        <v>636</v>
      </c>
      <c r="AR125" s="35">
        <f t="shared" si="40"/>
        <v>173.45454545454547</v>
      </c>
      <c r="AS125" s="35">
        <f t="shared" si="41"/>
        <v>174.8</v>
      </c>
      <c r="AT125" s="35">
        <f t="shared" si="42"/>
        <v>1.3454545454545439</v>
      </c>
      <c r="AU125" s="35">
        <v>57.7</v>
      </c>
      <c r="AV125" s="35">
        <v>53.1</v>
      </c>
      <c r="AW125" s="35">
        <f t="shared" si="43"/>
        <v>64</v>
      </c>
      <c r="AX125" s="35"/>
      <c r="AY125" s="35">
        <f t="shared" si="44"/>
        <v>64</v>
      </c>
      <c r="AZ125" s="35">
        <v>0</v>
      </c>
      <c r="BA125" s="35">
        <f t="shared" si="45"/>
        <v>64</v>
      </c>
      <c r="BB125" s="35"/>
      <c r="BC125" s="35">
        <f t="shared" si="46"/>
        <v>64</v>
      </c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10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10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10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10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10"/>
      <c r="GZ125" s="9"/>
      <c r="HA125" s="9"/>
    </row>
    <row r="126" spans="1:209" s="2" customFormat="1" ht="17" customHeight="1">
      <c r="A126" s="14" t="s">
        <v>125</v>
      </c>
      <c r="B126" s="35">
        <v>252</v>
      </c>
      <c r="C126" s="35">
        <v>197.2</v>
      </c>
      <c r="D126" s="4">
        <f t="shared" si="35"/>
        <v>0.78253968253968254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190.7</v>
      </c>
      <c r="O126" s="35">
        <v>142.5</v>
      </c>
      <c r="P126" s="4">
        <f t="shared" si="36"/>
        <v>0.74724698479286844</v>
      </c>
      <c r="Q126" s="11">
        <v>20</v>
      </c>
      <c r="R126" s="35">
        <v>43</v>
      </c>
      <c r="S126" s="35">
        <v>45.9</v>
      </c>
      <c r="T126" s="4">
        <f t="shared" si="37"/>
        <v>1.0674418604651164</v>
      </c>
      <c r="U126" s="11">
        <v>30</v>
      </c>
      <c r="V126" s="35">
        <v>4</v>
      </c>
      <c r="W126" s="35">
        <v>4.5</v>
      </c>
      <c r="X126" s="4">
        <f t="shared" si="38"/>
        <v>1.125</v>
      </c>
      <c r="Y126" s="11">
        <v>20</v>
      </c>
      <c r="Z126" s="11" t="s">
        <v>385</v>
      </c>
      <c r="AA126" s="11" t="s">
        <v>385</v>
      </c>
      <c r="AB126" s="11" t="s">
        <v>385</v>
      </c>
      <c r="AC126" s="11" t="s">
        <v>385</v>
      </c>
      <c r="AD126" s="11">
        <v>315</v>
      </c>
      <c r="AE126" s="11">
        <v>317</v>
      </c>
      <c r="AF126" s="4">
        <f t="shared" si="39"/>
        <v>1.0063492063492063</v>
      </c>
      <c r="AG126" s="11">
        <v>20</v>
      </c>
      <c r="AH126" s="5" t="s">
        <v>362</v>
      </c>
      <c r="AI126" s="5" t="s">
        <v>362</v>
      </c>
      <c r="AJ126" s="5" t="s">
        <v>362</v>
      </c>
      <c r="AK126" s="5" t="s">
        <v>362</v>
      </c>
      <c r="AL126" s="5" t="s">
        <v>362</v>
      </c>
      <c r="AM126" s="5" t="s">
        <v>362</v>
      </c>
      <c r="AN126" s="5" t="s">
        <v>362</v>
      </c>
      <c r="AO126" s="5" t="s">
        <v>362</v>
      </c>
      <c r="AP126" s="44">
        <f t="shared" si="47"/>
        <v>0.97420576462191799</v>
      </c>
      <c r="AQ126" s="45">
        <v>965</v>
      </c>
      <c r="AR126" s="35">
        <f t="shared" si="40"/>
        <v>263.18181818181819</v>
      </c>
      <c r="AS126" s="35">
        <f t="shared" si="41"/>
        <v>256.39999999999998</v>
      </c>
      <c r="AT126" s="35">
        <f t="shared" si="42"/>
        <v>-6.7818181818182097</v>
      </c>
      <c r="AU126" s="35">
        <v>97.6</v>
      </c>
      <c r="AV126" s="35">
        <v>79.5</v>
      </c>
      <c r="AW126" s="35">
        <f t="shared" si="43"/>
        <v>79.3</v>
      </c>
      <c r="AX126" s="35"/>
      <c r="AY126" s="35">
        <f t="shared" si="44"/>
        <v>79.3</v>
      </c>
      <c r="AZ126" s="35">
        <v>0</v>
      </c>
      <c r="BA126" s="35">
        <f t="shared" si="45"/>
        <v>79.3</v>
      </c>
      <c r="BB126" s="35"/>
      <c r="BC126" s="35">
        <f t="shared" si="46"/>
        <v>79.3</v>
      </c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10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10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10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10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10"/>
      <c r="GZ126" s="9"/>
      <c r="HA126" s="9"/>
    </row>
    <row r="127" spans="1:209" s="2" customFormat="1" ht="17" customHeight="1">
      <c r="A127" s="14" t="s">
        <v>126</v>
      </c>
      <c r="B127" s="35">
        <v>351</v>
      </c>
      <c r="C127" s="35">
        <v>308.39999999999998</v>
      </c>
      <c r="D127" s="4">
        <f t="shared" si="35"/>
        <v>0.87863247863247862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235.9</v>
      </c>
      <c r="O127" s="35">
        <v>178.5</v>
      </c>
      <c r="P127" s="4">
        <f t="shared" si="36"/>
        <v>0.75667655786350152</v>
      </c>
      <c r="Q127" s="11">
        <v>20</v>
      </c>
      <c r="R127" s="35">
        <v>25</v>
      </c>
      <c r="S127" s="35">
        <v>34.6</v>
      </c>
      <c r="T127" s="4">
        <f t="shared" si="37"/>
        <v>1.2183999999999999</v>
      </c>
      <c r="U127" s="11">
        <v>35</v>
      </c>
      <c r="V127" s="35">
        <v>6</v>
      </c>
      <c r="W127" s="35">
        <v>6.6</v>
      </c>
      <c r="X127" s="4">
        <f t="shared" si="38"/>
        <v>1.0999999999999999</v>
      </c>
      <c r="Y127" s="11">
        <v>15</v>
      </c>
      <c r="Z127" s="11" t="s">
        <v>385</v>
      </c>
      <c r="AA127" s="11" t="s">
        <v>385</v>
      </c>
      <c r="AB127" s="11" t="s">
        <v>385</v>
      </c>
      <c r="AC127" s="11" t="s">
        <v>385</v>
      </c>
      <c r="AD127" s="11">
        <v>187</v>
      </c>
      <c r="AE127" s="11">
        <v>187</v>
      </c>
      <c r="AF127" s="4">
        <f t="shared" si="39"/>
        <v>1</v>
      </c>
      <c r="AG127" s="11">
        <v>20</v>
      </c>
      <c r="AH127" s="5" t="s">
        <v>362</v>
      </c>
      <c r="AI127" s="5" t="s">
        <v>362</v>
      </c>
      <c r="AJ127" s="5" t="s">
        <v>362</v>
      </c>
      <c r="AK127" s="5" t="s">
        <v>362</v>
      </c>
      <c r="AL127" s="5" t="s">
        <v>362</v>
      </c>
      <c r="AM127" s="5" t="s">
        <v>362</v>
      </c>
      <c r="AN127" s="5" t="s">
        <v>362</v>
      </c>
      <c r="AO127" s="5" t="s">
        <v>362</v>
      </c>
      <c r="AP127" s="44">
        <f t="shared" si="47"/>
        <v>1.0306385594359482</v>
      </c>
      <c r="AQ127" s="45">
        <v>690</v>
      </c>
      <c r="AR127" s="35">
        <f t="shared" si="40"/>
        <v>188.18181818181819</v>
      </c>
      <c r="AS127" s="35">
        <f t="shared" si="41"/>
        <v>193.9</v>
      </c>
      <c r="AT127" s="35">
        <f t="shared" si="42"/>
        <v>5.7181818181818187</v>
      </c>
      <c r="AU127" s="35">
        <v>66.099999999999994</v>
      </c>
      <c r="AV127" s="35">
        <v>59.9</v>
      </c>
      <c r="AW127" s="35">
        <f t="shared" si="43"/>
        <v>67.900000000000006</v>
      </c>
      <c r="AX127" s="35"/>
      <c r="AY127" s="35">
        <f t="shared" si="44"/>
        <v>67.900000000000006</v>
      </c>
      <c r="AZ127" s="35">
        <v>0</v>
      </c>
      <c r="BA127" s="35">
        <f t="shared" si="45"/>
        <v>67.900000000000006</v>
      </c>
      <c r="BB127" s="35"/>
      <c r="BC127" s="35">
        <f t="shared" si="46"/>
        <v>67.900000000000006</v>
      </c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10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10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10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10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10"/>
      <c r="GZ127" s="9"/>
      <c r="HA127" s="9"/>
    </row>
    <row r="128" spans="1:209" s="2" customFormat="1" ht="17" customHeight="1">
      <c r="A128" s="18" t="s">
        <v>127</v>
      </c>
      <c r="B128" s="6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35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10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10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10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10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10"/>
      <c r="GZ128" s="9"/>
      <c r="HA128" s="9"/>
    </row>
    <row r="129" spans="1:209" s="2" customFormat="1" ht="17" customHeight="1">
      <c r="A129" s="14" t="s">
        <v>128</v>
      </c>
      <c r="B129" s="35">
        <v>6658</v>
      </c>
      <c r="C129" s="35">
        <v>5893</v>
      </c>
      <c r="D129" s="4">
        <f t="shared" si="35"/>
        <v>0.88510063082006607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1054.3</v>
      </c>
      <c r="O129" s="35">
        <v>543.79999999999995</v>
      </c>
      <c r="P129" s="4">
        <f t="shared" si="36"/>
        <v>0.51579246893673525</v>
      </c>
      <c r="Q129" s="11">
        <v>20</v>
      </c>
      <c r="R129" s="35">
        <v>734</v>
      </c>
      <c r="S129" s="35">
        <v>694.3</v>
      </c>
      <c r="T129" s="4">
        <f t="shared" si="37"/>
        <v>0.94591280653950949</v>
      </c>
      <c r="U129" s="11">
        <v>30</v>
      </c>
      <c r="V129" s="35">
        <v>41</v>
      </c>
      <c r="W129" s="35">
        <v>24.8</v>
      </c>
      <c r="X129" s="4">
        <f t="shared" si="38"/>
        <v>0.60487804878048779</v>
      </c>
      <c r="Y129" s="11">
        <v>20</v>
      </c>
      <c r="Z129" s="11" t="s">
        <v>385</v>
      </c>
      <c r="AA129" s="11" t="s">
        <v>385</v>
      </c>
      <c r="AB129" s="11" t="s">
        <v>385</v>
      </c>
      <c r="AC129" s="11" t="s">
        <v>385</v>
      </c>
      <c r="AD129" s="11">
        <v>977</v>
      </c>
      <c r="AE129" s="11">
        <v>978</v>
      </c>
      <c r="AF129" s="4">
        <f t="shared" si="39"/>
        <v>1.0010235414534288</v>
      </c>
      <c r="AG129" s="11">
        <v>20</v>
      </c>
      <c r="AH129" s="5" t="s">
        <v>362</v>
      </c>
      <c r="AI129" s="5" t="s">
        <v>362</v>
      </c>
      <c r="AJ129" s="5" t="s">
        <v>362</v>
      </c>
      <c r="AK129" s="5" t="s">
        <v>362</v>
      </c>
      <c r="AL129" s="5" t="s">
        <v>362</v>
      </c>
      <c r="AM129" s="5" t="s">
        <v>362</v>
      </c>
      <c r="AN129" s="5" t="s">
        <v>362</v>
      </c>
      <c r="AO129" s="5" t="s">
        <v>362</v>
      </c>
      <c r="AP129" s="44">
        <f t="shared" si="47"/>
        <v>0.7966227168779898</v>
      </c>
      <c r="AQ129" s="45">
        <v>780</v>
      </c>
      <c r="AR129" s="35">
        <f t="shared" si="40"/>
        <v>212.72727272727272</v>
      </c>
      <c r="AS129" s="35">
        <f t="shared" si="41"/>
        <v>169.5</v>
      </c>
      <c r="AT129" s="35">
        <f t="shared" si="42"/>
        <v>-43.22727272727272</v>
      </c>
      <c r="AU129" s="35">
        <v>47.5</v>
      </c>
      <c r="AV129" s="35">
        <v>62.5</v>
      </c>
      <c r="AW129" s="35">
        <f t="shared" si="43"/>
        <v>59.5</v>
      </c>
      <c r="AX129" s="35"/>
      <c r="AY129" s="35">
        <f t="shared" si="44"/>
        <v>59.5</v>
      </c>
      <c r="AZ129" s="35">
        <v>0</v>
      </c>
      <c r="BA129" s="35">
        <f t="shared" si="45"/>
        <v>59.5</v>
      </c>
      <c r="BB129" s="35">
        <f>MIN(BA129,23.3)</f>
        <v>23.3</v>
      </c>
      <c r="BC129" s="35">
        <f t="shared" si="46"/>
        <v>36.200000000000003</v>
      </c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10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10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10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10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10"/>
      <c r="GZ129" s="9"/>
      <c r="HA129" s="9"/>
    </row>
    <row r="130" spans="1:209" s="2" customFormat="1" ht="17" customHeight="1">
      <c r="A130" s="14" t="s">
        <v>129</v>
      </c>
      <c r="B130" s="35">
        <v>0</v>
      </c>
      <c r="C130" s="35">
        <v>0</v>
      </c>
      <c r="D130" s="4">
        <f t="shared" si="35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330.8</v>
      </c>
      <c r="O130" s="35">
        <v>95.4</v>
      </c>
      <c r="P130" s="4">
        <f t="shared" si="36"/>
        <v>0.28839177750906891</v>
      </c>
      <c r="Q130" s="11">
        <v>20</v>
      </c>
      <c r="R130" s="35">
        <v>352</v>
      </c>
      <c r="S130" s="35">
        <v>368.3</v>
      </c>
      <c r="T130" s="4">
        <f t="shared" si="37"/>
        <v>1.0463068181818183</v>
      </c>
      <c r="U130" s="11">
        <v>40</v>
      </c>
      <c r="V130" s="35">
        <v>14</v>
      </c>
      <c r="W130" s="35">
        <v>14.3</v>
      </c>
      <c r="X130" s="4">
        <f t="shared" si="38"/>
        <v>1.0214285714285716</v>
      </c>
      <c r="Y130" s="11">
        <v>10</v>
      </c>
      <c r="Z130" s="11" t="s">
        <v>385</v>
      </c>
      <c r="AA130" s="11" t="s">
        <v>385</v>
      </c>
      <c r="AB130" s="11" t="s">
        <v>385</v>
      </c>
      <c r="AC130" s="11" t="s">
        <v>385</v>
      </c>
      <c r="AD130" s="11">
        <v>494</v>
      </c>
      <c r="AE130" s="11">
        <v>494</v>
      </c>
      <c r="AF130" s="4">
        <f t="shared" si="39"/>
        <v>1</v>
      </c>
      <c r="AG130" s="11">
        <v>20</v>
      </c>
      <c r="AH130" s="5" t="s">
        <v>362</v>
      </c>
      <c r="AI130" s="5" t="s">
        <v>362</v>
      </c>
      <c r="AJ130" s="5" t="s">
        <v>362</v>
      </c>
      <c r="AK130" s="5" t="s">
        <v>362</v>
      </c>
      <c r="AL130" s="5" t="s">
        <v>362</v>
      </c>
      <c r="AM130" s="5" t="s">
        <v>362</v>
      </c>
      <c r="AN130" s="5" t="s">
        <v>362</v>
      </c>
      <c r="AO130" s="5" t="s">
        <v>362</v>
      </c>
      <c r="AP130" s="44">
        <f t="shared" si="47"/>
        <v>0.86482659990822031</v>
      </c>
      <c r="AQ130" s="45">
        <v>1284</v>
      </c>
      <c r="AR130" s="35">
        <f t="shared" si="40"/>
        <v>350.18181818181819</v>
      </c>
      <c r="AS130" s="35">
        <f t="shared" si="41"/>
        <v>302.8</v>
      </c>
      <c r="AT130" s="35">
        <f t="shared" si="42"/>
        <v>-47.381818181818176</v>
      </c>
      <c r="AU130" s="35">
        <v>113.5</v>
      </c>
      <c r="AV130" s="35">
        <v>101.9</v>
      </c>
      <c r="AW130" s="35">
        <f t="shared" si="43"/>
        <v>87.4</v>
      </c>
      <c r="AX130" s="35"/>
      <c r="AY130" s="35">
        <f t="shared" si="44"/>
        <v>87.4</v>
      </c>
      <c r="AZ130" s="35">
        <v>0</v>
      </c>
      <c r="BA130" s="35">
        <f t="shared" si="45"/>
        <v>87.4</v>
      </c>
      <c r="BB130" s="35"/>
      <c r="BC130" s="35">
        <f t="shared" si="46"/>
        <v>87.4</v>
      </c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10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10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10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10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10"/>
      <c r="GZ130" s="9"/>
      <c r="HA130" s="9"/>
    </row>
    <row r="131" spans="1:209" s="2" customFormat="1" ht="17" customHeight="1">
      <c r="A131" s="14" t="s">
        <v>130</v>
      </c>
      <c r="B131" s="35">
        <v>14225</v>
      </c>
      <c r="C131" s="35">
        <v>15164.3</v>
      </c>
      <c r="D131" s="4">
        <f t="shared" si="35"/>
        <v>1.0660316344463971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1642.2</v>
      </c>
      <c r="O131" s="35">
        <v>1365.4</v>
      </c>
      <c r="P131" s="4">
        <f t="shared" si="36"/>
        <v>0.83144562172695169</v>
      </c>
      <c r="Q131" s="11">
        <v>20</v>
      </c>
      <c r="R131" s="35">
        <v>196</v>
      </c>
      <c r="S131" s="35">
        <v>233.9</v>
      </c>
      <c r="T131" s="4">
        <f t="shared" si="37"/>
        <v>1.1933673469387756</v>
      </c>
      <c r="U131" s="11">
        <v>20</v>
      </c>
      <c r="V131" s="35">
        <v>18</v>
      </c>
      <c r="W131" s="35">
        <v>18.8</v>
      </c>
      <c r="X131" s="4">
        <f t="shared" si="38"/>
        <v>1.0444444444444445</v>
      </c>
      <c r="Y131" s="11">
        <v>30</v>
      </c>
      <c r="Z131" s="11" t="s">
        <v>385</v>
      </c>
      <c r="AA131" s="11" t="s">
        <v>385</v>
      </c>
      <c r="AB131" s="11" t="s">
        <v>385</v>
      </c>
      <c r="AC131" s="11" t="s">
        <v>385</v>
      </c>
      <c r="AD131" s="11">
        <v>528</v>
      </c>
      <c r="AE131" s="11">
        <v>541</v>
      </c>
      <c r="AF131" s="4">
        <f t="shared" si="39"/>
        <v>1.0246212121212122</v>
      </c>
      <c r="AG131" s="11">
        <v>20</v>
      </c>
      <c r="AH131" s="5" t="s">
        <v>362</v>
      </c>
      <c r="AI131" s="5" t="s">
        <v>362</v>
      </c>
      <c r="AJ131" s="5" t="s">
        <v>362</v>
      </c>
      <c r="AK131" s="5" t="s">
        <v>362</v>
      </c>
      <c r="AL131" s="5" t="s">
        <v>362</v>
      </c>
      <c r="AM131" s="5" t="s">
        <v>362</v>
      </c>
      <c r="AN131" s="5" t="s">
        <v>362</v>
      </c>
      <c r="AO131" s="5" t="s">
        <v>362</v>
      </c>
      <c r="AP131" s="44">
        <f t="shared" si="47"/>
        <v>1.029823332935361</v>
      </c>
      <c r="AQ131" s="45">
        <v>1440</v>
      </c>
      <c r="AR131" s="35">
        <f t="shared" si="40"/>
        <v>392.72727272727275</v>
      </c>
      <c r="AS131" s="35">
        <f t="shared" si="41"/>
        <v>404.4</v>
      </c>
      <c r="AT131" s="35">
        <f t="shared" si="42"/>
        <v>11.672727272727229</v>
      </c>
      <c r="AU131" s="35">
        <v>129.80000000000001</v>
      </c>
      <c r="AV131" s="35">
        <v>131</v>
      </c>
      <c r="AW131" s="35">
        <f t="shared" si="43"/>
        <v>143.6</v>
      </c>
      <c r="AX131" s="35"/>
      <c r="AY131" s="35">
        <f t="shared" si="44"/>
        <v>143.6</v>
      </c>
      <c r="AZ131" s="35">
        <v>0</v>
      </c>
      <c r="BA131" s="35">
        <f t="shared" si="45"/>
        <v>143.6</v>
      </c>
      <c r="BB131" s="35"/>
      <c r="BC131" s="35">
        <f t="shared" si="46"/>
        <v>143.6</v>
      </c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10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10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10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10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10"/>
      <c r="GZ131" s="9"/>
      <c r="HA131" s="9"/>
    </row>
    <row r="132" spans="1:209" s="2" customFormat="1" ht="17" customHeight="1">
      <c r="A132" s="14" t="s">
        <v>131</v>
      </c>
      <c r="B132" s="35">
        <v>0</v>
      </c>
      <c r="C132" s="35">
        <v>0</v>
      </c>
      <c r="D132" s="4">
        <f t="shared" si="35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956.6</v>
      </c>
      <c r="O132" s="35">
        <v>600.6</v>
      </c>
      <c r="P132" s="4">
        <f t="shared" si="36"/>
        <v>0.62784863056659002</v>
      </c>
      <c r="Q132" s="11">
        <v>20</v>
      </c>
      <c r="R132" s="35">
        <v>215</v>
      </c>
      <c r="S132" s="35">
        <v>212.3</v>
      </c>
      <c r="T132" s="4">
        <f t="shared" si="37"/>
        <v>0.98744186046511628</v>
      </c>
      <c r="U132" s="11">
        <v>20</v>
      </c>
      <c r="V132" s="35">
        <v>24</v>
      </c>
      <c r="W132" s="35">
        <v>17.5</v>
      </c>
      <c r="X132" s="4">
        <f t="shared" si="38"/>
        <v>0.72916666666666663</v>
      </c>
      <c r="Y132" s="11">
        <v>10</v>
      </c>
      <c r="Z132" s="11" t="s">
        <v>385</v>
      </c>
      <c r="AA132" s="11" t="s">
        <v>385</v>
      </c>
      <c r="AB132" s="11" t="s">
        <v>385</v>
      </c>
      <c r="AC132" s="11" t="s">
        <v>385</v>
      </c>
      <c r="AD132" s="11">
        <v>399</v>
      </c>
      <c r="AE132" s="11">
        <v>399</v>
      </c>
      <c r="AF132" s="4">
        <f t="shared" si="39"/>
        <v>1</v>
      </c>
      <c r="AG132" s="11">
        <v>20</v>
      </c>
      <c r="AH132" s="5" t="s">
        <v>362</v>
      </c>
      <c r="AI132" s="5" t="s">
        <v>362</v>
      </c>
      <c r="AJ132" s="5" t="s">
        <v>362</v>
      </c>
      <c r="AK132" s="5" t="s">
        <v>362</v>
      </c>
      <c r="AL132" s="5" t="s">
        <v>362</v>
      </c>
      <c r="AM132" s="5" t="s">
        <v>362</v>
      </c>
      <c r="AN132" s="5" t="s">
        <v>362</v>
      </c>
      <c r="AO132" s="5" t="s">
        <v>362</v>
      </c>
      <c r="AP132" s="44">
        <f t="shared" si="47"/>
        <v>0.85139252124715414</v>
      </c>
      <c r="AQ132" s="45">
        <v>1210</v>
      </c>
      <c r="AR132" s="35">
        <f t="shared" si="40"/>
        <v>330</v>
      </c>
      <c r="AS132" s="35">
        <f t="shared" si="41"/>
        <v>281</v>
      </c>
      <c r="AT132" s="35">
        <f t="shared" si="42"/>
        <v>-49</v>
      </c>
      <c r="AU132" s="35">
        <v>67.400000000000006</v>
      </c>
      <c r="AV132" s="35">
        <v>94.2</v>
      </c>
      <c r="AW132" s="35">
        <f t="shared" si="43"/>
        <v>119.4</v>
      </c>
      <c r="AX132" s="35"/>
      <c r="AY132" s="35">
        <f t="shared" si="44"/>
        <v>119.4</v>
      </c>
      <c r="AZ132" s="35">
        <v>0</v>
      </c>
      <c r="BA132" s="35">
        <f t="shared" si="45"/>
        <v>119.4</v>
      </c>
      <c r="BB132" s="35">
        <f>MIN(BA132,31.1)</f>
        <v>31.1</v>
      </c>
      <c r="BC132" s="35">
        <f t="shared" si="46"/>
        <v>88.3</v>
      </c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10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10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10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10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10"/>
      <c r="GZ132" s="9"/>
      <c r="HA132" s="9"/>
    </row>
    <row r="133" spans="1:209" s="2" customFormat="1" ht="17" customHeight="1">
      <c r="A133" s="14" t="s">
        <v>132</v>
      </c>
      <c r="B133" s="35">
        <v>0</v>
      </c>
      <c r="C133" s="35">
        <v>0</v>
      </c>
      <c r="D133" s="4">
        <f t="shared" si="35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144.19999999999999</v>
      </c>
      <c r="O133" s="35">
        <v>36.200000000000003</v>
      </c>
      <c r="P133" s="4">
        <f t="shared" si="36"/>
        <v>0.25104022191400838</v>
      </c>
      <c r="Q133" s="11">
        <v>20</v>
      </c>
      <c r="R133" s="35">
        <v>205</v>
      </c>
      <c r="S133" s="35">
        <v>234.3</v>
      </c>
      <c r="T133" s="4">
        <f t="shared" si="37"/>
        <v>1.1429268292682928</v>
      </c>
      <c r="U133" s="11">
        <v>35</v>
      </c>
      <c r="V133" s="35">
        <v>11</v>
      </c>
      <c r="W133" s="35">
        <v>13.1</v>
      </c>
      <c r="X133" s="4">
        <f t="shared" si="38"/>
        <v>1.1909090909090909</v>
      </c>
      <c r="Y133" s="11">
        <v>15</v>
      </c>
      <c r="Z133" s="11" t="s">
        <v>385</v>
      </c>
      <c r="AA133" s="11" t="s">
        <v>385</v>
      </c>
      <c r="AB133" s="11" t="s">
        <v>385</v>
      </c>
      <c r="AC133" s="11" t="s">
        <v>385</v>
      </c>
      <c r="AD133" s="11">
        <v>367</v>
      </c>
      <c r="AE133" s="11">
        <v>345</v>
      </c>
      <c r="AF133" s="4">
        <f t="shared" si="39"/>
        <v>0.94005449591280654</v>
      </c>
      <c r="AG133" s="11">
        <v>20</v>
      </c>
      <c r="AH133" s="5" t="s">
        <v>362</v>
      </c>
      <c r="AI133" s="5" t="s">
        <v>362</v>
      </c>
      <c r="AJ133" s="5" t="s">
        <v>362</v>
      </c>
      <c r="AK133" s="5" t="s">
        <v>362</v>
      </c>
      <c r="AL133" s="5" t="s">
        <v>362</v>
      </c>
      <c r="AM133" s="5" t="s">
        <v>362</v>
      </c>
      <c r="AN133" s="5" t="s">
        <v>362</v>
      </c>
      <c r="AO133" s="5" t="s">
        <v>362</v>
      </c>
      <c r="AP133" s="44">
        <f t="shared" si="47"/>
        <v>0.90764410827292119</v>
      </c>
      <c r="AQ133" s="45">
        <v>1908</v>
      </c>
      <c r="AR133" s="35">
        <f t="shared" si="40"/>
        <v>520.36363636363637</v>
      </c>
      <c r="AS133" s="35">
        <f t="shared" si="41"/>
        <v>472.3</v>
      </c>
      <c r="AT133" s="35">
        <f t="shared" si="42"/>
        <v>-48.063636363636363</v>
      </c>
      <c r="AU133" s="35">
        <v>149.30000000000001</v>
      </c>
      <c r="AV133" s="35">
        <v>206.9</v>
      </c>
      <c r="AW133" s="35">
        <f t="shared" si="43"/>
        <v>116.1</v>
      </c>
      <c r="AX133" s="35"/>
      <c r="AY133" s="35">
        <f t="shared" si="44"/>
        <v>116.1</v>
      </c>
      <c r="AZ133" s="35">
        <v>0</v>
      </c>
      <c r="BA133" s="35">
        <f t="shared" si="45"/>
        <v>116.1</v>
      </c>
      <c r="BB133" s="35">
        <f>MIN(BA133,83.9)</f>
        <v>83.9</v>
      </c>
      <c r="BC133" s="35">
        <f t="shared" si="46"/>
        <v>32.200000000000003</v>
      </c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10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10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10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10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10"/>
      <c r="GZ133" s="9"/>
      <c r="HA133" s="9"/>
    </row>
    <row r="134" spans="1:209" s="2" customFormat="1" ht="17" customHeight="1">
      <c r="A134" s="14" t="s">
        <v>133</v>
      </c>
      <c r="B134" s="35">
        <v>1599</v>
      </c>
      <c r="C134" s="35">
        <v>1235</v>
      </c>
      <c r="D134" s="4">
        <f t="shared" si="35"/>
        <v>0.77235772357723576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817</v>
      </c>
      <c r="O134" s="35">
        <v>463</v>
      </c>
      <c r="P134" s="4">
        <f t="shared" si="36"/>
        <v>0.56670746634026925</v>
      </c>
      <c r="Q134" s="11">
        <v>20</v>
      </c>
      <c r="R134" s="35">
        <v>643</v>
      </c>
      <c r="S134" s="35">
        <v>689.8</v>
      </c>
      <c r="T134" s="4">
        <f t="shared" si="37"/>
        <v>1.0727838258164852</v>
      </c>
      <c r="U134" s="11">
        <v>35</v>
      </c>
      <c r="V134" s="35">
        <v>27</v>
      </c>
      <c r="W134" s="35">
        <v>48.4</v>
      </c>
      <c r="X134" s="4">
        <f t="shared" si="38"/>
        <v>1.2592592592592593</v>
      </c>
      <c r="Y134" s="11">
        <v>15</v>
      </c>
      <c r="Z134" s="11" t="s">
        <v>385</v>
      </c>
      <c r="AA134" s="11" t="s">
        <v>385</v>
      </c>
      <c r="AB134" s="11" t="s">
        <v>385</v>
      </c>
      <c r="AC134" s="11" t="s">
        <v>385</v>
      </c>
      <c r="AD134" s="11">
        <v>786</v>
      </c>
      <c r="AE134" s="11">
        <v>793</v>
      </c>
      <c r="AF134" s="4">
        <f t="shared" si="39"/>
        <v>1.0089058524173029</v>
      </c>
      <c r="AG134" s="11">
        <v>20</v>
      </c>
      <c r="AH134" s="5" t="s">
        <v>362</v>
      </c>
      <c r="AI134" s="5" t="s">
        <v>362</v>
      </c>
      <c r="AJ134" s="5" t="s">
        <v>362</v>
      </c>
      <c r="AK134" s="5" t="s">
        <v>362</v>
      </c>
      <c r="AL134" s="5" t="s">
        <v>362</v>
      </c>
      <c r="AM134" s="5" t="s">
        <v>362</v>
      </c>
      <c r="AN134" s="5" t="s">
        <v>362</v>
      </c>
      <c r="AO134" s="5" t="s">
        <v>362</v>
      </c>
      <c r="AP134" s="44">
        <f t="shared" si="47"/>
        <v>0.95672166403389669</v>
      </c>
      <c r="AQ134" s="45">
        <v>621</v>
      </c>
      <c r="AR134" s="35">
        <f t="shared" si="40"/>
        <v>169.36363636363637</v>
      </c>
      <c r="AS134" s="35">
        <f t="shared" si="41"/>
        <v>162</v>
      </c>
      <c r="AT134" s="35">
        <f t="shared" si="42"/>
        <v>-7.363636363636374</v>
      </c>
      <c r="AU134" s="35">
        <v>50.8</v>
      </c>
      <c r="AV134" s="35">
        <v>62.7</v>
      </c>
      <c r="AW134" s="35">
        <f t="shared" si="43"/>
        <v>48.5</v>
      </c>
      <c r="AX134" s="35"/>
      <c r="AY134" s="35">
        <f t="shared" si="44"/>
        <v>48.5</v>
      </c>
      <c r="AZ134" s="35">
        <v>0</v>
      </c>
      <c r="BA134" s="35">
        <f t="shared" si="45"/>
        <v>48.5</v>
      </c>
      <c r="BB134" s="35">
        <f>MIN(BA134,23.3)</f>
        <v>23.3</v>
      </c>
      <c r="BC134" s="35">
        <f t="shared" si="46"/>
        <v>25.2</v>
      </c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10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10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10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10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10"/>
      <c r="GZ134" s="9"/>
      <c r="HA134" s="9"/>
    </row>
    <row r="135" spans="1:209" s="2" customFormat="1" ht="17" customHeight="1">
      <c r="A135" s="14" t="s">
        <v>134</v>
      </c>
      <c r="B135" s="35">
        <v>0</v>
      </c>
      <c r="C135" s="35">
        <v>0</v>
      </c>
      <c r="D135" s="4">
        <f t="shared" si="35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985.6</v>
      </c>
      <c r="O135" s="35">
        <v>848.3</v>
      </c>
      <c r="P135" s="4">
        <f t="shared" si="36"/>
        <v>0.86069399350649345</v>
      </c>
      <c r="Q135" s="11">
        <v>20</v>
      </c>
      <c r="R135" s="35">
        <v>1031</v>
      </c>
      <c r="S135" s="35">
        <v>1165.9000000000001</v>
      </c>
      <c r="T135" s="4">
        <f t="shared" si="37"/>
        <v>1.130843840931135</v>
      </c>
      <c r="U135" s="11">
        <v>35</v>
      </c>
      <c r="V135" s="35">
        <v>37</v>
      </c>
      <c r="W135" s="35">
        <v>37.4</v>
      </c>
      <c r="X135" s="4">
        <f t="shared" si="38"/>
        <v>1.0108108108108107</v>
      </c>
      <c r="Y135" s="11">
        <v>15</v>
      </c>
      <c r="Z135" s="11" t="s">
        <v>385</v>
      </c>
      <c r="AA135" s="11" t="s">
        <v>385</v>
      </c>
      <c r="AB135" s="11" t="s">
        <v>385</v>
      </c>
      <c r="AC135" s="11" t="s">
        <v>385</v>
      </c>
      <c r="AD135" s="11">
        <v>1224</v>
      </c>
      <c r="AE135" s="11">
        <v>1307</v>
      </c>
      <c r="AF135" s="4">
        <f t="shared" si="39"/>
        <v>1.0678104575163399</v>
      </c>
      <c r="AG135" s="11">
        <v>20</v>
      </c>
      <c r="AH135" s="5" t="s">
        <v>362</v>
      </c>
      <c r="AI135" s="5" t="s">
        <v>362</v>
      </c>
      <c r="AJ135" s="5" t="s">
        <v>362</v>
      </c>
      <c r="AK135" s="5" t="s">
        <v>362</v>
      </c>
      <c r="AL135" s="5" t="s">
        <v>362</v>
      </c>
      <c r="AM135" s="5" t="s">
        <v>362</v>
      </c>
      <c r="AN135" s="5" t="s">
        <v>362</v>
      </c>
      <c r="AO135" s="5" t="s">
        <v>362</v>
      </c>
      <c r="AP135" s="44">
        <f t="shared" si="47"/>
        <v>1.0367976179467617</v>
      </c>
      <c r="AQ135" s="45">
        <v>1211</v>
      </c>
      <c r="AR135" s="35">
        <f t="shared" si="40"/>
        <v>330.27272727272725</v>
      </c>
      <c r="AS135" s="35">
        <f t="shared" si="41"/>
        <v>342.4</v>
      </c>
      <c r="AT135" s="35">
        <f t="shared" si="42"/>
        <v>12.127272727272725</v>
      </c>
      <c r="AU135" s="35">
        <v>103.1</v>
      </c>
      <c r="AV135" s="35">
        <v>108.7</v>
      </c>
      <c r="AW135" s="35">
        <f t="shared" si="43"/>
        <v>130.6</v>
      </c>
      <c r="AX135" s="35"/>
      <c r="AY135" s="35">
        <f t="shared" si="44"/>
        <v>130.6</v>
      </c>
      <c r="AZ135" s="35">
        <v>0</v>
      </c>
      <c r="BA135" s="35">
        <f t="shared" si="45"/>
        <v>130.6</v>
      </c>
      <c r="BB135" s="35"/>
      <c r="BC135" s="35">
        <f t="shared" si="46"/>
        <v>130.6</v>
      </c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10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10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10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10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10"/>
      <c r="GZ135" s="9"/>
      <c r="HA135" s="9"/>
    </row>
    <row r="136" spans="1:209" s="2" customFormat="1" ht="17" customHeight="1">
      <c r="A136" s="14" t="s">
        <v>135</v>
      </c>
      <c r="B136" s="35">
        <v>0</v>
      </c>
      <c r="C136" s="35">
        <v>0</v>
      </c>
      <c r="D136" s="4">
        <f t="shared" si="35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552</v>
      </c>
      <c r="O136" s="35">
        <v>420.5</v>
      </c>
      <c r="P136" s="4">
        <f t="shared" si="36"/>
        <v>0.76177536231884058</v>
      </c>
      <c r="Q136" s="11">
        <v>20</v>
      </c>
      <c r="R136" s="35">
        <v>16</v>
      </c>
      <c r="S136" s="35">
        <v>6.5</v>
      </c>
      <c r="T136" s="4">
        <f t="shared" si="37"/>
        <v>0.40625</v>
      </c>
      <c r="U136" s="11">
        <v>25</v>
      </c>
      <c r="V136" s="35">
        <v>1</v>
      </c>
      <c r="W136" s="35">
        <v>1.1000000000000001</v>
      </c>
      <c r="X136" s="4">
        <f t="shared" si="38"/>
        <v>1.1000000000000001</v>
      </c>
      <c r="Y136" s="11">
        <v>25</v>
      </c>
      <c r="Z136" s="11" t="s">
        <v>385</v>
      </c>
      <c r="AA136" s="11" t="s">
        <v>385</v>
      </c>
      <c r="AB136" s="11" t="s">
        <v>385</v>
      </c>
      <c r="AC136" s="11" t="s">
        <v>385</v>
      </c>
      <c r="AD136" s="11">
        <v>111</v>
      </c>
      <c r="AE136" s="11">
        <v>111</v>
      </c>
      <c r="AF136" s="4">
        <f t="shared" si="39"/>
        <v>1</v>
      </c>
      <c r="AG136" s="11">
        <v>20</v>
      </c>
      <c r="AH136" s="5" t="s">
        <v>362</v>
      </c>
      <c r="AI136" s="5" t="s">
        <v>362</v>
      </c>
      <c r="AJ136" s="5" t="s">
        <v>362</v>
      </c>
      <c r="AK136" s="5" t="s">
        <v>362</v>
      </c>
      <c r="AL136" s="5" t="s">
        <v>362</v>
      </c>
      <c r="AM136" s="5" t="s">
        <v>362</v>
      </c>
      <c r="AN136" s="5" t="s">
        <v>362</v>
      </c>
      <c r="AO136" s="5" t="s">
        <v>362</v>
      </c>
      <c r="AP136" s="44">
        <f t="shared" si="47"/>
        <v>0.80990841384863121</v>
      </c>
      <c r="AQ136" s="45">
        <v>683</v>
      </c>
      <c r="AR136" s="35">
        <f t="shared" si="40"/>
        <v>186.27272727272728</v>
      </c>
      <c r="AS136" s="35">
        <f t="shared" si="41"/>
        <v>150.9</v>
      </c>
      <c r="AT136" s="35">
        <f t="shared" si="42"/>
        <v>-35.372727272727275</v>
      </c>
      <c r="AU136" s="35">
        <v>30.4</v>
      </c>
      <c r="AV136" s="35">
        <v>49.5</v>
      </c>
      <c r="AW136" s="35">
        <f t="shared" si="43"/>
        <v>71</v>
      </c>
      <c r="AX136" s="35"/>
      <c r="AY136" s="35">
        <f t="shared" si="44"/>
        <v>71</v>
      </c>
      <c r="AZ136" s="35">
        <v>0</v>
      </c>
      <c r="BA136" s="35">
        <f t="shared" si="45"/>
        <v>71</v>
      </c>
      <c r="BB136" s="35"/>
      <c r="BC136" s="35">
        <f t="shared" si="46"/>
        <v>71</v>
      </c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10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10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10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10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10"/>
      <c r="GZ136" s="9"/>
      <c r="HA136" s="9"/>
    </row>
    <row r="137" spans="1:209" s="2" customFormat="1" ht="17" customHeight="1">
      <c r="A137" s="18" t="s">
        <v>136</v>
      </c>
      <c r="B137" s="6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35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10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10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10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10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10"/>
      <c r="GZ137" s="9"/>
      <c r="HA137" s="9"/>
    </row>
    <row r="138" spans="1:209" s="2" customFormat="1" ht="17" customHeight="1">
      <c r="A138" s="14" t="s">
        <v>137</v>
      </c>
      <c r="B138" s="35">
        <v>0</v>
      </c>
      <c r="C138" s="35">
        <v>0</v>
      </c>
      <c r="D138" s="4">
        <f t="shared" si="35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27.6</v>
      </c>
      <c r="O138" s="35">
        <v>633.70000000000005</v>
      </c>
      <c r="P138" s="4">
        <f t="shared" si="36"/>
        <v>1.3</v>
      </c>
      <c r="Q138" s="11">
        <v>20</v>
      </c>
      <c r="R138" s="35">
        <v>7</v>
      </c>
      <c r="S138" s="35">
        <v>7</v>
      </c>
      <c r="T138" s="4">
        <f t="shared" si="37"/>
        <v>1</v>
      </c>
      <c r="U138" s="11">
        <v>30</v>
      </c>
      <c r="V138" s="35">
        <v>2.1</v>
      </c>
      <c r="W138" s="35">
        <v>2.2000000000000002</v>
      </c>
      <c r="X138" s="4">
        <f t="shared" si="38"/>
        <v>1.0476190476190477</v>
      </c>
      <c r="Y138" s="11">
        <v>20</v>
      </c>
      <c r="Z138" s="11" t="s">
        <v>385</v>
      </c>
      <c r="AA138" s="11" t="s">
        <v>385</v>
      </c>
      <c r="AB138" s="11" t="s">
        <v>385</v>
      </c>
      <c r="AC138" s="11" t="s">
        <v>385</v>
      </c>
      <c r="AD138" s="11">
        <v>110</v>
      </c>
      <c r="AE138" s="11">
        <v>83</v>
      </c>
      <c r="AF138" s="4">
        <f t="shared" si="39"/>
        <v>0.75454545454545452</v>
      </c>
      <c r="AG138" s="11">
        <v>20</v>
      </c>
      <c r="AH138" s="5" t="s">
        <v>362</v>
      </c>
      <c r="AI138" s="5" t="s">
        <v>362</v>
      </c>
      <c r="AJ138" s="5" t="s">
        <v>362</v>
      </c>
      <c r="AK138" s="5" t="s">
        <v>362</v>
      </c>
      <c r="AL138" s="5" t="s">
        <v>362</v>
      </c>
      <c r="AM138" s="5" t="s">
        <v>362</v>
      </c>
      <c r="AN138" s="5" t="s">
        <v>362</v>
      </c>
      <c r="AO138" s="5" t="s">
        <v>362</v>
      </c>
      <c r="AP138" s="44">
        <f t="shared" si="47"/>
        <v>1.0227032227032227</v>
      </c>
      <c r="AQ138" s="45">
        <v>947</v>
      </c>
      <c r="AR138" s="35">
        <f t="shared" si="40"/>
        <v>258.27272727272725</v>
      </c>
      <c r="AS138" s="35">
        <f t="shared" si="41"/>
        <v>264.10000000000002</v>
      </c>
      <c r="AT138" s="35">
        <f t="shared" si="42"/>
        <v>5.8272727272727707</v>
      </c>
      <c r="AU138" s="35">
        <v>91.1</v>
      </c>
      <c r="AV138" s="35">
        <v>96.3</v>
      </c>
      <c r="AW138" s="35">
        <f t="shared" si="43"/>
        <v>76.7</v>
      </c>
      <c r="AX138" s="35"/>
      <c r="AY138" s="35">
        <f t="shared" si="44"/>
        <v>76.7</v>
      </c>
      <c r="AZ138" s="35">
        <v>0</v>
      </c>
      <c r="BA138" s="35">
        <f t="shared" si="45"/>
        <v>76.7</v>
      </c>
      <c r="BB138" s="35"/>
      <c r="BC138" s="35">
        <f t="shared" si="46"/>
        <v>76.7</v>
      </c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10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10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10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10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10"/>
      <c r="GZ138" s="9"/>
      <c r="HA138" s="9"/>
    </row>
    <row r="139" spans="1:209" s="2" customFormat="1" ht="17" customHeight="1">
      <c r="A139" s="14" t="s">
        <v>138</v>
      </c>
      <c r="B139" s="35">
        <v>0</v>
      </c>
      <c r="C139" s="35">
        <v>0</v>
      </c>
      <c r="D139" s="4">
        <f t="shared" si="35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130.1</v>
      </c>
      <c r="O139" s="35">
        <v>35.799999999999997</v>
      </c>
      <c r="P139" s="4">
        <f t="shared" si="36"/>
        <v>0.2751729438893159</v>
      </c>
      <c r="Q139" s="11">
        <v>20</v>
      </c>
      <c r="R139" s="35">
        <v>8</v>
      </c>
      <c r="S139" s="35">
        <v>8</v>
      </c>
      <c r="T139" s="4">
        <f t="shared" si="37"/>
        <v>1</v>
      </c>
      <c r="U139" s="11">
        <v>35</v>
      </c>
      <c r="V139" s="35">
        <v>4</v>
      </c>
      <c r="W139" s="35">
        <v>4.5999999999999996</v>
      </c>
      <c r="X139" s="4">
        <f t="shared" si="38"/>
        <v>1.1499999999999999</v>
      </c>
      <c r="Y139" s="11">
        <v>15</v>
      </c>
      <c r="Z139" s="11" t="s">
        <v>385</v>
      </c>
      <c r="AA139" s="11" t="s">
        <v>385</v>
      </c>
      <c r="AB139" s="11" t="s">
        <v>385</v>
      </c>
      <c r="AC139" s="11" t="s">
        <v>385</v>
      </c>
      <c r="AD139" s="11">
        <v>110</v>
      </c>
      <c r="AE139" s="11">
        <v>110</v>
      </c>
      <c r="AF139" s="4">
        <f t="shared" si="39"/>
        <v>1</v>
      </c>
      <c r="AG139" s="11">
        <v>20</v>
      </c>
      <c r="AH139" s="5" t="s">
        <v>362</v>
      </c>
      <c r="AI139" s="5" t="s">
        <v>362</v>
      </c>
      <c r="AJ139" s="5" t="s">
        <v>362</v>
      </c>
      <c r="AK139" s="5" t="s">
        <v>362</v>
      </c>
      <c r="AL139" s="5" t="s">
        <v>362</v>
      </c>
      <c r="AM139" s="5" t="s">
        <v>362</v>
      </c>
      <c r="AN139" s="5" t="s">
        <v>362</v>
      </c>
      <c r="AO139" s="5" t="s">
        <v>362</v>
      </c>
      <c r="AP139" s="44">
        <f t="shared" si="47"/>
        <v>0.86392732086429236</v>
      </c>
      <c r="AQ139" s="45">
        <v>1086</v>
      </c>
      <c r="AR139" s="35">
        <f t="shared" si="40"/>
        <v>296.18181818181819</v>
      </c>
      <c r="AS139" s="35">
        <f t="shared" si="41"/>
        <v>255.9</v>
      </c>
      <c r="AT139" s="35">
        <f t="shared" si="42"/>
        <v>-40.281818181818181</v>
      </c>
      <c r="AU139" s="35">
        <v>83.6</v>
      </c>
      <c r="AV139" s="35">
        <v>94.4</v>
      </c>
      <c r="AW139" s="35">
        <f t="shared" si="43"/>
        <v>77.900000000000006</v>
      </c>
      <c r="AX139" s="35"/>
      <c r="AY139" s="35">
        <f t="shared" si="44"/>
        <v>77.900000000000006</v>
      </c>
      <c r="AZ139" s="35">
        <v>0</v>
      </c>
      <c r="BA139" s="35">
        <f t="shared" si="45"/>
        <v>77.900000000000006</v>
      </c>
      <c r="BB139" s="35"/>
      <c r="BC139" s="35">
        <f t="shared" si="46"/>
        <v>77.900000000000006</v>
      </c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10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10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10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10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10"/>
      <c r="GZ139" s="9"/>
      <c r="HA139" s="9"/>
    </row>
    <row r="140" spans="1:209" s="2" customFormat="1" ht="17" customHeight="1">
      <c r="A140" s="14" t="s">
        <v>139</v>
      </c>
      <c r="B140" s="35">
        <v>0</v>
      </c>
      <c r="C140" s="35">
        <v>0</v>
      </c>
      <c r="D140" s="4">
        <f t="shared" si="35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183.3</v>
      </c>
      <c r="O140" s="35">
        <v>77.2</v>
      </c>
      <c r="P140" s="4">
        <f t="shared" si="36"/>
        <v>0.42116748499727225</v>
      </c>
      <c r="Q140" s="11">
        <v>20</v>
      </c>
      <c r="R140" s="35">
        <v>177</v>
      </c>
      <c r="S140" s="35">
        <v>184.5</v>
      </c>
      <c r="T140" s="4">
        <f t="shared" si="37"/>
        <v>1.0423728813559323</v>
      </c>
      <c r="U140" s="11">
        <v>30</v>
      </c>
      <c r="V140" s="35">
        <v>9.5</v>
      </c>
      <c r="W140" s="35">
        <v>11</v>
      </c>
      <c r="X140" s="4">
        <f t="shared" si="38"/>
        <v>1.1578947368421053</v>
      </c>
      <c r="Y140" s="11">
        <v>20</v>
      </c>
      <c r="Z140" s="11" t="s">
        <v>385</v>
      </c>
      <c r="AA140" s="11" t="s">
        <v>385</v>
      </c>
      <c r="AB140" s="11" t="s">
        <v>385</v>
      </c>
      <c r="AC140" s="11" t="s">
        <v>385</v>
      </c>
      <c r="AD140" s="11">
        <v>420</v>
      </c>
      <c r="AE140" s="11">
        <v>421</v>
      </c>
      <c r="AF140" s="4">
        <f t="shared" si="39"/>
        <v>1.0023809523809524</v>
      </c>
      <c r="AG140" s="11">
        <v>20</v>
      </c>
      <c r="AH140" s="5" t="s">
        <v>362</v>
      </c>
      <c r="AI140" s="5" t="s">
        <v>362</v>
      </c>
      <c r="AJ140" s="5" t="s">
        <v>362</v>
      </c>
      <c r="AK140" s="5" t="s">
        <v>362</v>
      </c>
      <c r="AL140" s="5" t="s">
        <v>362</v>
      </c>
      <c r="AM140" s="5" t="s">
        <v>362</v>
      </c>
      <c r="AN140" s="5" t="s">
        <v>362</v>
      </c>
      <c r="AO140" s="5" t="s">
        <v>362</v>
      </c>
      <c r="AP140" s="44">
        <f t="shared" si="47"/>
        <v>0.92111166583427306</v>
      </c>
      <c r="AQ140" s="45">
        <v>1591</v>
      </c>
      <c r="AR140" s="35">
        <f t="shared" si="40"/>
        <v>433.90909090909088</v>
      </c>
      <c r="AS140" s="35">
        <f t="shared" si="41"/>
        <v>399.7</v>
      </c>
      <c r="AT140" s="35">
        <f t="shared" si="42"/>
        <v>-34.209090909090889</v>
      </c>
      <c r="AU140" s="35">
        <v>130.69999999999999</v>
      </c>
      <c r="AV140" s="35">
        <v>132.1</v>
      </c>
      <c r="AW140" s="35">
        <f t="shared" si="43"/>
        <v>136.9</v>
      </c>
      <c r="AX140" s="35"/>
      <c r="AY140" s="35">
        <f t="shared" si="44"/>
        <v>136.9</v>
      </c>
      <c r="AZ140" s="35">
        <v>0</v>
      </c>
      <c r="BA140" s="35">
        <f t="shared" si="45"/>
        <v>136.9</v>
      </c>
      <c r="BB140" s="35"/>
      <c r="BC140" s="35">
        <f t="shared" si="46"/>
        <v>136.9</v>
      </c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10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10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10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10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10"/>
      <c r="GZ140" s="9"/>
      <c r="HA140" s="9"/>
    </row>
    <row r="141" spans="1:209" s="2" customFormat="1" ht="17" customHeight="1">
      <c r="A141" s="14" t="s">
        <v>140</v>
      </c>
      <c r="B141" s="35">
        <v>14791</v>
      </c>
      <c r="C141" s="35">
        <v>14865.8</v>
      </c>
      <c r="D141" s="4">
        <f t="shared" si="35"/>
        <v>1.0050571293354067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1730.4</v>
      </c>
      <c r="O141" s="35">
        <v>1093</v>
      </c>
      <c r="P141" s="4">
        <f t="shared" si="36"/>
        <v>0.63164586222838648</v>
      </c>
      <c r="Q141" s="11">
        <v>20</v>
      </c>
      <c r="R141" s="35">
        <v>22</v>
      </c>
      <c r="S141" s="35">
        <v>19.100000000000001</v>
      </c>
      <c r="T141" s="4">
        <f t="shared" si="37"/>
        <v>0.86818181818181828</v>
      </c>
      <c r="U141" s="11">
        <v>20</v>
      </c>
      <c r="V141" s="35">
        <v>1.8</v>
      </c>
      <c r="W141" s="35">
        <v>2.4</v>
      </c>
      <c r="X141" s="4">
        <f t="shared" si="38"/>
        <v>1.2133333333333334</v>
      </c>
      <c r="Y141" s="11">
        <v>30</v>
      </c>
      <c r="Z141" s="11" t="s">
        <v>385</v>
      </c>
      <c r="AA141" s="11" t="s">
        <v>385</v>
      </c>
      <c r="AB141" s="11" t="s">
        <v>385</v>
      </c>
      <c r="AC141" s="11" t="s">
        <v>385</v>
      </c>
      <c r="AD141" s="11">
        <v>120</v>
      </c>
      <c r="AE141" s="11">
        <v>110</v>
      </c>
      <c r="AF141" s="4">
        <f t="shared" si="39"/>
        <v>0.91666666666666663</v>
      </c>
      <c r="AG141" s="11">
        <v>20</v>
      </c>
      <c r="AH141" s="5" t="s">
        <v>362</v>
      </c>
      <c r="AI141" s="5" t="s">
        <v>362</v>
      </c>
      <c r="AJ141" s="5" t="s">
        <v>362</v>
      </c>
      <c r="AK141" s="5" t="s">
        <v>362</v>
      </c>
      <c r="AL141" s="5" t="s">
        <v>362</v>
      </c>
      <c r="AM141" s="5" t="s">
        <v>362</v>
      </c>
      <c r="AN141" s="5" t="s">
        <v>362</v>
      </c>
      <c r="AO141" s="5" t="s">
        <v>362</v>
      </c>
      <c r="AP141" s="44">
        <f t="shared" si="47"/>
        <v>0.94780458234891496</v>
      </c>
      <c r="AQ141" s="45">
        <v>1586</v>
      </c>
      <c r="AR141" s="35">
        <f t="shared" si="40"/>
        <v>432.54545454545456</v>
      </c>
      <c r="AS141" s="35">
        <f t="shared" si="41"/>
        <v>410</v>
      </c>
      <c r="AT141" s="35">
        <f t="shared" si="42"/>
        <v>-22.545454545454561</v>
      </c>
      <c r="AU141" s="35">
        <v>145.19999999999999</v>
      </c>
      <c r="AV141" s="35">
        <v>127.4</v>
      </c>
      <c r="AW141" s="35">
        <f t="shared" si="43"/>
        <v>137.4</v>
      </c>
      <c r="AX141" s="35"/>
      <c r="AY141" s="35">
        <f t="shared" si="44"/>
        <v>137.4</v>
      </c>
      <c r="AZ141" s="35">
        <v>0</v>
      </c>
      <c r="BA141" s="35">
        <f t="shared" si="45"/>
        <v>137.4</v>
      </c>
      <c r="BB141" s="35"/>
      <c r="BC141" s="35">
        <f t="shared" si="46"/>
        <v>137.4</v>
      </c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10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10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10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10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10"/>
      <c r="GZ141" s="9"/>
      <c r="HA141" s="9"/>
    </row>
    <row r="142" spans="1:209" s="2" customFormat="1" ht="17" customHeight="1">
      <c r="A142" s="14" t="s">
        <v>141</v>
      </c>
      <c r="B142" s="35">
        <v>206</v>
      </c>
      <c r="C142" s="35">
        <v>206.5</v>
      </c>
      <c r="D142" s="4">
        <f t="shared" si="35"/>
        <v>1.0024271844660195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1141.5</v>
      </c>
      <c r="O142" s="35">
        <v>1438.4</v>
      </c>
      <c r="P142" s="4">
        <f t="shared" si="36"/>
        <v>1.2060096364432764</v>
      </c>
      <c r="Q142" s="11">
        <v>20</v>
      </c>
      <c r="R142" s="35">
        <v>7</v>
      </c>
      <c r="S142" s="35">
        <v>7</v>
      </c>
      <c r="T142" s="4">
        <f t="shared" si="37"/>
        <v>1</v>
      </c>
      <c r="U142" s="11">
        <v>30</v>
      </c>
      <c r="V142" s="35">
        <v>2.5</v>
      </c>
      <c r="W142" s="35">
        <v>2.6</v>
      </c>
      <c r="X142" s="4">
        <f t="shared" si="38"/>
        <v>1.04</v>
      </c>
      <c r="Y142" s="11">
        <v>20</v>
      </c>
      <c r="Z142" s="11" t="s">
        <v>385</v>
      </c>
      <c r="AA142" s="11" t="s">
        <v>385</v>
      </c>
      <c r="AB142" s="11" t="s">
        <v>385</v>
      </c>
      <c r="AC142" s="11" t="s">
        <v>385</v>
      </c>
      <c r="AD142" s="11">
        <v>70</v>
      </c>
      <c r="AE142" s="11">
        <v>70</v>
      </c>
      <c r="AF142" s="4">
        <f t="shared" si="39"/>
        <v>1</v>
      </c>
      <c r="AG142" s="11">
        <v>20</v>
      </c>
      <c r="AH142" s="5" t="s">
        <v>362</v>
      </c>
      <c r="AI142" s="5" t="s">
        <v>362</v>
      </c>
      <c r="AJ142" s="5" t="s">
        <v>362</v>
      </c>
      <c r="AK142" s="5" t="s">
        <v>362</v>
      </c>
      <c r="AL142" s="5" t="s">
        <v>362</v>
      </c>
      <c r="AM142" s="5" t="s">
        <v>362</v>
      </c>
      <c r="AN142" s="5" t="s">
        <v>362</v>
      </c>
      <c r="AO142" s="5" t="s">
        <v>362</v>
      </c>
      <c r="AP142" s="44">
        <f t="shared" si="47"/>
        <v>1.0494446457352573</v>
      </c>
      <c r="AQ142" s="45">
        <v>162</v>
      </c>
      <c r="AR142" s="35">
        <f t="shared" si="40"/>
        <v>44.18181818181818</v>
      </c>
      <c r="AS142" s="35">
        <f t="shared" si="41"/>
        <v>46.4</v>
      </c>
      <c r="AT142" s="35">
        <f t="shared" si="42"/>
        <v>2.2181818181818187</v>
      </c>
      <c r="AU142" s="35">
        <v>15.4</v>
      </c>
      <c r="AV142" s="35">
        <v>15.1</v>
      </c>
      <c r="AW142" s="35">
        <f t="shared" si="43"/>
        <v>15.9</v>
      </c>
      <c r="AX142" s="35"/>
      <c r="AY142" s="35">
        <f t="shared" si="44"/>
        <v>15.9</v>
      </c>
      <c r="AZ142" s="35">
        <v>0</v>
      </c>
      <c r="BA142" s="35">
        <f t="shared" si="45"/>
        <v>15.9</v>
      </c>
      <c r="BB142" s="35"/>
      <c r="BC142" s="35">
        <f t="shared" si="46"/>
        <v>15.9</v>
      </c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10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10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10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10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10"/>
      <c r="GZ142" s="9"/>
      <c r="HA142" s="9"/>
    </row>
    <row r="143" spans="1:209" s="2" customFormat="1" ht="17" customHeight="1">
      <c r="A143" s="14" t="s">
        <v>142</v>
      </c>
      <c r="B143" s="35">
        <v>0</v>
      </c>
      <c r="C143" s="35">
        <v>0</v>
      </c>
      <c r="D143" s="4">
        <f t="shared" si="35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53.6</v>
      </c>
      <c r="O143" s="35">
        <v>53.3</v>
      </c>
      <c r="P143" s="4">
        <f t="shared" si="36"/>
        <v>0.99440298507462677</v>
      </c>
      <c r="Q143" s="11">
        <v>20</v>
      </c>
      <c r="R143" s="35">
        <v>7</v>
      </c>
      <c r="S143" s="35">
        <v>7</v>
      </c>
      <c r="T143" s="4">
        <f t="shared" si="37"/>
        <v>1</v>
      </c>
      <c r="U143" s="11">
        <v>35</v>
      </c>
      <c r="V143" s="35">
        <v>2.1</v>
      </c>
      <c r="W143" s="35">
        <v>2.2999999999999998</v>
      </c>
      <c r="X143" s="4">
        <f t="shared" si="38"/>
        <v>1.0952380952380951</v>
      </c>
      <c r="Y143" s="11">
        <v>15</v>
      </c>
      <c r="Z143" s="11" t="s">
        <v>385</v>
      </c>
      <c r="AA143" s="11" t="s">
        <v>385</v>
      </c>
      <c r="AB143" s="11" t="s">
        <v>385</v>
      </c>
      <c r="AC143" s="11" t="s">
        <v>385</v>
      </c>
      <c r="AD143" s="11">
        <v>170</v>
      </c>
      <c r="AE143" s="11">
        <v>130</v>
      </c>
      <c r="AF143" s="4">
        <f t="shared" si="39"/>
        <v>0.76470588235294112</v>
      </c>
      <c r="AG143" s="11">
        <v>20</v>
      </c>
      <c r="AH143" s="5" t="s">
        <v>362</v>
      </c>
      <c r="AI143" s="5" t="s">
        <v>362</v>
      </c>
      <c r="AJ143" s="5" t="s">
        <v>362</v>
      </c>
      <c r="AK143" s="5" t="s">
        <v>362</v>
      </c>
      <c r="AL143" s="5" t="s">
        <v>362</v>
      </c>
      <c r="AM143" s="5" t="s">
        <v>362</v>
      </c>
      <c r="AN143" s="5" t="s">
        <v>362</v>
      </c>
      <c r="AO143" s="5" t="s">
        <v>362</v>
      </c>
      <c r="AP143" s="44">
        <f t="shared" si="47"/>
        <v>0.9623416530791421</v>
      </c>
      <c r="AQ143" s="45">
        <v>984</v>
      </c>
      <c r="AR143" s="35">
        <f t="shared" si="40"/>
        <v>268.36363636363637</v>
      </c>
      <c r="AS143" s="35">
        <f t="shared" si="41"/>
        <v>258.3</v>
      </c>
      <c r="AT143" s="35">
        <f t="shared" si="42"/>
        <v>-10.063636363636363</v>
      </c>
      <c r="AU143" s="35">
        <v>96.9</v>
      </c>
      <c r="AV143" s="35">
        <v>97.1</v>
      </c>
      <c r="AW143" s="35">
        <f t="shared" si="43"/>
        <v>64.3</v>
      </c>
      <c r="AX143" s="35"/>
      <c r="AY143" s="35">
        <f t="shared" si="44"/>
        <v>64.3</v>
      </c>
      <c r="AZ143" s="35">
        <v>0</v>
      </c>
      <c r="BA143" s="35">
        <f t="shared" si="45"/>
        <v>64.3</v>
      </c>
      <c r="BB143" s="35"/>
      <c r="BC143" s="35">
        <f t="shared" si="46"/>
        <v>64.3</v>
      </c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10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10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10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10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10"/>
      <c r="GZ143" s="9"/>
      <c r="HA143" s="9"/>
    </row>
    <row r="144" spans="1:209" s="2" customFormat="1" ht="17" customHeight="1">
      <c r="A144" s="18" t="s">
        <v>143</v>
      </c>
      <c r="B144" s="6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35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10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10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10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10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10"/>
      <c r="GZ144" s="9"/>
      <c r="HA144" s="9"/>
    </row>
    <row r="145" spans="1:209" s="2" customFormat="1" ht="17" customHeight="1">
      <c r="A145" s="14" t="s">
        <v>144</v>
      </c>
      <c r="B145" s="35">
        <v>1486</v>
      </c>
      <c r="C145" s="35">
        <v>1673.5</v>
      </c>
      <c r="D145" s="4">
        <f t="shared" si="35"/>
        <v>1.1261776581426648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404.5</v>
      </c>
      <c r="O145" s="35">
        <v>270.3</v>
      </c>
      <c r="P145" s="4">
        <f t="shared" si="36"/>
        <v>0.66823238566131027</v>
      </c>
      <c r="Q145" s="11">
        <v>20</v>
      </c>
      <c r="R145" s="35">
        <v>1.4</v>
      </c>
      <c r="S145" s="35">
        <v>1.5</v>
      </c>
      <c r="T145" s="4">
        <f t="shared" si="37"/>
        <v>1.0714285714285714</v>
      </c>
      <c r="U145" s="11">
        <v>20</v>
      </c>
      <c r="V145" s="35">
        <v>1.5</v>
      </c>
      <c r="W145" s="35">
        <v>1.8</v>
      </c>
      <c r="X145" s="4">
        <f t="shared" si="38"/>
        <v>1.2</v>
      </c>
      <c r="Y145" s="11">
        <v>30</v>
      </c>
      <c r="Z145" s="11" t="s">
        <v>385</v>
      </c>
      <c r="AA145" s="11" t="s">
        <v>385</v>
      </c>
      <c r="AB145" s="11" t="s">
        <v>385</v>
      </c>
      <c r="AC145" s="11" t="s">
        <v>385</v>
      </c>
      <c r="AD145" s="11">
        <v>18</v>
      </c>
      <c r="AE145" s="11">
        <v>87</v>
      </c>
      <c r="AF145" s="4">
        <f t="shared" si="39"/>
        <v>1.3</v>
      </c>
      <c r="AG145" s="11">
        <v>20</v>
      </c>
      <c r="AH145" s="5" t="s">
        <v>362</v>
      </c>
      <c r="AI145" s="5" t="s">
        <v>362</v>
      </c>
      <c r="AJ145" s="5" t="s">
        <v>362</v>
      </c>
      <c r="AK145" s="5" t="s">
        <v>362</v>
      </c>
      <c r="AL145" s="5" t="s">
        <v>362</v>
      </c>
      <c r="AM145" s="5" t="s">
        <v>362</v>
      </c>
      <c r="AN145" s="5" t="s">
        <v>362</v>
      </c>
      <c r="AO145" s="5" t="s">
        <v>362</v>
      </c>
      <c r="AP145" s="44">
        <f t="shared" si="47"/>
        <v>1.0805499572322428</v>
      </c>
      <c r="AQ145" s="45">
        <v>1180</v>
      </c>
      <c r="AR145" s="35">
        <f t="shared" si="40"/>
        <v>321.81818181818181</v>
      </c>
      <c r="AS145" s="35">
        <f t="shared" si="41"/>
        <v>347.7</v>
      </c>
      <c r="AT145" s="35">
        <f t="shared" si="42"/>
        <v>25.881818181818176</v>
      </c>
      <c r="AU145" s="35">
        <v>79.7</v>
      </c>
      <c r="AV145" s="35">
        <v>107.9</v>
      </c>
      <c r="AW145" s="35">
        <f t="shared" si="43"/>
        <v>160.1</v>
      </c>
      <c r="AX145" s="35"/>
      <c r="AY145" s="35">
        <f t="shared" si="44"/>
        <v>160.1</v>
      </c>
      <c r="AZ145" s="35">
        <v>0</v>
      </c>
      <c r="BA145" s="35">
        <f t="shared" si="45"/>
        <v>160.1</v>
      </c>
      <c r="BB145" s="35">
        <f>MIN(BA145,8)</f>
        <v>8</v>
      </c>
      <c r="BC145" s="35">
        <f t="shared" si="46"/>
        <v>152.1</v>
      </c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10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10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10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10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10"/>
      <c r="GZ145" s="9"/>
      <c r="HA145" s="9"/>
    </row>
    <row r="146" spans="1:209" s="2" customFormat="1" ht="17" customHeight="1">
      <c r="A146" s="14" t="s">
        <v>145</v>
      </c>
      <c r="B146" s="35">
        <v>432</v>
      </c>
      <c r="C146" s="35">
        <v>437.7</v>
      </c>
      <c r="D146" s="4">
        <f t="shared" si="35"/>
        <v>1.0131944444444445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676.2</v>
      </c>
      <c r="O146" s="35">
        <v>1587</v>
      </c>
      <c r="P146" s="4">
        <f t="shared" si="36"/>
        <v>1.3</v>
      </c>
      <c r="Q146" s="11">
        <v>20</v>
      </c>
      <c r="R146" s="35">
        <v>0.6</v>
      </c>
      <c r="S146" s="35">
        <v>0.6</v>
      </c>
      <c r="T146" s="4">
        <f t="shared" si="37"/>
        <v>1</v>
      </c>
      <c r="U146" s="11">
        <v>15</v>
      </c>
      <c r="V146" s="35">
        <v>0.9</v>
      </c>
      <c r="W146" s="35">
        <v>0.9</v>
      </c>
      <c r="X146" s="4">
        <f t="shared" si="38"/>
        <v>1</v>
      </c>
      <c r="Y146" s="11">
        <v>35</v>
      </c>
      <c r="Z146" s="11" t="s">
        <v>385</v>
      </c>
      <c r="AA146" s="11" t="s">
        <v>385</v>
      </c>
      <c r="AB146" s="11" t="s">
        <v>385</v>
      </c>
      <c r="AC146" s="11" t="s">
        <v>385</v>
      </c>
      <c r="AD146" s="11">
        <v>37</v>
      </c>
      <c r="AE146" s="11">
        <v>37</v>
      </c>
      <c r="AF146" s="4">
        <f t="shared" si="39"/>
        <v>1</v>
      </c>
      <c r="AG146" s="11">
        <v>20</v>
      </c>
      <c r="AH146" s="5" t="s">
        <v>362</v>
      </c>
      <c r="AI146" s="5" t="s">
        <v>362</v>
      </c>
      <c r="AJ146" s="5" t="s">
        <v>362</v>
      </c>
      <c r="AK146" s="5" t="s">
        <v>362</v>
      </c>
      <c r="AL146" s="5" t="s">
        <v>362</v>
      </c>
      <c r="AM146" s="5" t="s">
        <v>362</v>
      </c>
      <c r="AN146" s="5" t="s">
        <v>362</v>
      </c>
      <c r="AO146" s="5" t="s">
        <v>362</v>
      </c>
      <c r="AP146" s="44">
        <f t="shared" si="47"/>
        <v>1.0613194444444445</v>
      </c>
      <c r="AQ146" s="45">
        <v>594</v>
      </c>
      <c r="AR146" s="35">
        <f t="shared" si="40"/>
        <v>162</v>
      </c>
      <c r="AS146" s="35">
        <f t="shared" si="41"/>
        <v>171.9</v>
      </c>
      <c r="AT146" s="35">
        <f t="shared" si="42"/>
        <v>9.9000000000000057</v>
      </c>
      <c r="AU146" s="35">
        <v>57.3</v>
      </c>
      <c r="AV146" s="35">
        <v>58.1</v>
      </c>
      <c r="AW146" s="35">
        <f t="shared" si="43"/>
        <v>56.5</v>
      </c>
      <c r="AX146" s="35"/>
      <c r="AY146" s="35">
        <f t="shared" si="44"/>
        <v>56.5</v>
      </c>
      <c r="AZ146" s="35">
        <v>0</v>
      </c>
      <c r="BA146" s="35">
        <f t="shared" si="45"/>
        <v>56.5</v>
      </c>
      <c r="BB146" s="35"/>
      <c r="BC146" s="35">
        <f t="shared" si="46"/>
        <v>56.5</v>
      </c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10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10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10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10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10"/>
      <c r="GZ146" s="9"/>
      <c r="HA146" s="9"/>
    </row>
    <row r="147" spans="1:209" s="2" customFormat="1" ht="17" customHeight="1">
      <c r="A147" s="14" t="s">
        <v>146</v>
      </c>
      <c r="B147" s="35">
        <v>4351</v>
      </c>
      <c r="C147" s="35">
        <v>4458.8999999999996</v>
      </c>
      <c r="D147" s="4">
        <f t="shared" si="35"/>
        <v>1.0247988968053321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1098.4000000000001</v>
      </c>
      <c r="O147" s="35">
        <v>785.1</v>
      </c>
      <c r="P147" s="4">
        <f t="shared" si="36"/>
        <v>0.71476693372177713</v>
      </c>
      <c r="Q147" s="11">
        <v>20</v>
      </c>
      <c r="R147" s="35">
        <v>1265</v>
      </c>
      <c r="S147" s="35">
        <v>1928.3</v>
      </c>
      <c r="T147" s="4">
        <f t="shared" si="37"/>
        <v>1.2324347826086957</v>
      </c>
      <c r="U147" s="11">
        <v>10</v>
      </c>
      <c r="V147" s="35">
        <v>3</v>
      </c>
      <c r="W147" s="35">
        <v>18.899999999999999</v>
      </c>
      <c r="X147" s="4">
        <f t="shared" si="38"/>
        <v>1.3</v>
      </c>
      <c r="Y147" s="11">
        <v>40</v>
      </c>
      <c r="Z147" s="11" t="s">
        <v>385</v>
      </c>
      <c r="AA147" s="11" t="s">
        <v>385</v>
      </c>
      <c r="AB147" s="11" t="s">
        <v>385</v>
      </c>
      <c r="AC147" s="11" t="s">
        <v>385</v>
      </c>
      <c r="AD147" s="11">
        <v>903</v>
      </c>
      <c r="AE147" s="11">
        <v>980</v>
      </c>
      <c r="AF147" s="4">
        <f t="shared" si="39"/>
        <v>1.0852713178294573</v>
      </c>
      <c r="AG147" s="11">
        <v>20</v>
      </c>
      <c r="AH147" s="5" t="s">
        <v>362</v>
      </c>
      <c r="AI147" s="5" t="s">
        <v>362</v>
      </c>
      <c r="AJ147" s="5" t="s">
        <v>362</v>
      </c>
      <c r="AK147" s="5" t="s">
        <v>362</v>
      </c>
      <c r="AL147" s="5" t="s">
        <v>362</v>
      </c>
      <c r="AM147" s="5" t="s">
        <v>362</v>
      </c>
      <c r="AN147" s="5" t="s">
        <v>362</v>
      </c>
      <c r="AO147" s="5" t="s">
        <v>362</v>
      </c>
      <c r="AP147" s="44">
        <f t="shared" si="47"/>
        <v>1.1057310182516495</v>
      </c>
      <c r="AQ147" s="45">
        <v>1921</v>
      </c>
      <c r="AR147" s="35">
        <f t="shared" si="40"/>
        <v>523.90909090909088</v>
      </c>
      <c r="AS147" s="35">
        <f t="shared" si="41"/>
        <v>579.29999999999995</v>
      </c>
      <c r="AT147" s="35">
        <f t="shared" si="42"/>
        <v>55.390909090909076</v>
      </c>
      <c r="AU147" s="35">
        <v>201.2</v>
      </c>
      <c r="AV147" s="35">
        <v>183</v>
      </c>
      <c r="AW147" s="35">
        <f t="shared" si="43"/>
        <v>195.1</v>
      </c>
      <c r="AX147" s="35"/>
      <c r="AY147" s="35">
        <f t="shared" si="44"/>
        <v>195.1</v>
      </c>
      <c r="AZ147" s="35">
        <v>0</v>
      </c>
      <c r="BA147" s="35">
        <f t="shared" si="45"/>
        <v>195.1</v>
      </c>
      <c r="BB147" s="35"/>
      <c r="BC147" s="35">
        <f t="shared" si="46"/>
        <v>195.1</v>
      </c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10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10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10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10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10"/>
      <c r="GZ147" s="9"/>
      <c r="HA147" s="9"/>
    </row>
    <row r="148" spans="1:209" s="2" customFormat="1" ht="17" customHeight="1">
      <c r="A148" s="14" t="s">
        <v>147</v>
      </c>
      <c r="B148" s="35">
        <v>18514</v>
      </c>
      <c r="C148" s="35">
        <v>20469.3</v>
      </c>
      <c r="D148" s="4">
        <f t="shared" si="35"/>
        <v>1.1056119693205142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889</v>
      </c>
      <c r="O148" s="35">
        <v>1273.8</v>
      </c>
      <c r="P148" s="4">
        <f t="shared" si="36"/>
        <v>1.2232845894263216</v>
      </c>
      <c r="Q148" s="11">
        <v>20</v>
      </c>
      <c r="R148" s="35">
        <v>6.2</v>
      </c>
      <c r="S148" s="35">
        <v>6.2</v>
      </c>
      <c r="T148" s="4">
        <f t="shared" si="37"/>
        <v>1</v>
      </c>
      <c r="U148" s="11">
        <v>20</v>
      </c>
      <c r="V148" s="35">
        <v>7.6</v>
      </c>
      <c r="W148" s="35">
        <v>7.6</v>
      </c>
      <c r="X148" s="4">
        <f t="shared" si="38"/>
        <v>1</v>
      </c>
      <c r="Y148" s="11">
        <v>30</v>
      </c>
      <c r="Z148" s="11" t="s">
        <v>385</v>
      </c>
      <c r="AA148" s="11" t="s">
        <v>385</v>
      </c>
      <c r="AB148" s="11" t="s">
        <v>385</v>
      </c>
      <c r="AC148" s="11" t="s">
        <v>385</v>
      </c>
      <c r="AD148" s="11">
        <v>236</v>
      </c>
      <c r="AE148" s="11">
        <v>293</v>
      </c>
      <c r="AF148" s="4">
        <f t="shared" si="39"/>
        <v>1.2041525423728814</v>
      </c>
      <c r="AG148" s="11">
        <v>20</v>
      </c>
      <c r="AH148" s="5" t="s">
        <v>362</v>
      </c>
      <c r="AI148" s="5" t="s">
        <v>362</v>
      </c>
      <c r="AJ148" s="5" t="s">
        <v>362</v>
      </c>
      <c r="AK148" s="5" t="s">
        <v>362</v>
      </c>
      <c r="AL148" s="5" t="s">
        <v>362</v>
      </c>
      <c r="AM148" s="5" t="s">
        <v>362</v>
      </c>
      <c r="AN148" s="5" t="s">
        <v>362</v>
      </c>
      <c r="AO148" s="5" t="s">
        <v>362</v>
      </c>
      <c r="AP148" s="44">
        <f t="shared" si="47"/>
        <v>1.096048623291892</v>
      </c>
      <c r="AQ148" s="45">
        <v>4243</v>
      </c>
      <c r="AR148" s="35">
        <f t="shared" si="40"/>
        <v>1157.1818181818182</v>
      </c>
      <c r="AS148" s="35">
        <f t="shared" si="41"/>
        <v>1268.3</v>
      </c>
      <c r="AT148" s="35">
        <f t="shared" si="42"/>
        <v>111.11818181818171</v>
      </c>
      <c r="AU148" s="35">
        <v>373.3</v>
      </c>
      <c r="AV148" s="35">
        <v>419.5</v>
      </c>
      <c r="AW148" s="35">
        <f t="shared" si="43"/>
        <v>475.5</v>
      </c>
      <c r="AX148" s="35"/>
      <c r="AY148" s="35">
        <f t="shared" si="44"/>
        <v>475.5</v>
      </c>
      <c r="AZ148" s="35">
        <v>0</v>
      </c>
      <c r="BA148" s="35">
        <f t="shared" si="45"/>
        <v>475.5</v>
      </c>
      <c r="BB148" s="35"/>
      <c r="BC148" s="35">
        <f t="shared" si="46"/>
        <v>475.5</v>
      </c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10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10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10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10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10"/>
      <c r="GZ148" s="9"/>
      <c r="HA148" s="9"/>
    </row>
    <row r="149" spans="1:209" s="2" customFormat="1" ht="17" customHeight="1">
      <c r="A149" s="14" t="s">
        <v>148</v>
      </c>
      <c r="B149" s="35">
        <v>437</v>
      </c>
      <c r="C149" s="35">
        <v>440.3</v>
      </c>
      <c r="D149" s="4">
        <f t="shared" si="35"/>
        <v>1.0075514874141878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2060.4</v>
      </c>
      <c r="O149" s="35">
        <v>1759.7</v>
      </c>
      <c r="P149" s="4">
        <f t="shared" si="36"/>
        <v>0.85405746456998644</v>
      </c>
      <c r="Q149" s="11">
        <v>20</v>
      </c>
      <c r="R149" s="35">
        <v>399.3</v>
      </c>
      <c r="S149" s="35">
        <v>430.8</v>
      </c>
      <c r="T149" s="4">
        <f t="shared" si="37"/>
        <v>1.0788880540946657</v>
      </c>
      <c r="U149" s="11">
        <v>35</v>
      </c>
      <c r="V149" s="35">
        <v>7</v>
      </c>
      <c r="W149" s="35">
        <v>7.7</v>
      </c>
      <c r="X149" s="4">
        <f t="shared" si="38"/>
        <v>1.1000000000000001</v>
      </c>
      <c r="Y149" s="11">
        <v>15</v>
      </c>
      <c r="Z149" s="11" t="s">
        <v>385</v>
      </c>
      <c r="AA149" s="11" t="s">
        <v>385</v>
      </c>
      <c r="AB149" s="11" t="s">
        <v>385</v>
      </c>
      <c r="AC149" s="11" t="s">
        <v>385</v>
      </c>
      <c r="AD149" s="11">
        <v>800</v>
      </c>
      <c r="AE149" s="11">
        <v>846</v>
      </c>
      <c r="AF149" s="4">
        <f t="shared" si="39"/>
        <v>1.0575000000000001</v>
      </c>
      <c r="AG149" s="11">
        <v>20</v>
      </c>
      <c r="AH149" s="5" t="s">
        <v>362</v>
      </c>
      <c r="AI149" s="5" t="s">
        <v>362</v>
      </c>
      <c r="AJ149" s="5" t="s">
        <v>362</v>
      </c>
      <c r="AK149" s="5" t="s">
        <v>362</v>
      </c>
      <c r="AL149" s="5" t="s">
        <v>362</v>
      </c>
      <c r="AM149" s="5" t="s">
        <v>362</v>
      </c>
      <c r="AN149" s="5" t="s">
        <v>362</v>
      </c>
      <c r="AO149" s="5" t="s">
        <v>362</v>
      </c>
      <c r="AP149" s="44">
        <f t="shared" si="47"/>
        <v>1.025677460588549</v>
      </c>
      <c r="AQ149" s="45">
        <v>1571</v>
      </c>
      <c r="AR149" s="35">
        <f t="shared" si="40"/>
        <v>428.45454545454544</v>
      </c>
      <c r="AS149" s="35">
        <f t="shared" si="41"/>
        <v>439.5</v>
      </c>
      <c r="AT149" s="35">
        <f t="shared" si="42"/>
        <v>11.045454545454561</v>
      </c>
      <c r="AU149" s="35">
        <v>164.1</v>
      </c>
      <c r="AV149" s="35">
        <v>137.69999999999999</v>
      </c>
      <c r="AW149" s="35">
        <f t="shared" si="43"/>
        <v>137.69999999999999</v>
      </c>
      <c r="AX149" s="35"/>
      <c r="AY149" s="35">
        <f t="shared" si="44"/>
        <v>137.69999999999999</v>
      </c>
      <c r="AZ149" s="35">
        <v>0</v>
      </c>
      <c r="BA149" s="35">
        <f t="shared" si="45"/>
        <v>137.69999999999999</v>
      </c>
      <c r="BB149" s="35"/>
      <c r="BC149" s="35">
        <f t="shared" si="46"/>
        <v>137.69999999999999</v>
      </c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10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10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10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10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10"/>
      <c r="GZ149" s="9"/>
      <c r="HA149" s="9"/>
    </row>
    <row r="150" spans="1:209" s="2" customFormat="1" ht="17" customHeight="1">
      <c r="A150" s="14" t="s">
        <v>149</v>
      </c>
      <c r="B150" s="35">
        <v>0</v>
      </c>
      <c r="C150" s="35">
        <v>0</v>
      </c>
      <c r="D150" s="4">
        <f t="shared" si="35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654.1</v>
      </c>
      <c r="O150" s="35">
        <v>988.3</v>
      </c>
      <c r="P150" s="4">
        <f t="shared" si="36"/>
        <v>1.231093105029812</v>
      </c>
      <c r="Q150" s="11">
        <v>20</v>
      </c>
      <c r="R150" s="35">
        <v>6</v>
      </c>
      <c r="S150" s="35">
        <v>9.1</v>
      </c>
      <c r="T150" s="4">
        <f t="shared" si="37"/>
        <v>1.2316666666666667</v>
      </c>
      <c r="U150" s="11">
        <v>5</v>
      </c>
      <c r="V150" s="35">
        <v>64</v>
      </c>
      <c r="W150" s="35">
        <v>79.599999999999994</v>
      </c>
      <c r="X150" s="4">
        <f t="shared" si="38"/>
        <v>1.204375</v>
      </c>
      <c r="Y150" s="11">
        <v>45</v>
      </c>
      <c r="Z150" s="11" t="s">
        <v>385</v>
      </c>
      <c r="AA150" s="11" t="s">
        <v>385</v>
      </c>
      <c r="AB150" s="11" t="s">
        <v>385</v>
      </c>
      <c r="AC150" s="11" t="s">
        <v>385</v>
      </c>
      <c r="AD150" s="11">
        <v>385</v>
      </c>
      <c r="AE150" s="11">
        <v>607</v>
      </c>
      <c r="AF150" s="4">
        <f t="shared" si="39"/>
        <v>1.2376623376623377</v>
      </c>
      <c r="AG150" s="11">
        <v>20</v>
      </c>
      <c r="AH150" s="5" t="s">
        <v>362</v>
      </c>
      <c r="AI150" s="5" t="s">
        <v>362</v>
      </c>
      <c r="AJ150" s="5" t="s">
        <v>362</v>
      </c>
      <c r="AK150" s="5" t="s">
        <v>362</v>
      </c>
      <c r="AL150" s="5" t="s">
        <v>362</v>
      </c>
      <c r="AM150" s="5" t="s">
        <v>362</v>
      </c>
      <c r="AN150" s="5" t="s">
        <v>362</v>
      </c>
      <c r="AO150" s="5" t="s">
        <v>362</v>
      </c>
      <c r="AP150" s="44">
        <f t="shared" si="47"/>
        <v>1.2192257465241814</v>
      </c>
      <c r="AQ150" s="45">
        <v>822</v>
      </c>
      <c r="AR150" s="35">
        <f t="shared" si="40"/>
        <v>224.18181818181819</v>
      </c>
      <c r="AS150" s="35">
        <f t="shared" si="41"/>
        <v>273.3</v>
      </c>
      <c r="AT150" s="35">
        <f t="shared" si="42"/>
        <v>49.118181818181824</v>
      </c>
      <c r="AU150" s="35">
        <v>90.7</v>
      </c>
      <c r="AV150" s="35">
        <v>92.1</v>
      </c>
      <c r="AW150" s="35">
        <f t="shared" si="43"/>
        <v>90.5</v>
      </c>
      <c r="AX150" s="35"/>
      <c r="AY150" s="35">
        <f t="shared" si="44"/>
        <v>90.5</v>
      </c>
      <c r="AZ150" s="35">
        <v>0</v>
      </c>
      <c r="BA150" s="35">
        <f t="shared" si="45"/>
        <v>90.5</v>
      </c>
      <c r="BB150" s="35"/>
      <c r="BC150" s="35">
        <f t="shared" si="46"/>
        <v>90.5</v>
      </c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10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10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10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10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10"/>
      <c r="GZ150" s="9"/>
      <c r="HA150" s="9"/>
    </row>
    <row r="151" spans="1:209" s="2" customFormat="1" ht="17" customHeight="1">
      <c r="A151" s="14" t="s">
        <v>150</v>
      </c>
      <c r="B151" s="35">
        <v>59687</v>
      </c>
      <c r="C151" s="35">
        <v>62525</v>
      </c>
      <c r="D151" s="4">
        <f t="shared" si="35"/>
        <v>1.0475480422872652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1193.5</v>
      </c>
      <c r="O151" s="35">
        <v>1326.2</v>
      </c>
      <c r="P151" s="4">
        <f t="shared" si="36"/>
        <v>1.1111855886049435</v>
      </c>
      <c r="Q151" s="11">
        <v>20</v>
      </c>
      <c r="R151" s="35">
        <v>2.4</v>
      </c>
      <c r="S151" s="35">
        <v>2.4</v>
      </c>
      <c r="T151" s="4">
        <f t="shared" si="37"/>
        <v>1</v>
      </c>
      <c r="U151" s="11">
        <v>15</v>
      </c>
      <c r="V151" s="35">
        <v>31</v>
      </c>
      <c r="W151" s="35">
        <v>50.3</v>
      </c>
      <c r="X151" s="4">
        <f t="shared" si="38"/>
        <v>1.242258064516129</v>
      </c>
      <c r="Y151" s="11">
        <v>35</v>
      </c>
      <c r="Z151" s="11" t="s">
        <v>385</v>
      </c>
      <c r="AA151" s="11" t="s">
        <v>385</v>
      </c>
      <c r="AB151" s="11" t="s">
        <v>385</v>
      </c>
      <c r="AC151" s="11" t="s">
        <v>385</v>
      </c>
      <c r="AD151" s="11">
        <v>140</v>
      </c>
      <c r="AE151" s="11">
        <v>186</v>
      </c>
      <c r="AF151" s="4">
        <f t="shared" si="39"/>
        <v>1.2128571428571429</v>
      </c>
      <c r="AG151" s="11">
        <v>20</v>
      </c>
      <c r="AH151" s="5" t="s">
        <v>362</v>
      </c>
      <c r="AI151" s="5" t="s">
        <v>362</v>
      </c>
      <c r="AJ151" s="5" t="s">
        <v>362</v>
      </c>
      <c r="AK151" s="5" t="s">
        <v>362</v>
      </c>
      <c r="AL151" s="5" t="s">
        <v>362</v>
      </c>
      <c r="AM151" s="5" t="s">
        <v>362</v>
      </c>
      <c r="AN151" s="5" t="s">
        <v>362</v>
      </c>
      <c r="AO151" s="5" t="s">
        <v>362</v>
      </c>
      <c r="AP151" s="44">
        <f t="shared" si="47"/>
        <v>1.1543536731017889</v>
      </c>
      <c r="AQ151" s="45">
        <v>2386</v>
      </c>
      <c r="AR151" s="35">
        <f t="shared" si="40"/>
        <v>650.72727272727275</v>
      </c>
      <c r="AS151" s="35">
        <f t="shared" si="41"/>
        <v>751.2</v>
      </c>
      <c r="AT151" s="35">
        <f t="shared" si="42"/>
        <v>100.4727272727273</v>
      </c>
      <c r="AU151" s="35">
        <v>212.3</v>
      </c>
      <c r="AV151" s="35">
        <v>256.8</v>
      </c>
      <c r="AW151" s="35">
        <f t="shared" si="43"/>
        <v>282.10000000000002</v>
      </c>
      <c r="AX151" s="35"/>
      <c r="AY151" s="35">
        <f t="shared" si="44"/>
        <v>282.10000000000002</v>
      </c>
      <c r="AZ151" s="35">
        <v>0</v>
      </c>
      <c r="BA151" s="35">
        <f t="shared" si="45"/>
        <v>282.10000000000002</v>
      </c>
      <c r="BB151" s="35"/>
      <c r="BC151" s="35">
        <f t="shared" si="46"/>
        <v>282.10000000000002</v>
      </c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10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10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10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10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10"/>
      <c r="GZ151" s="9"/>
      <c r="HA151" s="9"/>
    </row>
    <row r="152" spans="1:209" s="2" customFormat="1" ht="17" customHeight="1">
      <c r="A152" s="14" t="s">
        <v>151</v>
      </c>
      <c r="B152" s="35">
        <v>351</v>
      </c>
      <c r="C152" s="35">
        <v>359.4</v>
      </c>
      <c r="D152" s="4">
        <f t="shared" si="35"/>
        <v>1.0239316239316238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404.4</v>
      </c>
      <c r="O152" s="35">
        <v>661.2</v>
      </c>
      <c r="P152" s="4">
        <f t="shared" si="36"/>
        <v>1.2435014836795253</v>
      </c>
      <c r="Q152" s="11">
        <v>20</v>
      </c>
      <c r="R152" s="35">
        <v>745</v>
      </c>
      <c r="S152" s="35">
        <v>951.7</v>
      </c>
      <c r="T152" s="4">
        <f t="shared" si="37"/>
        <v>1.2077449664429529</v>
      </c>
      <c r="U152" s="11">
        <v>35</v>
      </c>
      <c r="V152" s="35">
        <v>22</v>
      </c>
      <c r="W152" s="35">
        <v>34.5</v>
      </c>
      <c r="X152" s="4">
        <f t="shared" si="38"/>
        <v>1.2368181818181818</v>
      </c>
      <c r="Y152" s="11">
        <v>15</v>
      </c>
      <c r="Z152" s="11" t="s">
        <v>385</v>
      </c>
      <c r="AA152" s="11" t="s">
        <v>385</v>
      </c>
      <c r="AB152" s="11" t="s">
        <v>385</v>
      </c>
      <c r="AC152" s="11" t="s">
        <v>385</v>
      </c>
      <c r="AD152" s="11">
        <v>820</v>
      </c>
      <c r="AE152" s="11">
        <v>824</v>
      </c>
      <c r="AF152" s="4">
        <f t="shared" si="39"/>
        <v>1.0048780487804878</v>
      </c>
      <c r="AG152" s="11">
        <v>20</v>
      </c>
      <c r="AH152" s="5" t="s">
        <v>362</v>
      </c>
      <c r="AI152" s="5" t="s">
        <v>362</v>
      </c>
      <c r="AJ152" s="5" t="s">
        <v>362</v>
      </c>
      <c r="AK152" s="5" t="s">
        <v>362</v>
      </c>
      <c r="AL152" s="5" t="s">
        <v>362</v>
      </c>
      <c r="AM152" s="5" t="s">
        <v>362</v>
      </c>
      <c r="AN152" s="5" t="s">
        <v>362</v>
      </c>
      <c r="AO152" s="5" t="s">
        <v>362</v>
      </c>
      <c r="AP152" s="44">
        <f t="shared" si="47"/>
        <v>1.1603025344129256</v>
      </c>
      <c r="AQ152" s="45">
        <v>1988</v>
      </c>
      <c r="AR152" s="35">
        <f t="shared" si="40"/>
        <v>542.18181818181813</v>
      </c>
      <c r="AS152" s="35">
        <f t="shared" si="41"/>
        <v>629.1</v>
      </c>
      <c r="AT152" s="35">
        <f t="shared" si="42"/>
        <v>86.918181818181893</v>
      </c>
      <c r="AU152" s="35">
        <v>219</v>
      </c>
      <c r="AV152" s="35">
        <v>213.7</v>
      </c>
      <c r="AW152" s="35">
        <f t="shared" si="43"/>
        <v>196.4</v>
      </c>
      <c r="AX152" s="35"/>
      <c r="AY152" s="35">
        <f t="shared" si="44"/>
        <v>196.4</v>
      </c>
      <c r="AZ152" s="35">
        <v>0</v>
      </c>
      <c r="BA152" s="35">
        <f t="shared" si="45"/>
        <v>196.4</v>
      </c>
      <c r="BB152" s="35"/>
      <c r="BC152" s="35">
        <f t="shared" si="46"/>
        <v>196.4</v>
      </c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10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10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10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10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10"/>
      <c r="GZ152" s="9"/>
      <c r="HA152" s="9"/>
    </row>
    <row r="153" spans="1:209" s="2" customFormat="1" ht="17" customHeight="1">
      <c r="A153" s="14" t="s">
        <v>152</v>
      </c>
      <c r="B153" s="35">
        <v>13635</v>
      </c>
      <c r="C153" s="35">
        <v>17662</v>
      </c>
      <c r="D153" s="4">
        <f t="shared" si="35"/>
        <v>1.2095342867620096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440.8</v>
      </c>
      <c r="O153" s="35">
        <v>461.7</v>
      </c>
      <c r="P153" s="4">
        <f t="shared" si="36"/>
        <v>1.0474137931034482</v>
      </c>
      <c r="Q153" s="11">
        <v>20</v>
      </c>
      <c r="R153" s="35">
        <v>11.6</v>
      </c>
      <c r="S153" s="35">
        <v>12.1</v>
      </c>
      <c r="T153" s="4">
        <f t="shared" si="37"/>
        <v>1.0431034482758621</v>
      </c>
      <c r="U153" s="11">
        <v>20</v>
      </c>
      <c r="V153" s="35">
        <v>2</v>
      </c>
      <c r="W153" s="35">
        <v>2.2999999999999998</v>
      </c>
      <c r="X153" s="4">
        <f t="shared" si="38"/>
        <v>1.1499999999999999</v>
      </c>
      <c r="Y153" s="11">
        <v>30</v>
      </c>
      <c r="Z153" s="11" t="s">
        <v>385</v>
      </c>
      <c r="AA153" s="11" t="s">
        <v>385</v>
      </c>
      <c r="AB153" s="11" t="s">
        <v>385</v>
      </c>
      <c r="AC153" s="11" t="s">
        <v>385</v>
      </c>
      <c r="AD153" s="11">
        <v>87</v>
      </c>
      <c r="AE153" s="11">
        <v>119</v>
      </c>
      <c r="AF153" s="4">
        <f t="shared" si="39"/>
        <v>1.2167816091954022</v>
      </c>
      <c r="AG153" s="11">
        <v>20</v>
      </c>
      <c r="AH153" s="5" t="s">
        <v>362</v>
      </c>
      <c r="AI153" s="5" t="s">
        <v>362</v>
      </c>
      <c r="AJ153" s="5" t="s">
        <v>362</v>
      </c>
      <c r="AK153" s="5" t="s">
        <v>362</v>
      </c>
      <c r="AL153" s="5" t="s">
        <v>362</v>
      </c>
      <c r="AM153" s="5" t="s">
        <v>362</v>
      </c>
      <c r="AN153" s="5" t="s">
        <v>362</v>
      </c>
      <c r="AO153" s="5" t="s">
        <v>362</v>
      </c>
      <c r="AP153" s="44">
        <f t="shared" si="47"/>
        <v>1.1274131987911433</v>
      </c>
      <c r="AQ153" s="45">
        <v>2838</v>
      </c>
      <c r="AR153" s="35">
        <f t="shared" si="40"/>
        <v>774</v>
      </c>
      <c r="AS153" s="35">
        <f t="shared" si="41"/>
        <v>872.6</v>
      </c>
      <c r="AT153" s="35">
        <f t="shared" si="42"/>
        <v>98.600000000000023</v>
      </c>
      <c r="AU153" s="35">
        <v>294</v>
      </c>
      <c r="AV153" s="35">
        <v>280.2</v>
      </c>
      <c r="AW153" s="35">
        <f t="shared" si="43"/>
        <v>298.39999999999998</v>
      </c>
      <c r="AX153" s="35"/>
      <c r="AY153" s="35">
        <f t="shared" si="44"/>
        <v>298.39999999999998</v>
      </c>
      <c r="AZ153" s="35">
        <v>0</v>
      </c>
      <c r="BA153" s="35">
        <f t="shared" si="45"/>
        <v>298.39999999999998</v>
      </c>
      <c r="BB153" s="35"/>
      <c r="BC153" s="35">
        <f t="shared" si="46"/>
        <v>298.39999999999998</v>
      </c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10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10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10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10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10"/>
      <c r="GZ153" s="9"/>
      <c r="HA153" s="9"/>
    </row>
    <row r="154" spans="1:209" s="2" customFormat="1" ht="17" customHeight="1">
      <c r="A154" s="14" t="s">
        <v>153</v>
      </c>
      <c r="B154" s="35">
        <v>175</v>
      </c>
      <c r="C154" s="35">
        <v>175</v>
      </c>
      <c r="D154" s="4">
        <f t="shared" si="35"/>
        <v>1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268.10000000000002</v>
      </c>
      <c r="O154" s="35">
        <v>329.2</v>
      </c>
      <c r="P154" s="4">
        <f t="shared" si="36"/>
        <v>1.2027900037299515</v>
      </c>
      <c r="Q154" s="11">
        <v>20</v>
      </c>
      <c r="R154" s="35">
        <v>360</v>
      </c>
      <c r="S154" s="35">
        <v>373.2</v>
      </c>
      <c r="T154" s="4">
        <f t="shared" si="37"/>
        <v>1.0366666666666666</v>
      </c>
      <c r="U154" s="11">
        <v>30</v>
      </c>
      <c r="V154" s="35">
        <v>9.9</v>
      </c>
      <c r="W154" s="35">
        <v>11.7</v>
      </c>
      <c r="X154" s="4">
        <f t="shared" si="38"/>
        <v>1.1818181818181817</v>
      </c>
      <c r="Y154" s="11">
        <v>20</v>
      </c>
      <c r="Z154" s="11" t="s">
        <v>385</v>
      </c>
      <c r="AA154" s="11" t="s">
        <v>385</v>
      </c>
      <c r="AB154" s="11" t="s">
        <v>385</v>
      </c>
      <c r="AC154" s="11" t="s">
        <v>385</v>
      </c>
      <c r="AD154" s="11">
        <v>550</v>
      </c>
      <c r="AE154" s="11">
        <v>554</v>
      </c>
      <c r="AF154" s="4">
        <f t="shared" si="39"/>
        <v>1.0072727272727273</v>
      </c>
      <c r="AG154" s="11">
        <v>20</v>
      </c>
      <c r="AH154" s="5" t="s">
        <v>362</v>
      </c>
      <c r="AI154" s="5" t="s">
        <v>362</v>
      </c>
      <c r="AJ154" s="5" t="s">
        <v>362</v>
      </c>
      <c r="AK154" s="5" t="s">
        <v>362</v>
      </c>
      <c r="AL154" s="5" t="s">
        <v>362</v>
      </c>
      <c r="AM154" s="5" t="s">
        <v>362</v>
      </c>
      <c r="AN154" s="5" t="s">
        <v>362</v>
      </c>
      <c r="AO154" s="5" t="s">
        <v>362</v>
      </c>
      <c r="AP154" s="44">
        <f t="shared" si="47"/>
        <v>1.0893761825641721</v>
      </c>
      <c r="AQ154" s="45">
        <v>1863</v>
      </c>
      <c r="AR154" s="35">
        <f t="shared" si="40"/>
        <v>508.09090909090912</v>
      </c>
      <c r="AS154" s="35">
        <f t="shared" si="41"/>
        <v>553.5</v>
      </c>
      <c r="AT154" s="35">
        <f t="shared" si="42"/>
        <v>45.409090909090878</v>
      </c>
      <c r="AU154" s="35">
        <v>185.8</v>
      </c>
      <c r="AV154" s="35">
        <v>191.1</v>
      </c>
      <c r="AW154" s="35">
        <f t="shared" si="43"/>
        <v>176.6</v>
      </c>
      <c r="AX154" s="35"/>
      <c r="AY154" s="35">
        <f t="shared" si="44"/>
        <v>176.6</v>
      </c>
      <c r="AZ154" s="35">
        <v>0</v>
      </c>
      <c r="BA154" s="35">
        <f t="shared" si="45"/>
        <v>176.6</v>
      </c>
      <c r="BB154" s="35">
        <f>MIN(BA154,44)</f>
        <v>44</v>
      </c>
      <c r="BC154" s="35">
        <f t="shared" si="46"/>
        <v>132.6</v>
      </c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10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10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10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10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10"/>
      <c r="GZ154" s="9"/>
      <c r="HA154" s="9"/>
    </row>
    <row r="155" spans="1:209" s="2" customFormat="1" ht="17" customHeight="1">
      <c r="A155" s="14" t="s">
        <v>154</v>
      </c>
      <c r="B155" s="35">
        <v>559</v>
      </c>
      <c r="C155" s="35">
        <v>608</v>
      </c>
      <c r="D155" s="4">
        <f t="shared" si="35"/>
        <v>1.0876565295169947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141.5</v>
      </c>
      <c r="O155" s="35">
        <v>338.4</v>
      </c>
      <c r="P155" s="4">
        <f t="shared" si="36"/>
        <v>1.3</v>
      </c>
      <c r="Q155" s="11">
        <v>20</v>
      </c>
      <c r="R155" s="35">
        <v>1.1000000000000001</v>
      </c>
      <c r="S155" s="35">
        <v>1.2</v>
      </c>
      <c r="T155" s="4">
        <f t="shared" si="37"/>
        <v>1.0909090909090908</v>
      </c>
      <c r="U155" s="11">
        <v>15</v>
      </c>
      <c r="V155" s="35">
        <v>1.2</v>
      </c>
      <c r="W155" s="35">
        <v>1.3</v>
      </c>
      <c r="X155" s="4">
        <f t="shared" si="38"/>
        <v>1.0833333333333335</v>
      </c>
      <c r="Y155" s="11">
        <v>35</v>
      </c>
      <c r="Z155" s="11" t="s">
        <v>385</v>
      </c>
      <c r="AA155" s="11" t="s">
        <v>385</v>
      </c>
      <c r="AB155" s="11" t="s">
        <v>385</v>
      </c>
      <c r="AC155" s="11" t="s">
        <v>385</v>
      </c>
      <c r="AD155" s="11">
        <v>144</v>
      </c>
      <c r="AE155" s="11">
        <v>204</v>
      </c>
      <c r="AF155" s="4">
        <f t="shared" si="39"/>
        <v>1.2216666666666667</v>
      </c>
      <c r="AG155" s="11">
        <v>20</v>
      </c>
      <c r="AH155" s="5" t="s">
        <v>362</v>
      </c>
      <c r="AI155" s="5" t="s">
        <v>362</v>
      </c>
      <c r="AJ155" s="5" t="s">
        <v>362</v>
      </c>
      <c r="AK155" s="5" t="s">
        <v>362</v>
      </c>
      <c r="AL155" s="5" t="s">
        <v>362</v>
      </c>
      <c r="AM155" s="5" t="s">
        <v>362</v>
      </c>
      <c r="AN155" s="5" t="s">
        <v>362</v>
      </c>
      <c r="AO155" s="5" t="s">
        <v>362</v>
      </c>
      <c r="AP155" s="44">
        <f t="shared" si="47"/>
        <v>1.1559020165880631</v>
      </c>
      <c r="AQ155" s="45">
        <v>1332</v>
      </c>
      <c r="AR155" s="35">
        <f t="shared" si="40"/>
        <v>363.27272727272725</v>
      </c>
      <c r="AS155" s="35">
        <f t="shared" si="41"/>
        <v>419.9</v>
      </c>
      <c r="AT155" s="35">
        <f t="shared" si="42"/>
        <v>56.627272727272725</v>
      </c>
      <c r="AU155" s="35">
        <v>142.80000000000001</v>
      </c>
      <c r="AV155" s="35">
        <v>130.9</v>
      </c>
      <c r="AW155" s="35">
        <f t="shared" si="43"/>
        <v>146.19999999999999</v>
      </c>
      <c r="AX155" s="35"/>
      <c r="AY155" s="35">
        <f t="shared" si="44"/>
        <v>146.19999999999999</v>
      </c>
      <c r="AZ155" s="35">
        <v>0</v>
      </c>
      <c r="BA155" s="35">
        <f t="shared" si="45"/>
        <v>146.19999999999999</v>
      </c>
      <c r="BB155" s="35"/>
      <c r="BC155" s="35">
        <f t="shared" si="46"/>
        <v>146.19999999999999</v>
      </c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10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10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10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10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10"/>
      <c r="GZ155" s="9"/>
      <c r="HA155" s="9"/>
    </row>
    <row r="156" spans="1:209" s="2" customFormat="1" ht="17" customHeight="1">
      <c r="A156" s="14" t="s">
        <v>155</v>
      </c>
      <c r="B156" s="35">
        <v>4240231</v>
      </c>
      <c r="C156" s="35">
        <v>4188631.8</v>
      </c>
      <c r="D156" s="4">
        <f t="shared" si="35"/>
        <v>0.98783104033718916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4541.7</v>
      </c>
      <c r="O156" s="35">
        <v>5217.3999999999996</v>
      </c>
      <c r="P156" s="4">
        <f t="shared" si="36"/>
        <v>1.1487768897109012</v>
      </c>
      <c r="Q156" s="11">
        <v>20</v>
      </c>
      <c r="R156" s="35">
        <v>0.9</v>
      </c>
      <c r="S156" s="35">
        <v>1</v>
      </c>
      <c r="T156" s="4">
        <f t="shared" si="37"/>
        <v>1.1111111111111112</v>
      </c>
      <c r="U156" s="11">
        <v>20</v>
      </c>
      <c r="V156" s="35">
        <v>705</v>
      </c>
      <c r="W156" s="35">
        <v>832.8</v>
      </c>
      <c r="X156" s="4">
        <f t="shared" si="38"/>
        <v>1.1812765957446807</v>
      </c>
      <c r="Y156" s="11">
        <v>30</v>
      </c>
      <c r="Z156" s="11" t="s">
        <v>385</v>
      </c>
      <c r="AA156" s="11" t="s">
        <v>385</v>
      </c>
      <c r="AB156" s="11" t="s">
        <v>385</v>
      </c>
      <c r="AC156" s="11" t="s">
        <v>385</v>
      </c>
      <c r="AD156" s="11">
        <v>428</v>
      </c>
      <c r="AE156" s="11">
        <v>454</v>
      </c>
      <c r="AF156" s="4">
        <f t="shared" si="39"/>
        <v>1.0607476635514019</v>
      </c>
      <c r="AG156" s="11">
        <v>20</v>
      </c>
      <c r="AH156" s="5" t="s">
        <v>362</v>
      </c>
      <c r="AI156" s="5" t="s">
        <v>362</v>
      </c>
      <c r="AJ156" s="5" t="s">
        <v>362</v>
      </c>
      <c r="AK156" s="5" t="s">
        <v>362</v>
      </c>
      <c r="AL156" s="5" t="s">
        <v>362</v>
      </c>
      <c r="AM156" s="5" t="s">
        <v>362</v>
      </c>
      <c r="AN156" s="5" t="s">
        <v>362</v>
      </c>
      <c r="AO156" s="5" t="s">
        <v>362</v>
      </c>
      <c r="AP156" s="44">
        <f t="shared" si="47"/>
        <v>1.1172932156318058</v>
      </c>
      <c r="AQ156" s="45">
        <v>1541</v>
      </c>
      <c r="AR156" s="35">
        <f t="shared" si="40"/>
        <v>420.27272727272725</v>
      </c>
      <c r="AS156" s="35">
        <f t="shared" si="41"/>
        <v>469.6</v>
      </c>
      <c r="AT156" s="35">
        <f t="shared" si="42"/>
        <v>49.327272727272771</v>
      </c>
      <c r="AU156" s="35">
        <v>162.9</v>
      </c>
      <c r="AV156" s="35">
        <v>156.1</v>
      </c>
      <c r="AW156" s="35">
        <f t="shared" si="43"/>
        <v>150.6</v>
      </c>
      <c r="AX156" s="35"/>
      <c r="AY156" s="35">
        <f t="shared" si="44"/>
        <v>150.6</v>
      </c>
      <c r="AZ156" s="35">
        <v>0</v>
      </c>
      <c r="BA156" s="35">
        <f t="shared" si="45"/>
        <v>150.6</v>
      </c>
      <c r="BB156" s="35">
        <f>MIN(BA156,16.8)</f>
        <v>16.8</v>
      </c>
      <c r="BC156" s="35">
        <f t="shared" si="46"/>
        <v>133.80000000000001</v>
      </c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10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10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10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10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10"/>
      <c r="GZ156" s="9"/>
      <c r="HA156" s="9"/>
    </row>
    <row r="157" spans="1:209" s="2" customFormat="1" ht="17" customHeight="1">
      <c r="A157" s="18" t="s">
        <v>156</v>
      </c>
      <c r="B157" s="6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35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10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10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10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10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10"/>
      <c r="GZ157" s="9"/>
      <c r="HA157" s="9"/>
    </row>
    <row r="158" spans="1:209" s="2" customFormat="1" ht="17" customHeight="1">
      <c r="A158" s="14" t="s">
        <v>71</v>
      </c>
      <c r="B158" s="35">
        <v>0</v>
      </c>
      <c r="C158" s="35">
        <v>0</v>
      </c>
      <c r="D158" s="4">
        <f t="shared" si="35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195.9</v>
      </c>
      <c r="O158" s="35">
        <v>228.3</v>
      </c>
      <c r="P158" s="4">
        <f t="shared" si="36"/>
        <v>1.1653905053598774</v>
      </c>
      <c r="Q158" s="11">
        <v>20</v>
      </c>
      <c r="R158" s="35">
        <v>0</v>
      </c>
      <c r="S158" s="35">
        <v>0</v>
      </c>
      <c r="T158" s="4">
        <f t="shared" si="37"/>
        <v>1</v>
      </c>
      <c r="U158" s="11">
        <v>25</v>
      </c>
      <c r="V158" s="35">
        <v>0</v>
      </c>
      <c r="W158" s="35">
        <v>0.4</v>
      </c>
      <c r="X158" s="4">
        <f t="shared" si="38"/>
        <v>1</v>
      </c>
      <c r="Y158" s="11">
        <v>25</v>
      </c>
      <c r="Z158" s="11" t="s">
        <v>385</v>
      </c>
      <c r="AA158" s="11" t="s">
        <v>385</v>
      </c>
      <c r="AB158" s="11" t="s">
        <v>385</v>
      </c>
      <c r="AC158" s="11" t="s">
        <v>385</v>
      </c>
      <c r="AD158" s="11">
        <v>585</v>
      </c>
      <c r="AE158" s="11">
        <v>604</v>
      </c>
      <c r="AF158" s="4">
        <f t="shared" si="39"/>
        <v>1.0324786324786326</v>
      </c>
      <c r="AG158" s="11">
        <v>20</v>
      </c>
      <c r="AH158" s="5" t="s">
        <v>362</v>
      </c>
      <c r="AI158" s="5" t="s">
        <v>362</v>
      </c>
      <c r="AJ158" s="5" t="s">
        <v>362</v>
      </c>
      <c r="AK158" s="5" t="s">
        <v>362</v>
      </c>
      <c r="AL158" s="5" t="s">
        <v>362</v>
      </c>
      <c r="AM158" s="5" t="s">
        <v>362</v>
      </c>
      <c r="AN158" s="5" t="s">
        <v>362</v>
      </c>
      <c r="AO158" s="5" t="s">
        <v>362</v>
      </c>
      <c r="AP158" s="44">
        <f t="shared" si="47"/>
        <v>1.0439709195196689</v>
      </c>
      <c r="AQ158" s="45">
        <v>1893</v>
      </c>
      <c r="AR158" s="35">
        <f t="shared" si="40"/>
        <v>516.27272727272725</v>
      </c>
      <c r="AS158" s="35">
        <f t="shared" si="41"/>
        <v>539</v>
      </c>
      <c r="AT158" s="35">
        <f t="shared" si="42"/>
        <v>22.727272727272748</v>
      </c>
      <c r="AU158" s="35">
        <v>182.2</v>
      </c>
      <c r="AV158" s="35">
        <v>157</v>
      </c>
      <c r="AW158" s="35">
        <f t="shared" si="43"/>
        <v>199.8</v>
      </c>
      <c r="AX158" s="35"/>
      <c r="AY158" s="35">
        <f t="shared" si="44"/>
        <v>199.8</v>
      </c>
      <c r="AZ158" s="35">
        <v>0</v>
      </c>
      <c r="BA158" s="35">
        <f t="shared" si="45"/>
        <v>199.8</v>
      </c>
      <c r="BB158" s="35"/>
      <c r="BC158" s="35">
        <f t="shared" si="46"/>
        <v>199.8</v>
      </c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10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10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10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10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10"/>
      <c r="GZ158" s="9"/>
      <c r="HA158" s="9"/>
    </row>
    <row r="159" spans="1:209" s="2" customFormat="1" ht="17" customHeight="1">
      <c r="A159" s="14" t="s">
        <v>157</v>
      </c>
      <c r="B159" s="35">
        <v>0</v>
      </c>
      <c r="C159" s="35">
        <v>0</v>
      </c>
      <c r="D159" s="4">
        <f t="shared" si="35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312.2</v>
      </c>
      <c r="O159" s="35">
        <v>170.7</v>
      </c>
      <c r="P159" s="4">
        <f t="shared" si="36"/>
        <v>0.54676489429852659</v>
      </c>
      <c r="Q159" s="11">
        <v>20</v>
      </c>
      <c r="R159" s="35">
        <v>0</v>
      </c>
      <c r="S159" s="35">
        <v>0</v>
      </c>
      <c r="T159" s="4">
        <f t="shared" si="37"/>
        <v>1</v>
      </c>
      <c r="U159" s="11">
        <v>45</v>
      </c>
      <c r="V159" s="35">
        <v>0</v>
      </c>
      <c r="W159" s="35">
        <v>0.4</v>
      </c>
      <c r="X159" s="4">
        <f t="shared" si="38"/>
        <v>1</v>
      </c>
      <c r="Y159" s="11">
        <v>5</v>
      </c>
      <c r="Z159" s="11" t="s">
        <v>385</v>
      </c>
      <c r="AA159" s="11" t="s">
        <v>385</v>
      </c>
      <c r="AB159" s="11" t="s">
        <v>385</v>
      </c>
      <c r="AC159" s="11" t="s">
        <v>385</v>
      </c>
      <c r="AD159" s="11">
        <v>105</v>
      </c>
      <c r="AE159" s="11">
        <v>105</v>
      </c>
      <c r="AF159" s="4">
        <f t="shared" si="39"/>
        <v>1</v>
      </c>
      <c r="AG159" s="11">
        <v>20</v>
      </c>
      <c r="AH159" s="5" t="s">
        <v>362</v>
      </c>
      <c r="AI159" s="5" t="s">
        <v>362</v>
      </c>
      <c r="AJ159" s="5" t="s">
        <v>362</v>
      </c>
      <c r="AK159" s="5" t="s">
        <v>362</v>
      </c>
      <c r="AL159" s="5" t="s">
        <v>362</v>
      </c>
      <c r="AM159" s="5" t="s">
        <v>362</v>
      </c>
      <c r="AN159" s="5" t="s">
        <v>362</v>
      </c>
      <c r="AO159" s="5" t="s">
        <v>362</v>
      </c>
      <c r="AP159" s="44">
        <f t="shared" si="47"/>
        <v>0.89928108762189474</v>
      </c>
      <c r="AQ159" s="45">
        <v>1439</v>
      </c>
      <c r="AR159" s="35">
        <f t="shared" si="40"/>
        <v>392.45454545454544</v>
      </c>
      <c r="AS159" s="35">
        <f t="shared" si="41"/>
        <v>352.9</v>
      </c>
      <c r="AT159" s="35">
        <f t="shared" si="42"/>
        <v>-39.554545454545462</v>
      </c>
      <c r="AU159" s="35">
        <v>141.6</v>
      </c>
      <c r="AV159" s="35">
        <v>101.1</v>
      </c>
      <c r="AW159" s="35">
        <f t="shared" si="43"/>
        <v>110.2</v>
      </c>
      <c r="AX159" s="35"/>
      <c r="AY159" s="35">
        <f t="shared" si="44"/>
        <v>110.2</v>
      </c>
      <c r="AZ159" s="35">
        <v>0</v>
      </c>
      <c r="BA159" s="35">
        <f t="shared" si="45"/>
        <v>110.2</v>
      </c>
      <c r="BB159" s="35"/>
      <c r="BC159" s="35">
        <f t="shared" si="46"/>
        <v>110.2</v>
      </c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10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10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10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10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10"/>
      <c r="GZ159" s="9"/>
      <c r="HA159" s="9"/>
    </row>
    <row r="160" spans="1:209" s="2" customFormat="1" ht="17" customHeight="1">
      <c r="A160" s="14" t="s">
        <v>158</v>
      </c>
      <c r="B160" s="35">
        <v>0</v>
      </c>
      <c r="C160" s="35">
        <v>0</v>
      </c>
      <c r="D160" s="4">
        <f t="shared" si="35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164.9</v>
      </c>
      <c r="O160" s="35">
        <v>282.5</v>
      </c>
      <c r="P160" s="4">
        <f t="shared" si="36"/>
        <v>1.2513159490600363</v>
      </c>
      <c r="Q160" s="11">
        <v>20</v>
      </c>
      <c r="R160" s="35">
        <v>0</v>
      </c>
      <c r="S160" s="35">
        <v>0</v>
      </c>
      <c r="T160" s="4">
        <f t="shared" si="37"/>
        <v>1</v>
      </c>
      <c r="U160" s="11">
        <v>20</v>
      </c>
      <c r="V160" s="35">
        <v>1</v>
      </c>
      <c r="W160" s="35">
        <v>2</v>
      </c>
      <c r="X160" s="4">
        <f t="shared" si="38"/>
        <v>1.28</v>
      </c>
      <c r="Y160" s="11">
        <v>30</v>
      </c>
      <c r="Z160" s="11" t="s">
        <v>385</v>
      </c>
      <c r="AA160" s="11" t="s">
        <v>385</v>
      </c>
      <c r="AB160" s="11" t="s">
        <v>385</v>
      </c>
      <c r="AC160" s="11" t="s">
        <v>385</v>
      </c>
      <c r="AD160" s="11">
        <v>260</v>
      </c>
      <c r="AE160" s="11">
        <v>260</v>
      </c>
      <c r="AF160" s="4">
        <f t="shared" si="39"/>
        <v>1</v>
      </c>
      <c r="AG160" s="11">
        <v>20</v>
      </c>
      <c r="AH160" s="5" t="s">
        <v>362</v>
      </c>
      <c r="AI160" s="5" t="s">
        <v>362</v>
      </c>
      <c r="AJ160" s="5" t="s">
        <v>362</v>
      </c>
      <c r="AK160" s="5" t="s">
        <v>362</v>
      </c>
      <c r="AL160" s="5" t="s">
        <v>362</v>
      </c>
      <c r="AM160" s="5" t="s">
        <v>362</v>
      </c>
      <c r="AN160" s="5" t="s">
        <v>362</v>
      </c>
      <c r="AO160" s="5" t="s">
        <v>362</v>
      </c>
      <c r="AP160" s="44">
        <f t="shared" si="47"/>
        <v>1.1491813220133413</v>
      </c>
      <c r="AQ160" s="45">
        <v>2134</v>
      </c>
      <c r="AR160" s="35">
        <f t="shared" si="40"/>
        <v>582</v>
      </c>
      <c r="AS160" s="35">
        <f t="shared" si="41"/>
        <v>668.8</v>
      </c>
      <c r="AT160" s="35">
        <f t="shared" si="42"/>
        <v>86.799999999999955</v>
      </c>
      <c r="AU160" s="35">
        <v>210.6</v>
      </c>
      <c r="AV160" s="35">
        <v>199.2</v>
      </c>
      <c r="AW160" s="35">
        <f t="shared" si="43"/>
        <v>259</v>
      </c>
      <c r="AX160" s="35"/>
      <c r="AY160" s="35">
        <f t="shared" si="44"/>
        <v>259</v>
      </c>
      <c r="AZ160" s="35">
        <v>0</v>
      </c>
      <c r="BA160" s="35">
        <f t="shared" si="45"/>
        <v>259</v>
      </c>
      <c r="BB160" s="35"/>
      <c r="BC160" s="35">
        <f t="shared" si="46"/>
        <v>259</v>
      </c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10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10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10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10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10"/>
      <c r="GZ160" s="9"/>
      <c r="HA160" s="9"/>
    </row>
    <row r="161" spans="1:209" s="2" customFormat="1" ht="17" customHeight="1">
      <c r="A161" s="14" t="s">
        <v>159</v>
      </c>
      <c r="B161" s="35">
        <v>0</v>
      </c>
      <c r="C161" s="35">
        <v>0</v>
      </c>
      <c r="D161" s="4">
        <f t="shared" si="35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502.1</v>
      </c>
      <c r="O161" s="35">
        <v>770.4</v>
      </c>
      <c r="P161" s="4">
        <f t="shared" si="36"/>
        <v>1.2334355706034654</v>
      </c>
      <c r="Q161" s="11">
        <v>20</v>
      </c>
      <c r="R161" s="35">
        <v>0</v>
      </c>
      <c r="S161" s="35">
        <v>0</v>
      </c>
      <c r="T161" s="4">
        <f t="shared" si="37"/>
        <v>1</v>
      </c>
      <c r="U161" s="11">
        <v>25</v>
      </c>
      <c r="V161" s="35">
        <v>1</v>
      </c>
      <c r="W161" s="35">
        <v>2.6</v>
      </c>
      <c r="X161" s="4">
        <f t="shared" si="38"/>
        <v>1.3</v>
      </c>
      <c r="Y161" s="11">
        <v>25</v>
      </c>
      <c r="Z161" s="11" t="s">
        <v>385</v>
      </c>
      <c r="AA161" s="11" t="s">
        <v>385</v>
      </c>
      <c r="AB161" s="11" t="s">
        <v>385</v>
      </c>
      <c r="AC161" s="11" t="s">
        <v>385</v>
      </c>
      <c r="AD161" s="11">
        <v>210</v>
      </c>
      <c r="AE161" s="11">
        <v>251</v>
      </c>
      <c r="AF161" s="4">
        <f t="shared" si="39"/>
        <v>1.1952380952380952</v>
      </c>
      <c r="AG161" s="11">
        <v>20</v>
      </c>
      <c r="AH161" s="5" t="s">
        <v>362</v>
      </c>
      <c r="AI161" s="5" t="s">
        <v>362</v>
      </c>
      <c r="AJ161" s="5" t="s">
        <v>362</v>
      </c>
      <c r="AK161" s="5" t="s">
        <v>362</v>
      </c>
      <c r="AL161" s="5" t="s">
        <v>362</v>
      </c>
      <c r="AM161" s="5" t="s">
        <v>362</v>
      </c>
      <c r="AN161" s="5" t="s">
        <v>362</v>
      </c>
      <c r="AO161" s="5" t="s">
        <v>362</v>
      </c>
      <c r="AP161" s="44">
        <f t="shared" si="47"/>
        <v>1.1785941479647912</v>
      </c>
      <c r="AQ161" s="45">
        <v>2179</v>
      </c>
      <c r="AR161" s="35">
        <f t="shared" si="40"/>
        <v>594.27272727272725</v>
      </c>
      <c r="AS161" s="35">
        <f t="shared" si="41"/>
        <v>700.4</v>
      </c>
      <c r="AT161" s="35">
        <f t="shared" si="42"/>
        <v>106.12727272727273</v>
      </c>
      <c r="AU161" s="35">
        <v>210.9</v>
      </c>
      <c r="AV161" s="35">
        <v>212.6</v>
      </c>
      <c r="AW161" s="35">
        <f t="shared" si="43"/>
        <v>276.89999999999998</v>
      </c>
      <c r="AX161" s="35"/>
      <c r="AY161" s="35">
        <f t="shared" si="44"/>
        <v>276.89999999999998</v>
      </c>
      <c r="AZ161" s="35">
        <v>0</v>
      </c>
      <c r="BA161" s="35">
        <f t="shared" si="45"/>
        <v>276.89999999999998</v>
      </c>
      <c r="BB161" s="35"/>
      <c r="BC161" s="35">
        <f t="shared" si="46"/>
        <v>276.89999999999998</v>
      </c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10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10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10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10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10"/>
      <c r="GZ161" s="9"/>
      <c r="HA161" s="9"/>
    </row>
    <row r="162" spans="1:209" s="2" customFormat="1" ht="17" customHeight="1">
      <c r="A162" s="14" t="s">
        <v>160</v>
      </c>
      <c r="B162" s="35">
        <v>273090</v>
      </c>
      <c r="C162" s="35">
        <v>327635.09999999998</v>
      </c>
      <c r="D162" s="4">
        <f t="shared" si="35"/>
        <v>1.1997330550368011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6211</v>
      </c>
      <c r="O162" s="35">
        <v>6536.8</v>
      </c>
      <c r="P162" s="4">
        <f t="shared" si="36"/>
        <v>1.0524553212043151</v>
      </c>
      <c r="Q162" s="11">
        <v>20</v>
      </c>
      <c r="R162" s="35">
        <v>428</v>
      </c>
      <c r="S162" s="35">
        <v>431.4</v>
      </c>
      <c r="T162" s="4">
        <f t="shared" si="37"/>
        <v>1.0079439252336448</v>
      </c>
      <c r="U162" s="11">
        <v>25</v>
      </c>
      <c r="V162" s="35">
        <v>7</v>
      </c>
      <c r="W162" s="35">
        <v>11.8</v>
      </c>
      <c r="X162" s="4">
        <f t="shared" si="38"/>
        <v>1.2485714285714284</v>
      </c>
      <c r="Y162" s="11">
        <v>25</v>
      </c>
      <c r="Z162" s="11" t="s">
        <v>385</v>
      </c>
      <c r="AA162" s="11" t="s">
        <v>385</v>
      </c>
      <c r="AB162" s="11" t="s">
        <v>385</v>
      </c>
      <c r="AC162" s="11" t="s">
        <v>385</v>
      </c>
      <c r="AD162" s="11">
        <v>1140</v>
      </c>
      <c r="AE162" s="11">
        <v>1144</v>
      </c>
      <c r="AF162" s="4">
        <f t="shared" si="39"/>
        <v>1.0035087719298246</v>
      </c>
      <c r="AG162" s="11">
        <v>20</v>
      </c>
      <c r="AH162" s="5" t="s">
        <v>362</v>
      </c>
      <c r="AI162" s="5" t="s">
        <v>362</v>
      </c>
      <c r="AJ162" s="5" t="s">
        <v>362</v>
      </c>
      <c r="AK162" s="5" t="s">
        <v>362</v>
      </c>
      <c r="AL162" s="5" t="s">
        <v>362</v>
      </c>
      <c r="AM162" s="5" t="s">
        <v>362</v>
      </c>
      <c r="AN162" s="5" t="s">
        <v>362</v>
      </c>
      <c r="AO162" s="5" t="s">
        <v>362</v>
      </c>
      <c r="AP162" s="44">
        <f t="shared" si="47"/>
        <v>1.0952949625817763</v>
      </c>
      <c r="AQ162" s="45">
        <v>3142</v>
      </c>
      <c r="AR162" s="35">
        <f t="shared" si="40"/>
        <v>856.90909090909088</v>
      </c>
      <c r="AS162" s="35">
        <f t="shared" si="41"/>
        <v>938.6</v>
      </c>
      <c r="AT162" s="35">
        <f t="shared" si="42"/>
        <v>81.690909090909145</v>
      </c>
      <c r="AU162" s="35">
        <v>314.2</v>
      </c>
      <c r="AV162" s="35">
        <v>316.5</v>
      </c>
      <c r="AW162" s="35">
        <f t="shared" si="43"/>
        <v>307.89999999999998</v>
      </c>
      <c r="AX162" s="35"/>
      <c r="AY162" s="35">
        <f t="shared" si="44"/>
        <v>307.89999999999998</v>
      </c>
      <c r="AZ162" s="35">
        <v>0</v>
      </c>
      <c r="BA162" s="35">
        <f t="shared" si="45"/>
        <v>307.89999999999998</v>
      </c>
      <c r="BB162" s="35">
        <f>MIN(BA162,128.6)</f>
        <v>128.6</v>
      </c>
      <c r="BC162" s="35">
        <f t="shared" si="46"/>
        <v>179.3</v>
      </c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10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10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10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10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10"/>
      <c r="GZ162" s="9"/>
      <c r="HA162" s="9"/>
    </row>
    <row r="163" spans="1:209" s="2" customFormat="1" ht="17" customHeight="1">
      <c r="A163" s="14" t="s">
        <v>161</v>
      </c>
      <c r="B163" s="35">
        <v>0</v>
      </c>
      <c r="C163" s="35">
        <v>0</v>
      </c>
      <c r="D163" s="4">
        <f t="shared" si="35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217</v>
      </c>
      <c r="O163" s="35">
        <v>427.2</v>
      </c>
      <c r="P163" s="4">
        <f t="shared" si="36"/>
        <v>1.2768663594470047</v>
      </c>
      <c r="Q163" s="11">
        <v>20</v>
      </c>
      <c r="R163" s="35">
        <v>0</v>
      </c>
      <c r="S163" s="35">
        <v>0</v>
      </c>
      <c r="T163" s="4">
        <f t="shared" si="37"/>
        <v>1</v>
      </c>
      <c r="U163" s="11">
        <v>25</v>
      </c>
      <c r="V163" s="35">
        <v>2</v>
      </c>
      <c r="W163" s="35">
        <v>2</v>
      </c>
      <c r="X163" s="4">
        <f t="shared" si="38"/>
        <v>1</v>
      </c>
      <c r="Y163" s="11">
        <v>25</v>
      </c>
      <c r="Z163" s="11" t="s">
        <v>385</v>
      </c>
      <c r="AA163" s="11" t="s">
        <v>385</v>
      </c>
      <c r="AB163" s="11" t="s">
        <v>385</v>
      </c>
      <c r="AC163" s="11" t="s">
        <v>385</v>
      </c>
      <c r="AD163" s="11">
        <v>145</v>
      </c>
      <c r="AE163" s="11">
        <v>147</v>
      </c>
      <c r="AF163" s="4">
        <f t="shared" si="39"/>
        <v>1.0137931034482759</v>
      </c>
      <c r="AG163" s="11">
        <v>20</v>
      </c>
      <c r="AH163" s="5" t="s">
        <v>362</v>
      </c>
      <c r="AI163" s="5" t="s">
        <v>362</v>
      </c>
      <c r="AJ163" s="5" t="s">
        <v>362</v>
      </c>
      <c r="AK163" s="5" t="s">
        <v>362</v>
      </c>
      <c r="AL163" s="5" t="s">
        <v>362</v>
      </c>
      <c r="AM163" s="5" t="s">
        <v>362</v>
      </c>
      <c r="AN163" s="5" t="s">
        <v>362</v>
      </c>
      <c r="AO163" s="5" t="s">
        <v>362</v>
      </c>
      <c r="AP163" s="44">
        <f t="shared" si="47"/>
        <v>1.0645909917545067</v>
      </c>
      <c r="AQ163" s="45">
        <v>1514</v>
      </c>
      <c r="AR163" s="35">
        <f t="shared" si="40"/>
        <v>412.90909090909088</v>
      </c>
      <c r="AS163" s="35">
        <f t="shared" si="41"/>
        <v>439.6</v>
      </c>
      <c r="AT163" s="35">
        <f t="shared" si="42"/>
        <v>26.690909090909145</v>
      </c>
      <c r="AU163" s="35">
        <v>120.7</v>
      </c>
      <c r="AV163" s="35">
        <v>119.9</v>
      </c>
      <c r="AW163" s="35">
        <f t="shared" si="43"/>
        <v>199</v>
      </c>
      <c r="AX163" s="35"/>
      <c r="AY163" s="35">
        <f t="shared" si="44"/>
        <v>199</v>
      </c>
      <c r="AZ163" s="35">
        <v>0</v>
      </c>
      <c r="BA163" s="35">
        <f t="shared" si="45"/>
        <v>199</v>
      </c>
      <c r="BB163" s="35"/>
      <c r="BC163" s="35">
        <f t="shared" si="46"/>
        <v>199</v>
      </c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10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10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10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10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10"/>
      <c r="GZ163" s="9"/>
      <c r="HA163" s="9"/>
    </row>
    <row r="164" spans="1:209" s="2" customFormat="1" ht="17" customHeight="1">
      <c r="A164" s="14" t="s">
        <v>162</v>
      </c>
      <c r="B164" s="35">
        <v>20800</v>
      </c>
      <c r="C164" s="35">
        <v>21226.1</v>
      </c>
      <c r="D164" s="4">
        <f t="shared" si="35"/>
        <v>1.020485576923077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2140.5</v>
      </c>
      <c r="O164" s="35">
        <v>2557.3000000000002</v>
      </c>
      <c r="P164" s="4">
        <f t="shared" si="36"/>
        <v>1.1947208596122403</v>
      </c>
      <c r="Q164" s="11">
        <v>20</v>
      </c>
      <c r="R164" s="35">
        <v>0</v>
      </c>
      <c r="S164" s="35">
        <v>0.8</v>
      </c>
      <c r="T164" s="4">
        <f t="shared" si="37"/>
        <v>1</v>
      </c>
      <c r="U164" s="11">
        <v>35</v>
      </c>
      <c r="V164" s="35">
        <v>0</v>
      </c>
      <c r="W164" s="35">
        <v>0</v>
      </c>
      <c r="X164" s="4">
        <f t="shared" si="38"/>
        <v>1</v>
      </c>
      <c r="Y164" s="11">
        <v>15</v>
      </c>
      <c r="Z164" s="11" t="s">
        <v>385</v>
      </c>
      <c r="AA164" s="11" t="s">
        <v>385</v>
      </c>
      <c r="AB164" s="11" t="s">
        <v>385</v>
      </c>
      <c r="AC164" s="11" t="s">
        <v>385</v>
      </c>
      <c r="AD164" s="11">
        <v>140</v>
      </c>
      <c r="AE164" s="11">
        <v>140</v>
      </c>
      <c r="AF164" s="4">
        <f t="shared" si="39"/>
        <v>1</v>
      </c>
      <c r="AG164" s="11">
        <v>20</v>
      </c>
      <c r="AH164" s="5" t="s">
        <v>362</v>
      </c>
      <c r="AI164" s="5" t="s">
        <v>362</v>
      </c>
      <c r="AJ164" s="5" t="s">
        <v>362</v>
      </c>
      <c r="AK164" s="5" t="s">
        <v>362</v>
      </c>
      <c r="AL164" s="5" t="s">
        <v>362</v>
      </c>
      <c r="AM164" s="5" t="s">
        <v>362</v>
      </c>
      <c r="AN164" s="5" t="s">
        <v>362</v>
      </c>
      <c r="AO164" s="5" t="s">
        <v>362</v>
      </c>
      <c r="AP164" s="44">
        <f t="shared" si="47"/>
        <v>1.0409927296147559</v>
      </c>
      <c r="AQ164" s="45">
        <v>2525</v>
      </c>
      <c r="AR164" s="35">
        <f t="shared" si="40"/>
        <v>688.63636363636363</v>
      </c>
      <c r="AS164" s="35">
        <f t="shared" si="41"/>
        <v>716.9</v>
      </c>
      <c r="AT164" s="35">
        <f t="shared" si="42"/>
        <v>28.263636363636351</v>
      </c>
      <c r="AU164" s="35">
        <v>229.6</v>
      </c>
      <c r="AV164" s="35">
        <v>245</v>
      </c>
      <c r="AW164" s="35">
        <f t="shared" si="43"/>
        <v>242.3</v>
      </c>
      <c r="AX164" s="35"/>
      <c r="AY164" s="35">
        <f t="shared" si="44"/>
        <v>242.3</v>
      </c>
      <c r="AZ164" s="35">
        <v>0</v>
      </c>
      <c r="BA164" s="35">
        <f t="shared" si="45"/>
        <v>242.3</v>
      </c>
      <c r="BB164" s="35"/>
      <c r="BC164" s="35">
        <f t="shared" si="46"/>
        <v>242.3</v>
      </c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10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10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10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10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10"/>
      <c r="GZ164" s="9"/>
      <c r="HA164" s="9"/>
    </row>
    <row r="165" spans="1:209" s="2" customFormat="1" ht="17" customHeight="1">
      <c r="A165" s="14" t="s">
        <v>163</v>
      </c>
      <c r="B165" s="35">
        <v>0</v>
      </c>
      <c r="C165" s="35">
        <v>0</v>
      </c>
      <c r="D165" s="4">
        <f t="shared" si="35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285.2</v>
      </c>
      <c r="O165" s="35">
        <v>584.6</v>
      </c>
      <c r="P165" s="4">
        <f t="shared" si="36"/>
        <v>1.2849789621318373</v>
      </c>
      <c r="Q165" s="11">
        <v>20</v>
      </c>
      <c r="R165" s="35">
        <v>0</v>
      </c>
      <c r="S165" s="35">
        <v>0</v>
      </c>
      <c r="T165" s="4">
        <f t="shared" si="37"/>
        <v>1</v>
      </c>
      <c r="U165" s="11">
        <v>15</v>
      </c>
      <c r="V165" s="35">
        <v>0</v>
      </c>
      <c r="W165" s="35">
        <v>0</v>
      </c>
      <c r="X165" s="4">
        <f t="shared" si="38"/>
        <v>1</v>
      </c>
      <c r="Y165" s="11">
        <v>35</v>
      </c>
      <c r="Z165" s="11" t="s">
        <v>385</v>
      </c>
      <c r="AA165" s="11" t="s">
        <v>385</v>
      </c>
      <c r="AB165" s="11" t="s">
        <v>385</v>
      </c>
      <c r="AC165" s="11" t="s">
        <v>385</v>
      </c>
      <c r="AD165" s="11">
        <v>180</v>
      </c>
      <c r="AE165" s="11">
        <v>181</v>
      </c>
      <c r="AF165" s="4">
        <f t="shared" si="39"/>
        <v>1.0055555555555555</v>
      </c>
      <c r="AG165" s="11">
        <v>20</v>
      </c>
      <c r="AH165" s="5" t="s">
        <v>362</v>
      </c>
      <c r="AI165" s="5" t="s">
        <v>362</v>
      </c>
      <c r="AJ165" s="5" t="s">
        <v>362</v>
      </c>
      <c r="AK165" s="5" t="s">
        <v>362</v>
      </c>
      <c r="AL165" s="5" t="s">
        <v>362</v>
      </c>
      <c r="AM165" s="5" t="s">
        <v>362</v>
      </c>
      <c r="AN165" s="5" t="s">
        <v>362</v>
      </c>
      <c r="AO165" s="5" t="s">
        <v>362</v>
      </c>
      <c r="AP165" s="44">
        <f t="shared" si="47"/>
        <v>1.064563226152754</v>
      </c>
      <c r="AQ165" s="45">
        <v>1092</v>
      </c>
      <c r="AR165" s="35">
        <f t="shared" si="40"/>
        <v>297.81818181818181</v>
      </c>
      <c r="AS165" s="35">
        <f t="shared" si="41"/>
        <v>317</v>
      </c>
      <c r="AT165" s="35">
        <f t="shared" si="42"/>
        <v>19.181818181818187</v>
      </c>
      <c r="AU165" s="35">
        <v>107.8</v>
      </c>
      <c r="AV165" s="35">
        <v>107.8</v>
      </c>
      <c r="AW165" s="35">
        <f t="shared" si="43"/>
        <v>101.4</v>
      </c>
      <c r="AX165" s="35"/>
      <c r="AY165" s="35">
        <f t="shared" si="44"/>
        <v>101.4</v>
      </c>
      <c r="AZ165" s="35">
        <v>0</v>
      </c>
      <c r="BA165" s="35">
        <f t="shared" si="45"/>
        <v>101.4</v>
      </c>
      <c r="BB165" s="35">
        <f>MIN(BA165,6)</f>
        <v>6</v>
      </c>
      <c r="BC165" s="35">
        <f t="shared" si="46"/>
        <v>95.4</v>
      </c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10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10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10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10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10"/>
      <c r="GZ165" s="9"/>
      <c r="HA165" s="9"/>
    </row>
    <row r="166" spans="1:209" s="2" customFormat="1" ht="17" customHeight="1">
      <c r="A166" s="14" t="s">
        <v>164</v>
      </c>
      <c r="B166" s="35">
        <v>0</v>
      </c>
      <c r="C166" s="35">
        <v>0</v>
      </c>
      <c r="D166" s="4">
        <f t="shared" si="35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234.7</v>
      </c>
      <c r="O166" s="35">
        <v>392.5</v>
      </c>
      <c r="P166" s="4">
        <f t="shared" si="36"/>
        <v>1.2472347677886664</v>
      </c>
      <c r="Q166" s="11">
        <v>20</v>
      </c>
      <c r="R166" s="35">
        <v>0</v>
      </c>
      <c r="S166" s="35">
        <v>0</v>
      </c>
      <c r="T166" s="4">
        <f t="shared" si="37"/>
        <v>1</v>
      </c>
      <c r="U166" s="11">
        <v>35</v>
      </c>
      <c r="V166" s="35">
        <v>0</v>
      </c>
      <c r="W166" s="35">
        <v>1.4</v>
      </c>
      <c r="X166" s="4">
        <f t="shared" si="38"/>
        <v>1</v>
      </c>
      <c r="Y166" s="11">
        <v>15</v>
      </c>
      <c r="Z166" s="11" t="s">
        <v>385</v>
      </c>
      <c r="AA166" s="11" t="s">
        <v>385</v>
      </c>
      <c r="AB166" s="11" t="s">
        <v>385</v>
      </c>
      <c r="AC166" s="11" t="s">
        <v>385</v>
      </c>
      <c r="AD166" s="11">
        <v>95</v>
      </c>
      <c r="AE166" s="11">
        <v>95</v>
      </c>
      <c r="AF166" s="4">
        <f t="shared" si="39"/>
        <v>1</v>
      </c>
      <c r="AG166" s="11">
        <v>20</v>
      </c>
      <c r="AH166" s="5" t="s">
        <v>362</v>
      </c>
      <c r="AI166" s="5" t="s">
        <v>362</v>
      </c>
      <c r="AJ166" s="5" t="s">
        <v>362</v>
      </c>
      <c r="AK166" s="5" t="s">
        <v>362</v>
      </c>
      <c r="AL166" s="5" t="s">
        <v>362</v>
      </c>
      <c r="AM166" s="5" t="s">
        <v>362</v>
      </c>
      <c r="AN166" s="5" t="s">
        <v>362</v>
      </c>
      <c r="AO166" s="5" t="s">
        <v>362</v>
      </c>
      <c r="AP166" s="44">
        <f t="shared" si="47"/>
        <v>1.0549410595085924</v>
      </c>
      <c r="AQ166" s="45">
        <v>1745</v>
      </c>
      <c r="AR166" s="35">
        <f t="shared" si="40"/>
        <v>475.90909090909088</v>
      </c>
      <c r="AS166" s="35">
        <f t="shared" si="41"/>
        <v>502.1</v>
      </c>
      <c r="AT166" s="35">
        <f t="shared" si="42"/>
        <v>26.190909090909145</v>
      </c>
      <c r="AU166" s="35">
        <v>144.6</v>
      </c>
      <c r="AV166" s="35">
        <v>163.9</v>
      </c>
      <c r="AW166" s="35">
        <f t="shared" si="43"/>
        <v>193.6</v>
      </c>
      <c r="AX166" s="35"/>
      <c r="AY166" s="35">
        <f t="shared" si="44"/>
        <v>193.6</v>
      </c>
      <c r="AZ166" s="35">
        <v>0</v>
      </c>
      <c r="BA166" s="35">
        <f t="shared" si="45"/>
        <v>193.6</v>
      </c>
      <c r="BB166" s="35"/>
      <c r="BC166" s="35">
        <f t="shared" si="46"/>
        <v>193.6</v>
      </c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10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10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10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10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10"/>
      <c r="GZ166" s="9"/>
      <c r="HA166" s="9"/>
    </row>
    <row r="167" spans="1:209" s="2" customFormat="1" ht="17" customHeight="1">
      <c r="A167" s="14" t="s">
        <v>99</v>
      </c>
      <c r="B167" s="35">
        <v>31360</v>
      </c>
      <c r="C167" s="35">
        <v>31096.400000000001</v>
      </c>
      <c r="D167" s="4">
        <f t="shared" si="35"/>
        <v>0.99159438775510211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250.2</v>
      </c>
      <c r="O167" s="35">
        <v>714.2</v>
      </c>
      <c r="P167" s="4">
        <f t="shared" si="36"/>
        <v>1.3</v>
      </c>
      <c r="Q167" s="11">
        <v>20</v>
      </c>
      <c r="R167" s="35">
        <v>0</v>
      </c>
      <c r="S167" s="35">
        <v>1.3</v>
      </c>
      <c r="T167" s="4">
        <f t="shared" si="37"/>
        <v>1</v>
      </c>
      <c r="U167" s="11">
        <v>25</v>
      </c>
      <c r="V167" s="35">
        <v>0</v>
      </c>
      <c r="W167" s="35">
        <v>0.7</v>
      </c>
      <c r="X167" s="4">
        <f t="shared" si="38"/>
        <v>1</v>
      </c>
      <c r="Y167" s="11">
        <v>25</v>
      </c>
      <c r="Z167" s="11" t="s">
        <v>385</v>
      </c>
      <c r="AA167" s="11" t="s">
        <v>385</v>
      </c>
      <c r="AB167" s="11" t="s">
        <v>385</v>
      </c>
      <c r="AC167" s="11" t="s">
        <v>385</v>
      </c>
      <c r="AD167" s="11">
        <v>115</v>
      </c>
      <c r="AE167" s="11">
        <v>115</v>
      </c>
      <c r="AF167" s="4">
        <f t="shared" si="39"/>
        <v>1</v>
      </c>
      <c r="AG167" s="11">
        <v>20</v>
      </c>
      <c r="AH167" s="5" t="s">
        <v>362</v>
      </c>
      <c r="AI167" s="5" t="s">
        <v>362</v>
      </c>
      <c r="AJ167" s="5" t="s">
        <v>362</v>
      </c>
      <c r="AK167" s="5" t="s">
        <v>362</v>
      </c>
      <c r="AL167" s="5" t="s">
        <v>362</v>
      </c>
      <c r="AM167" s="5" t="s">
        <v>362</v>
      </c>
      <c r="AN167" s="5" t="s">
        <v>362</v>
      </c>
      <c r="AO167" s="5" t="s">
        <v>362</v>
      </c>
      <c r="AP167" s="44">
        <f t="shared" si="47"/>
        <v>1.0591594387755103</v>
      </c>
      <c r="AQ167" s="45">
        <v>1630</v>
      </c>
      <c r="AR167" s="35">
        <f t="shared" si="40"/>
        <v>444.54545454545456</v>
      </c>
      <c r="AS167" s="35">
        <f t="shared" si="41"/>
        <v>470.8</v>
      </c>
      <c r="AT167" s="35">
        <f t="shared" si="42"/>
        <v>26.25454545454545</v>
      </c>
      <c r="AU167" s="35">
        <v>127.7</v>
      </c>
      <c r="AV167" s="35">
        <v>158.5</v>
      </c>
      <c r="AW167" s="35">
        <f t="shared" si="43"/>
        <v>184.6</v>
      </c>
      <c r="AX167" s="35"/>
      <c r="AY167" s="35">
        <f t="shared" si="44"/>
        <v>184.6</v>
      </c>
      <c r="AZ167" s="35">
        <v>0</v>
      </c>
      <c r="BA167" s="35">
        <f t="shared" si="45"/>
        <v>184.6</v>
      </c>
      <c r="BB167" s="35">
        <f>MIN(BA167,74.1)</f>
        <v>74.099999999999994</v>
      </c>
      <c r="BC167" s="35">
        <f t="shared" si="46"/>
        <v>110.5</v>
      </c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10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10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10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10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10"/>
      <c r="GZ167" s="9"/>
      <c r="HA167" s="9"/>
    </row>
    <row r="168" spans="1:209" s="2" customFormat="1" ht="17" customHeight="1">
      <c r="A168" s="14" t="s">
        <v>165</v>
      </c>
      <c r="B168" s="35">
        <v>607570</v>
      </c>
      <c r="C168" s="35">
        <v>782159</v>
      </c>
      <c r="D168" s="4">
        <f t="shared" si="35"/>
        <v>1.2087356189410272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568.9</v>
      </c>
      <c r="O168" s="35">
        <v>1016.8</v>
      </c>
      <c r="P168" s="4">
        <f t="shared" si="36"/>
        <v>1.2587308841624187</v>
      </c>
      <c r="Q168" s="11">
        <v>20</v>
      </c>
      <c r="R168" s="35">
        <v>591</v>
      </c>
      <c r="S168" s="35">
        <v>595.20000000000005</v>
      </c>
      <c r="T168" s="4">
        <f t="shared" si="37"/>
        <v>1.0071065989847716</v>
      </c>
      <c r="U168" s="11">
        <v>5</v>
      </c>
      <c r="V168" s="35">
        <v>6800</v>
      </c>
      <c r="W168" s="35">
        <v>10173.799999999999</v>
      </c>
      <c r="X168" s="4">
        <f t="shared" si="38"/>
        <v>1.2296147058823528</v>
      </c>
      <c r="Y168" s="11">
        <v>45</v>
      </c>
      <c r="Z168" s="11" t="s">
        <v>385</v>
      </c>
      <c r="AA168" s="11" t="s">
        <v>385</v>
      </c>
      <c r="AB168" s="11" t="s">
        <v>385</v>
      </c>
      <c r="AC168" s="11" t="s">
        <v>385</v>
      </c>
      <c r="AD168" s="11">
        <v>557</v>
      </c>
      <c r="AE168" s="11">
        <v>557</v>
      </c>
      <c r="AF168" s="4">
        <f t="shared" si="39"/>
        <v>1</v>
      </c>
      <c r="AG168" s="11">
        <v>20</v>
      </c>
      <c r="AH168" s="5" t="s">
        <v>362</v>
      </c>
      <c r="AI168" s="5" t="s">
        <v>362</v>
      </c>
      <c r="AJ168" s="5" t="s">
        <v>362</v>
      </c>
      <c r="AK168" s="5" t="s">
        <v>362</v>
      </c>
      <c r="AL168" s="5" t="s">
        <v>362</v>
      </c>
      <c r="AM168" s="5" t="s">
        <v>362</v>
      </c>
      <c r="AN168" s="5" t="s">
        <v>362</v>
      </c>
      <c r="AO168" s="5" t="s">
        <v>362</v>
      </c>
      <c r="AP168" s="44">
        <f t="shared" si="47"/>
        <v>1.1763016863228837</v>
      </c>
      <c r="AQ168" s="45">
        <v>1880</v>
      </c>
      <c r="AR168" s="35">
        <f t="shared" si="40"/>
        <v>512.72727272727275</v>
      </c>
      <c r="AS168" s="35">
        <f t="shared" si="41"/>
        <v>603.1</v>
      </c>
      <c r="AT168" s="35">
        <f t="shared" si="42"/>
        <v>90.372727272727275</v>
      </c>
      <c r="AU168" s="35">
        <v>211.1</v>
      </c>
      <c r="AV168" s="35">
        <v>201.4</v>
      </c>
      <c r="AW168" s="35">
        <f t="shared" si="43"/>
        <v>190.6</v>
      </c>
      <c r="AX168" s="35"/>
      <c r="AY168" s="35">
        <f t="shared" si="44"/>
        <v>190.6</v>
      </c>
      <c r="AZ168" s="35">
        <v>0</v>
      </c>
      <c r="BA168" s="35">
        <f t="shared" si="45"/>
        <v>190.6</v>
      </c>
      <c r="BB168" s="35">
        <f>MIN(BA168,85.5)</f>
        <v>85.5</v>
      </c>
      <c r="BC168" s="35">
        <f t="shared" si="46"/>
        <v>105.1</v>
      </c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10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10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10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10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10"/>
      <c r="GZ168" s="9"/>
      <c r="HA168" s="9"/>
    </row>
    <row r="169" spans="1:209" s="2" customFormat="1" ht="17" customHeight="1">
      <c r="A169" s="14" t="s">
        <v>166</v>
      </c>
      <c r="B169" s="35">
        <v>44460</v>
      </c>
      <c r="C169" s="35">
        <v>60349.9</v>
      </c>
      <c r="D169" s="4">
        <f t="shared" si="35"/>
        <v>1.2157397660818714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1055</v>
      </c>
      <c r="O169" s="35">
        <v>1164.9000000000001</v>
      </c>
      <c r="P169" s="4">
        <f t="shared" si="36"/>
        <v>1.1041706161137441</v>
      </c>
      <c r="Q169" s="11">
        <v>20</v>
      </c>
      <c r="R169" s="35">
        <v>160</v>
      </c>
      <c r="S169" s="35">
        <v>161.69999999999999</v>
      </c>
      <c r="T169" s="4">
        <f t="shared" si="37"/>
        <v>1.0106249999999999</v>
      </c>
      <c r="U169" s="11">
        <v>45</v>
      </c>
      <c r="V169" s="35">
        <v>0</v>
      </c>
      <c r="W169" s="35">
        <v>0</v>
      </c>
      <c r="X169" s="4">
        <f t="shared" si="38"/>
        <v>1</v>
      </c>
      <c r="Y169" s="11">
        <v>5</v>
      </c>
      <c r="Z169" s="11" t="s">
        <v>385</v>
      </c>
      <c r="AA169" s="11" t="s">
        <v>385</v>
      </c>
      <c r="AB169" s="11" t="s">
        <v>385</v>
      </c>
      <c r="AC169" s="11" t="s">
        <v>385</v>
      </c>
      <c r="AD169" s="11">
        <v>205</v>
      </c>
      <c r="AE169" s="11">
        <v>210</v>
      </c>
      <c r="AF169" s="4">
        <f t="shared" si="39"/>
        <v>1.024390243902439</v>
      </c>
      <c r="AG169" s="11">
        <v>20</v>
      </c>
      <c r="AH169" s="5" t="s">
        <v>362</v>
      </c>
      <c r="AI169" s="5" t="s">
        <v>362</v>
      </c>
      <c r="AJ169" s="5" t="s">
        <v>362</v>
      </c>
      <c r="AK169" s="5" t="s">
        <v>362</v>
      </c>
      <c r="AL169" s="5" t="s">
        <v>362</v>
      </c>
      <c r="AM169" s="5" t="s">
        <v>362</v>
      </c>
      <c r="AN169" s="5" t="s">
        <v>362</v>
      </c>
      <c r="AO169" s="5" t="s">
        <v>362</v>
      </c>
      <c r="AP169" s="44">
        <f t="shared" si="47"/>
        <v>1.0520673986114237</v>
      </c>
      <c r="AQ169" s="45">
        <v>3145</v>
      </c>
      <c r="AR169" s="35">
        <f t="shared" si="40"/>
        <v>857.72727272727275</v>
      </c>
      <c r="AS169" s="35">
        <f t="shared" si="41"/>
        <v>902.4</v>
      </c>
      <c r="AT169" s="35">
        <f t="shared" si="42"/>
        <v>44.672727272727229</v>
      </c>
      <c r="AU169" s="35">
        <v>314</v>
      </c>
      <c r="AV169" s="35">
        <v>284.89999999999998</v>
      </c>
      <c r="AW169" s="35">
        <f t="shared" si="43"/>
        <v>303.5</v>
      </c>
      <c r="AX169" s="35"/>
      <c r="AY169" s="35">
        <f t="shared" si="44"/>
        <v>303.5</v>
      </c>
      <c r="AZ169" s="35">
        <v>0</v>
      </c>
      <c r="BA169" s="35">
        <f t="shared" si="45"/>
        <v>303.5</v>
      </c>
      <c r="BB169" s="35">
        <f>MIN(BA169,107.6)</f>
        <v>107.6</v>
      </c>
      <c r="BC169" s="35">
        <f t="shared" si="46"/>
        <v>195.9</v>
      </c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10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10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10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10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10"/>
      <c r="GZ169" s="9"/>
      <c r="HA169" s="9"/>
    </row>
    <row r="170" spans="1:209" s="2" customFormat="1" ht="17" customHeight="1">
      <c r="A170" s="14" t="s">
        <v>167</v>
      </c>
      <c r="B170" s="35">
        <v>6490</v>
      </c>
      <c r="C170" s="35">
        <v>6503.8</v>
      </c>
      <c r="D170" s="4">
        <f t="shared" si="35"/>
        <v>1.0021263482280431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354.8</v>
      </c>
      <c r="O170" s="35">
        <v>375.7</v>
      </c>
      <c r="P170" s="4">
        <f t="shared" si="36"/>
        <v>1.0589064261555805</v>
      </c>
      <c r="Q170" s="11">
        <v>20</v>
      </c>
      <c r="R170" s="35">
        <v>0</v>
      </c>
      <c r="S170" s="35">
        <v>0</v>
      </c>
      <c r="T170" s="4">
        <f t="shared" si="37"/>
        <v>1</v>
      </c>
      <c r="U170" s="11">
        <v>45</v>
      </c>
      <c r="V170" s="35">
        <v>0</v>
      </c>
      <c r="W170" s="35">
        <v>0</v>
      </c>
      <c r="X170" s="4">
        <f t="shared" si="38"/>
        <v>1</v>
      </c>
      <c r="Y170" s="11">
        <v>5</v>
      </c>
      <c r="Z170" s="11" t="s">
        <v>385</v>
      </c>
      <c r="AA170" s="11" t="s">
        <v>385</v>
      </c>
      <c r="AB170" s="11" t="s">
        <v>385</v>
      </c>
      <c r="AC170" s="11" t="s">
        <v>385</v>
      </c>
      <c r="AD170" s="11">
        <v>67</v>
      </c>
      <c r="AE170" s="11">
        <v>67</v>
      </c>
      <c r="AF170" s="4">
        <f t="shared" si="39"/>
        <v>1</v>
      </c>
      <c r="AG170" s="11">
        <v>20</v>
      </c>
      <c r="AH170" s="5" t="s">
        <v>362</v>
      </c>
      <c r="AI170" s="5" t="s">
        <v>362</v>
      </c>
      <c r="AJ170" s="5" t="s">
        <v>362</v>
      </c>
      <c r="AK170" s="5" t="s">
        <v>362</v>
      </c>
      <c r="AL170" s="5" t="s">
        <v>362</v>
      </c>
      <c r="AM170" s="5" t="s">
        <v>362</v>
      </c>
      <c r="AN170" s="5" t="s">
        <v>362</v>
      </c>
      <c r="AO170" s="5" t="s">
        <v>362</v>
      </c>
      <c r="AP170" s="44">
        <f t="shared" si="47"/>
        <v>1.0119939200539205</v>
      </c>
      <c r="AQ170" s="45">
        <v>2089</v>
      </c>
      <c r="AR170" s="35">
        <f t="shared" si="40"/>
        <v>569.72727272727275</v>
      </c>
      <c r="AS170" s="35">
        <f t="shared" si="41"/>
        <v>576.6</v>
      </c>
      <c r="AT170" s="35">
        <f t="shared" si="42"/>
        <v>6.8727272727272748</v>
      </c>
      <c r="AU170" s="35">
        <v>200.7</v>
      </c>
      <c r="AV170" s="35">
        <v>180.4</v>
      </c>
      <c r="AW170" s="35">
        <f t="shared" si="43"/>
        <v>195.5</v>
      </c>
      <c r="AX170" s="35"/>
      <c r="AY170" s="35">
        <f t="shared" si="44"/>
        <v>195.5</v>
      </c>
      <c r="AZ170" s="35">
        <v>0</v>
      </c>
      <c r="BA170" s="35">
        <f t="shared" si="45"/>
        <v>195.5</v>
      </c>
      <c r="BB170" s="35"/>
      <c r="BC170" s="35">
        <f t="shared" si="46"/>
        <v>195.5</v>
      </c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10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10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10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10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10"/>
      <c r="GZ170" s="9"/>
      <c r="HA170" s="9"/>
    </row>
    <row r="171" spans="1:209" s="2" customFormat="1" ht="17" customHeight="1">
      <c r="A171" s="18" t="s">
        <v>168</v>
      </c>
      <c r="B171" s="6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35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10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10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10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10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10"/>
      <c r="GZ171" s="9"/>
      <c r="HA171" s="9"/>
    </row>
    <row r="172" spans="1:209" s="2" customFormat="1" ht="17" customHeight="1">
      <c r="A172" s="14" t="s">
        <v>169</v>
      </c>
      <c r="B172" s="35">
        <v>0</v>
      </c>
      <c r="C172" s="35">
        <v>0</v>
      </c>
      <c r="D172" s="4">
        <f t="shared" si="35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497.6</v>
      </c>
      <c r="O172" s="35">
        <v>381.2</v>
      </c>
      <c r="P172" s="4">
        <f t="shared" si="36"/>
        <v>0.76607717041800638</v>
      </c>
      <c r="Q172" s="11">
        <v>20</v>
      </c>
      <c r="R172" s="35">
        <v>302</v>
      </c>
      <c r="S172" s="35">
        <v>237.7</v>
      </c>
      <c r="T172" s="4">
        <f t="shared" si="37"/>
        <v>0.78708609271523178</v>
      </c>
      <c r="U172" s="11">
        <v>35</v>
      </c>
      <c r="V172" s="35">
        <v>4.2</v>
      </c>
      <c r="W172" s="35">
        <v>11.8</v>
      </c>
      <c r="X172" s="4">
        <f t="shared" si="38"/>
        <v>1.3</v>
      </c>
      <c r="Y172" s="11">
        <v>15</v>
      </c>
      <c r="Z172" s="11" t="s">
        <v>385</v>
      </c>
      <c r="AA172" s="11" t="s">
        <v>385</v>
      </c>
      <c r="AB172" s="11" t="s">
        <v>385</v>
      </c>
      <c r="AC172" s="11" t="s">
        <v>385</v>
      </c>
      <c r="AD172" s="11">
        <v>530</v>
      </c>
      <c r="AE172" s="11">
        <v>524</v>
      </c>
      <c r="AF172" s="4">
        <f t="shared" si="39"/>
        <v>0.98867924528301887</v>
      </c>
      <c r="AG172" s="11">
        <v>20</v>
      </c>
      <c r="AH172" s="5" t="s">
        <v>362</v>
      </c>
      <c r="AI172" s="5" t="s">
        <v>362</v>
      </c>
      <c r="AJ172" s="5" t="s">
        <v>362</v>
      </c>
      <c r="AK172" s="5" t="s">
        <v>362</v>
      </c>
      <c r="AL172" s="5" t="s">
        <v>362</v>
      </c>
      <c r="AM172" s="5" t="s">
        <v>362</v>
      </c>
      <c r="AN172" s="5" t="s">
        <v>362</v>
      </c>
      <c r="AO172" s="5" t="s">
        <v>362</v>
      </c>
      <c r="AP172" s="44">
        <f t="shared" si="47"/>
        <v>0.9127015728783735</v>
      </c>
      <c r="AQ172" s="45">
        <v>1189</v>
      </c>
      <c r="AR172" s="35">
        <f t="shared" si="40"/>
        <v>324.27272727272725</v>
      </c>
      <c r="AS172" s="35">
        <f t="shared" si="41"/>
        <v>296</v>
      </c>
      <c r="AT172" s="35">
        <f t="shared" si="42"/>
        <v>-28.272727272727252</v>
      </c>
      <c r="AU172" s="35">
        <v>114.9</v>
      </c>
      <c r="AV172" s="35">
        <v>65.900000000000006</v>
      </c>
      <c r="AW172" s="35">
        <f t="shared" si="43"/>
        <v>115.2</v>
      </c>
      <c r="AX172" s="35"/>
      <c r="AY172" s="35">
        <f t="shared" si="44"/>
        <v>115.2</v>
      </c>
      <c r="AZ172" s="35">
        <v>0</v>
      </c>
      <c r="BA172" s="35">
        <f t="shared" si="45"/>
        <v>115.2</v>
      </c>
      <c r="BB172" s="35">
        <f>MIN(BA172,54)</f>
        <v>54</v>
      </c>
      <c r="BC172" s="35">
        <f t="shared" si="46"/>
        <v>61.2</v>
      </c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10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10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10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10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10"/>
      <c r="GZ172" s="9"/>
      <c r="HA172" s="9"/>
    </row>
    <row r="173" spans="1:209" s="2" customFormat="1" ht="17" customHeight="1">
      <c r="A173" s="14" t="s">
        <v>170</v>
      </c>
      <c r="B173" s="35">
        <v>64810</v>
      </c>
      <c r="C173" s="35">
        <v>65050.7</v>
      </c>
      <c r="D173" s="4">
        <f t="shared" si="35"/>
        <v>1.0037139330350253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3145.7</v>
      </c>
      <c r="O173" s="35">
        <v>2092</v>
      </c>
      <c r="P173" s="4">
        <f t="shared" si="36"/>
        <v>0.66503480942238613</v>
      </c>
      <c r="Q173" s="11">
        <v>20</v>
      </c>
      <c r="R173" s="35">
        <v>160.69999999999999</v>
      </c>
      <c r="S173" s="35">
        <v>202</v>
      </c>
      <c r="T173" s="4">
        <f t="shared" si="37"/>
        <v>1.2057000622277536</v>
      </c>
      <c r="U173" s="11">
        <v>25</v>
      </c>
      <c r="V173" s="35">
        <v>7.2</v>
      </c>
      <c r="W173" s="35">
        <v>7.6</v>
      </c>
      <c r="X173" s="4">
        <f t="shared" si="38"/>
        <v>1.0555555555555556</v>
      </c>
      <c r="Y173" s="11">
        <v>25</v>
      </c>
      <c r="Z173" s="11" t="s">
        <v>385</v>
      </c>
      <c r="AA173" s="11" t="s">
        <v>385</v>
      </c>
      <c r="AB173" s="11" t="s">
        <v>385</v>
      </c>
      <c r="AC173" s="11" t="s">
        <v>385</v>
      </c>
      <c r="AD173" s="11">
        <v>416</v>
      </c>
      <c r="AE173" s="11">
        <v>355</v>
      </c>
      <c r="AF173" s="4">
        <f t="shared" si="39"/>
        <v>0.85336538461538458</v>
      </c>
      <c r="AG173" s="11">
        <v>20</v>
      </c>
      <c r="AH173" s="5" t="s">
        <v>362</v>
      </c>
      <c r="AI173" s="5" t="s">
        <v>362</v>
      </c>
      <c r="AJ173" s="5" t="s">
        <v>362</v>
      </c>
      <c r="AK173" s="5" t="s">
        <v>362</v>
      </c>
      <c r="AL173" s="5" t="s">
        <v>362</v>
      </c>
      <c r="AM173" s="5" t="s">
        <v>362</v>
      </c>
      <c r="AN173" s="5" t="s">
        <v>362</v>
      </c>
      <c r="AO173" s="5" t="s">
        <v>362</v>
      </c>
      <c r="AP173" s="44">
        <f t="shared" si="47"/>
        <v>0.96936533655688395</v>
      </c>
      <c r="AQ173" s="45">
        <v>2139</v>
      </c>
      <c r="AR173" s="35">
        <f t="shared" si="40"/>
        <v>583.36363636363637</v>
      </c>
      <c r="AS173" s="35">
        <f t="shared" si="41"/>
        <v>565.5</v>
      </c>
      <c r="AT173" s="35">
        <f t="shared" si="42"/>
        <v>-17.863636363636374</v>
      </c>
      <c r="AU173" s="35">
        <v>216.7</v>
      </c>
      <c r="AV173" s="35">
        <v>210.3</v>
      </c>
      <c r="AW173" s="35">
        <f t="shared" si="43"/>
        <v>138.5</v>
      </c>
      <c r="AX173" s="35"/>
      <c r="AY173" s="35">
        <f t="shared" si="44"/>
        <v>138.5</v>
      </c>
      <c r="AZ173" s="35">
        <v>0</v>
      </c>
      <c r="BA173" s="35">
        <f t="shared" si="45"/>
        <v>138.5</v>
      </c>
      <c r="BB173" s="35">
        <f>MIN(BA173,21.2)</f>
        <v>21.2</v>
      </c>
      <c r="BC173" s="35">
        <f t="shared" si="46"/>
        <v>117.3</v>
      </c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10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10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10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10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10"/>
      <c r="GZ173" s="9"/>
      <c r="HA173" s="9"/>
    </row>
    <row r="174" spans="1:209" s="2" customFormat="1" ht="17" customHeight="1">
      <c r="A174" s="14" t="s">
        <v>171</v>
      </c>
      <c r="B174" s="35">
        <v>0</v>
      </c>
      <c r="C174" s="35">
        <v>0</v>
      </c>
      <c r="D174" s="4">
        <f t="shared" si="35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234.5</v>
      </c>
      <c r="O174" s="35">
        <v>146.5</v>
      </c>
      <c r="P174" s="4">
        <f t="shared" si="36"/>
        <v>0.62473347547974412</v>
      </c>
      <c r="Q174" s="11">
        <v>20</v>
      </c>
      <c r="R174" s="35">
        <v>0</v>
      </c>
      <c r="S174" s="35">
        <v>0</v>
      </c>
      <c r="T174" s="4">
        <f t="shared" si="37"/>
        <v>1</v>
      </c>
      <c r="U174" s="11">
        <v>20</v>
      </c>
      <c r="V174" s="35">
        <v>0.8</v>
      </c>
      <c r="W174" s="35">
        <v>0.8</v>
      </c>
      <c r="X174" s="4">
        <f t="shared" si="38"/>
        <v>1</v>
      </c>
      <c r="Y174" s="11">
        <v>30</v>
      </c>
      <c r="Z174" s="11" t="s">
        <v>385</v>
      </c>
      <c r="AA174" s="11" t="s">
        <v>385</v>
      </c>
      <c r="AB174" s="11" t="s">
        <v>385</v>
      </c>
      <c r="AC174" s="11" t="s">
        <v>385</v>
      </c>
      <c r="AD174" s="11">
        <v>115</v>
      </c>
      <c r="AE174" s="11">
        <v>111</v>
      </c>
      <c r="AF174" s="4">
        <f t="shared" si="39"/>
        <v>0.9652173913043478</v>
      </c>
      <c r="AG174" s="11">
        <v>20</v>
      </c>
      <c r="AH174" s="5" t="s">
        <v>362</v>
      </c>
      <c r="AI174" s="5" t="s">
        <v>362</v>
      </c>
      <c r="AJ174" s="5" t="s">
        <v>362</v>
      </c>
      <c r="AK174" s="5" t="s">
        <v>362</v>
      </c>
      <c r="AL174" s="5" t="s">
        <v>362</v>
      </c>
      <c r="AM174" s="5" t="s">
        <v>362</v>
      </c>
      <c r="AN174" s="5" t="s">
        <v>362</v>
      </c>
      <c r="AO174" s="5" t="s">
        <v>362</v>
      </c>
      <c r="AP174" s="44">
        <f t="shared" si="47"/>
        <v>0.9088779703964649</v>
      </c>
      <c r="AQ174" s="45">
        <v>1083</v>
      </c>
      <c r="AR174" s="35">
        <f t="shared" si="40"/>
        <v>295.36363636363637</v>
      </c>
      <c r="AS174" s="35">
        <f t="shared" si="41"/>
        <v>268.39999999999998</v>
      </c>
      <c r="AT174" s="35">
        <f t="shared" si="42"/>
        <v>-26.963636363636397</v>
      </c>
      <c r="AU174" s="35">
        <v>116.6</v>
      </c>
      <c r="AV174" s="35">
        <v>83.7</v>
      </c>
      <c r="AW174" s="35">
        <f t="shared" si="43"/>
        <v>68.099999999999994</v>
      </c>
      <c r="AX174" s="35"/>
      <c r="AY174" s="35">
        <f t="shared" si="44"/>
        <v>68.099999999999994</v>
      </c>
      <c r="AZ174" s="35">
        <v>0</v>
      </c>
      <c r="BA174" s="35">
        <f t="shared" si="45"/>
        <v>68.099999999999994</v>
      </c>
      <c r="BB174" s="35">
        <f>MIN(BA174,49.2)</f>
        <v>49.2</v>
      </c>
      <c r="BC174" s="35">
        <f t="shared" si="46"/>
        <v>18.899999999999999</v>
      </c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10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10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10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10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10"/>
      <c r="GZ174" s="9"/>
      <c r="HA174" s="9"/>
    </row>
    <row r="175" spans="1:209" s="2" customFormat="1" ht="17" customHeight="1">
      <c r="A175" s="14" t="s">
        <v>172</v>
      </c>
      <c r="B175" s="35">
        <v>0</v>
      </c>
      <c r="C175" s="35">
        <v>0</v>
      </c>
      <c r="D175" s="4">
        <f t="shared" ref="D175:D237" si="48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198.7</v>
      </c>
      <c r="O175" s="35">
        <v>102.5</v>
      </c>
      <c r="P175" s="4">
        <f t="shared" ref="P175:P237" si="49">IF(Q175=0,0,IF(N175=0,1,IF(O175&lt;0,0,IF(O175/N175&gt;1.2,IF((O175/N175-1.2)*0.1+1.2&gt;1.3,1.3,(O175/N175-1.2)*0.1+1.2),O175/N175))))</f>
        <v>0.51585304479114247</v>
      </c>
      <c r="Q175" s="11">
        <v>20</v>
      </c>
      <c r="R175" s="35">
        <v>108</v>
      </c>
      <c r="S175" s="35">
        <v>67.2</v>
      </c>
      <c r="T175" s="4">
        <f t="shared" ref="T175:T237" si="50">IF(U175=0,0,IF(R175=0,1,IF(S175&lt;0,0,IF(S175/R175&gt;1.2,IF((S175/R175-1.2)*0.1+1.2&gt;1.3,1.3,(S175/R175-1.2)*0.1+1.2),S175/R175))))</f>
        <v>0.62222222222222223</v>
      </c>
      <c r="U175" s="11">
        <v>35</v>
      </c>
      <c r="V175" s="35">
        <v>2</v>
      </c>
      <c r="W175" s="35">
        <v>1.9</v>
      </c>
      <c r="X175" s="4">
        <f t="shared" ref="X175:X237" si="51">IF(Y175=0,0,IF(V175=0,1,IF(W175&lt;0,0,IF(W175/V175&gt;1.2,IF((W175/V175-1.2)*0.1+1.2&gt;1.3,1.3,(W175/V175-1.2)*0.1+1.2),W175/V175))))</f>
        <v>0.95</v>
      </c>
      <c r="Y175" s="11">
        <v>15</v>
      </c>
      <c r="Z175" s="11" t="s">
        <v>385</v>
      </c>
      <c r="AA175" s="11" t="s">
        <v>385</v>
      </c>
      <c r="AB175" s="11" t="s">
        <v>385</v>
      </c>
      <c r="AC175" s="11" t="s">
        <v>385</v>
      </c>
      <c r="AD175" s="11">
        <v>228</v>
      </c>
      <c r="AE175" s="11">
        <v>278</v>
      </c>
      <c r="AF175" s="4">
        <f t="shared" ref="AF175:AF237" si="52">IF(AG175=0,0,IF(AD175=0,1,IF(AE175&lt;0,0,IF(AE175/AD175&gt;1.2,IF((AE175/AD175-1.2)*0.1+1.2&gt;1.3,1.3,(AE175/AD175-1.2)*0.1+1.2),AE175/AD175))))</f>
        <v>1.2019298245614034</v>
      </c>
      <c r="AG175" s="11">
        <v>20</v>
      </c>
      <c r="AH175" s="5" t="s">
        <v>362</v>
      </c>
      <c r="AI175" s="5" t="s">
        <v>362</v>
      </c>
      <c r="AJ175" s="5" t="s">
        <v>362</v>
      </c>
      <c r="AK175" s="5" t="s">
        <v>362</v>
      </c>
      <c r="AL175" s="5" t="s">
        <v>362</v>
      </c>
      <c r="AM175" s="5" t="s">
        <v>362</v>
      </c>
      <c r="AN175" s="5" t="s">
        <v>362</v>
      </c>
      <c r="AO175" s="5" t="s">
        <v>362</v>
      </c>
      <c r="AP175" s="44">
        <f t="shared" si="47"/>
        <v>0.7820381684980966</v>
      </c>
      <c r="AQ175" s="45">
        <v>587</v>
      </c>
      <c r="AR175" s="35">
        <f t="shared" ref="AR175:AR237" si="53">AQ175/11*3</f>
        <v>160.09090909090909</v>
      </c>
      <c r="AS175" s="35">
        <f t="shared" ref="AS175:AS237" si="54">ROUND(AP175*AR175,1)</f>
        <v>125.2</v>
      </c>
      <c r="AT175" s="35">
        <f t="shared" ref="AT175:AT237" si="55">AS175-AR175</f>
        <v>-34.890909090909091</v>
      </c>
      <c r="AU175" s="35">
        <v>37.4</v>
      </c>
      <c r="AV175" s="35">
        <v>45.8</v>
      </c>
      <c r="AW175" s="35">
        <f t="shared" ref="AW175:AW237" si="56">ROUND(AS175-SUM(AU175:AV175),1)</f>
        <v>42</v>
      </c>
      <c r="AX175" s="35"/>
      <c r="AY175" s="35">
        <f t="shared" ref="AY175:AY237" si="57">IF(OR(AW175&lt;0,AX175="+"),0,AW175)</f>
        <v>42</v>
      </c>
      <c r="AZ175" s="35">
        <v>0</v>
      </c>
      <c r="BA175" s="35">
        <f t="shared" ref="BA175:BA237" si="58">AY175+AZ175</f>
        <v>42</v>
      </c>
      <c r="BB175" s="35">
        <f>MIN(BA175,26.7)</f>
        <v>26.7</v>
      </c>
      <c r="BC175" s="35">
        <f t="shared" ref="BC175:BC237" si="59">IF((BA175-BB175)&gt;0,ROUND(BA175-BB175,1),0)</f>
        <v>15.3</v>
      </c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10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10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10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10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10"/>
      <c r="GZ175" s="9"/>
      <c r="HA175" s="9"/>
    </row>
    <row r="176" spans="1:209" s="2" customFormat="1" ht="17" customHeight="1">
      <c r="A176" s="14" t="s">
        <v>173</v>
      </c>
      <c r="B176" s="35">
        <v>0</v>
      </c>
      <c r="C176" s="35">
        <v>0</v>
      </c>
      <c r="D176" s="4">
        <f t="shared" si="48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451</v>
      </c>
      <c r="O176" s="35">
        <v>301.5</v>
      </c>
      <c r="P176" s="4">
        <f t="shared" si="49"/>
        <v>0.66851441241685139</v>
      </c>
      <c r="Q176" s="11">
        <v>20</v>
      </c>
      <c r="R176" s="35">
        <v>0</v>
      </c>
      <c r="S176" s="35">
        <v>0</v>
      </c>
      <c r="T176" s="4">
        <f t="shared" si="50"/>
        <v>1</v>
      </c>
      <c r="U176" s="11">
        <v>20</v>
      </c>
      <c r="V176" s="35">
        <v>1.2</v>
      </c>
      <c r="W176" s="35">
        <v>1.3</v>
      </c>
      <c r="X176" s="4">
        <f t="shared" si="51"/>
        <v>1.0833333333333335</v>
      </c>
      <c r="Y176" s="11">
        <v>30</v>
      </c>
      <c r="Z176" s="11" t="s">
        <v>385</v>
      </c>
      <c r="AA176" s="11" t="s">
        <v>385</v>
      </c>
      <c r="AB176" s="11" t="s">
        <v>385</v>
      </c>
      <c r="AC176" s="11" t="s">
        <v>385</v>
      </c>
      <c r="AD176" s="11">
        <v>70</v>
      </c>
      <c r="AE176" s="11">
        <v>69</v>
      </c>
      <c r="AF176" s="4">
        <f t="shared" si="52"/>
        <v>0.98571428571428577</v>
      </c>
      <c r="AG176" s="11">
        <v>20</v>
      </c>
      <c r="AH176" s="5" t="s">
        <v>362</v>
      </c>
      <c r="AI176" s="5" t="s">
        <v>362</v>
      </c>
      <c r="AJ176" s="5" t="s">
        <v>362</v>
      </c>
      <c r="AK176" s="5" t="s">
        <v>362</v>
      </c>
      <c r="AL176" s="5" t="s">
        <v>362</v>
      </c>
      <c r="AM176" s="5" t="s">
        <v>362</v>
      </c>
      <c r="AN176" s="5" t="s">
        <v>362</v>
      </c>
      <c r="AO176" s="5" t="s">
        <v>362</v>
      </c>
      <c r="AP176" s="44">
        <f t="shared" ref="AP176:AP239" si="60">(D176*E176+P176*Q176+T176*U176+X176*Y176+AF176*AG176)/(E176+Q176+U176+Y176+AG176)</f>
        <v>0.9509397106958084</v>
      </c>
      <c r="AQ176" s="45">
        <v>687</v>
      </c>
      <c r="AR176" s="35">
        <f t="shared" si="53"/>
        <v>187.36363636363637</v>
      </c>
      <c r="AS176" s="35">
        <f t="shared" si="54"/>
        <v>178.2</v>
      </c>
      <c r="AT176" s="35">
        <f t="shared" si="55"/>
        <v>-9.1636363636363853</v>
      </c>
      <c r="AU176" s="35">
        <v>62.4</v>
      </c>
      <c r="AV176" s="35">
        <v>26.8</v>
      </c>
      <c r="AW176" s="35">
        <f t="shared" si="56"/>
        <v>89</v>
      </c>
      <c r="AX176" s="35"/>
      <c r="AY176" s="35">
        <f t="shared" si="57"/>
        <v>89</v>
      </c>
      <c r="AZ176" s="35">
        <v>0</v>
      </c>
      <c r="BA176" s="35">
        <f t="shared" si="58"/>
        <v>89</v>
      </c>
      <c r="BB176" s="35">
        <f>MIN(BA176,30.4)</f>
        <v>30.4</v>
      </c>
      <c r="BC176" s="35">
        <f t="shared" si="59"/>
        <v>58.6</v>
      </c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10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10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10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10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10"/>
      <c r="GZ176" s="9"/>
      <c r="HA176" s="9"/>
    </row>
    <row r="177" spans="1:209" s="2" customFormat="1" ht="17" customHeight="1">
      <c r="A177" s="14" t="s">
        <v>174</v>
      </c>
      <c r="B177" s="35">
        <v>0</v>
      </c>
      <c r="C177" s="35">
        <v>0</v>
      </c>
      <c r="D177" s="4">
        <f t="shared" si="48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750.6</v>
      </c>
      <c r="O177" s="35">
        <v>263.89999999999998</v>
      </c>
      <c r="P177" s="4">
        <f t="shared" si="49"/>
        <v>0.35158539834798824</v>
      </c>
      <c r="Q177" s="11">
        <v>20</v>
      </c>
      <c r="R177" s="35">
        <v>43.5</v>
      </c>
      <c r="S177" s="35">
        <v>79.900000000000006</v>
      </c>
      <c r="T177" s="4">
        <f t="shared" si="50"/>
        <v>1.2636781609195402</v>
      </c>
      <c r="U177" s="11">
        <v>20</v>
      </c>
      <c r="V177" s="35">
        <v>16.5</v>
      </c>
      <c r="W177" s="35">
        <v>10.3</v>
      </c>
      <c r="X177" s="4">
        <f t="shared" si="51"/>
        <v>0.62424242424242427</v>
      </c>
      <c r="Y177" s="11">
        <v>30</v>
      </c>
      <c r="Z177" s="11" t="s">
        <v>385</v>
      </c>
      <c r="AA177" s="11" t="s">
        <v>385</v>
      </c>
      <c r="AB177" s="11" t="s">
        <v>385</v>
      </c>
      <c r="AC177" s="11" t="s">
        <v>385</v>
      </c>
      <c r="AD177" s="11">
        <v>272</v>
      </c>
      <c r="AE177" s="11">
        <v>272</v>
      </c>
      <c r="AF177" s="4">
        <f t="shared" si="52"/>
        <v>1</v>
      </c>
      <c r="AG177" s="11">
        <v>20</v>
      </c>
      <c r="AH177" s="5" t="s">
        <v>362</v>
      </c>
      <c r="AI177" s="5" t="s">
        <v>362</v>
      </c>
      <c r="AJ177" s="5" t="s">
        <v>362</v>
      </c>
      <c r="AK177" s="5" t="s">
        <v>362</v>
      </c>
      <c r="AL177" s="5" t="s">
        <v>362</v>
      </c>
      <c r="AM177" s="5" t="s">
        <v>362</v>
      </c>
      <c r="AN177" s="5" t="s">
        <v>362</v>
      </c>
      <c r="AO177" s="5" t="s">
        <v>362</v>
      </c>
      <c r="AP177" s="44">
        <f t="shared" si="60"/>
        <v>0.78925048791803665</v>
      </c>
      <c r="AQ177" s="45">
        <v>1394</v>
      </c>
      <c r="AR177" s="35">
        <f t="shared" si="53"/>
        <v>380.18181818181819</v>
      </c>
      <c r="AS177" s="35">
        <f t="shared" si="54"/>
        <v>300.10000000000002</v>
      </c>
      <c r="AT177" s="35">
        <f t="shared" si="55"/>
        <v>-80.081818181818164</v>
      </c>
      <c r="AU177" s="35">
        <v>83.4</v>
      </c>
      <c r="AV177" s="35">
        <v>89.1</v>
      </c>
      <c r="AW177" s="35">
        <f t="shared" si="56"/>
        <v>127.6</v>
      </c>
      <c r="AX177" s="35"/>
      <c r="AY177" s="35">
        <f t="shared" si="57"/>
        <v>127.6</v>
      </c>
      <c r="AZ177" s="35">
        <v>0</v>
      </c>
      <c r="BA177" s="35">
        <f t="shared" si="58"/>
        <v>127.6</v>
      </c>
      <c r="BB177" s="35"/>
      <c r="BC177" s="35">
        <f t="shared" si="59"/>
        <v>127.6</v>
      </c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10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10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10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10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10"/>
      <c r="GZ177" s="9"/>
      <c r="HA177" s="9"/>
    </row>
    <row r="178" spans="1:209" s="2" customFormat="1" ht="17" customHeight="1">
      <c r="A178" s="18" t="s">
        <v>175</v>
      </c>
      <c r="B178" s="6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35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10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10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10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10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10"/>
      <c r="GZ178" s="9"/>
      <c r="HA178" s="9"/>
    </row>
    <row r="179" spans="1:209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48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48.1</v>
      </c>
      <c r="O179" s="35">
        <v>28.7</v>
      </c>
      <c r="P179" s="4">
        <f t="shared" si="49"/>
        <v>0.59667359667359665</v>
      </c>
      <c r="Q179" s="11">
        <v>20</v>
      </c>
      <c r="R179" s="35">
        <v>36</v>
      </c>
      <c r="S179" s="35">
        <v>43.8</v>
      </c>
      <c r="T179" s="4">
        <f t="shared" si="50"/>
        <v>1.2016666666666667</v>
      </c>
      <c r="U179" s="11">
        <v>25</v>
      </c>
      <c r="V179" s="35">
        <v>2</v>
      </c>
      <c r="W179" s="35">
        <v>2.1</v>
      </c>
      <c r="X179" s="4">
        <f t="shared" si="51"/>
        <v>1.05</v>
      </c>
      <c r="Y179" s="11">
        <v>25</v>
      </c>
      <c r="Z179" s="11" t="s">
        <v>385</v>
      </c>
      <c r="AA179" s="11" t="s">
        <v>385</v>
      </c>
      <c r="AB179" s="11" t="s">
        <v>385</v>
      </c>
      <c r="AC179" s="11" t="s">
        <v>385</v>
      </c>
      <c r="AD179" s="11">
        <v>145</v>
      </c>
      <c r="AE179" s="11">
        <v>157</v>
      </c>
      <c r="AF179" s="4">
        <f t="shared" si="52"/>
        <v>1.0827586206896551</v>
      </c>
      <c r="AG179" s="11">
        <v>20</v>
      </c>
      <c r="AH179" s="5" t="s">
        <v>362</v>
      </c>
      <c r="AI179" s="5" t="s">
        <v>362</v>
      </c>
      <c r="AJ179" s="5" t="s">
        <v>362</v>
      </c>
      <c r="AK179" s="5" t="s">
        <v>362</v>
      </c>
      <c r="AL179" s="5" t="s">
        <v>362</v>
      </c>
      <c r="AM179" s="5" t="s">
        <v>362</v>
      </c>
      <c r="AN179" s="5" t="s">
        <v>362</v>
      </c>
      <c r="AO179" s="5" t="s">
        <v>362</v>
      </c>
      <c r="AP179" s="44">
        <f t="shared" si="60"/>
        <v>0.99867012237701891</v>
      </c>
      <c r="AQ179" s="45">
        <v>1045</v>
      </c>
      <c r="AR179" s="35">
        <f t="shared" si="53"/>
        <v>285</v>
      </c>
      <c r="AS179" s="35">
        <f t="shared" si="54"/>
        <v>284.60000000000002</v>
      </c>
      <c r="AT179" s="35">
        <f t="shared" si="55"/>
        <v>-0.39999999999997726</v>
      </c>
      <c r="AU179" s="35">
        <v>100.6</v>
      </c>
      <c r="AV179" s="35">
        <v>86</v>
      </c>
      <c r="AW179" s="35">
        <f t="shared" si="56"/>
        <v>98</v>
      </c>
      <c r="AX179" s="35"/>
      <c r="AY179" s="35">
        <f t="shared" si="57"/>
        <v>98</v>
      </c>
      <c r="AZ179" s="35">
        <v>0</v>
      </c>
      <c r="BA179" s="35">
        <f t="shared" si="58"/>
        <v>98</v>
      </c>
      <c r="BB179" s="35">
        <f>MIN(BA179,14)</f>
        <v>14</v>
      </c>
      <c r="BC179" s="35">
        <f t="shared" si="59"/>
        <v>84</v>
      </c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10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10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10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10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10"/>
      <c r="GZ179" s="9"/>
      <c r="HA179" s="9"/>
    </row>
    <row r="180" spans="1:209" s="2" customFormat="1" ht="17" customHeight="1">
      <c r="A180" s="14" t="s">
        <v>177</v>
      </c>
      <c r="B180" s="35">
        <v>0</v>
      </c>
      <c r="C180" s="35">
        <v>0</v>
      </c>
      <c r="D180" s="4">
        <f t="shared" si="48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529.79999999999995</v>
      </c>
      <c r="O180" s="35">
        <v>189.7</v>
      </c>
      <c r="P180" s="4">
        <f t="shared" si="49"/>
        <v>0.35805964514911287</v>
      </c>
      <c r="Q180" s="11">
        <v>20</v>
      </c>
      <c r="R180" s="35">
        <v>18</v>
      </c>
      <c r="S180" s="35">
        <v>18.2</v>
      </c>
      <c r="T180" s="4">
        <f t="shared" si="50"/>
        <v>1.0111111111111111</v>
      </c>
      <c r="U180" s="11">
        <v>20</v>
      </c>
      <c r="V180" s="35">
        <v>4</v>
      </c>
      <c r="W180" s="35">
        <v>4.2</v>
      </c>
      <c r="X180" s="4">
        <f t="shared" si="51"/>
        <v>1.05</v>
      </c>
      <c r="Y180" s="11">
        <v>30</v>
      </c>
      <c r="Z180" s="11" t="s">
        <v>385</v>
      </c>
      <c r="AA180" s="11" t="s">
        <v>385</v>
      </c>
      <c r="AB180" s="11" t="s">
        <v>385</v>
      </c>
      <c r="AC180" s="11" t="s">
        <v>385</v>
      </c>
      <c r="AD180" s="11">
        <v>105</v>
      </c>
      <c r="AE180" s="11">
        <v>127</v>
      </c>
      <c r="AF180" s="4">
        <f t="shared" si="52"/>
        <v>1.200952380952381</v>
      </c>
      <c r="AG180" s="11">
        <v>20</v>
      </c>
      <c r="AH180" s="5" t="s">
        <v>362</v>
      </c>
      <c r="AI180" s="5" t="s">
        <v>362</v>
      </c>
      <c r="AJ180" s="5" t="s">
        <v>362</v>
      </c>
      <c r="AK180" s="5" t="s">
        <v>362</v>
      </c>
      <c r="AL180" s="5" t="s">
        <v>362</v>
      </c>
      <c r="AM180" s="5" t="s">
        <v>362</v>
      </c>
      <c r="AN180" s="5" t="s">
        <v>362</v>
      </c>
      <c r="AO180" s="5" t="s">
        <v>362</v>
      </c>
      <c r="AP180" s="44">
        <f t="shared" si="60"/>
        <v>0.92113847493613432</v>
      </c>
      <c r="AQ180" s="45">
        <v>900</v>
      </c>
      <c r="AR180" s="35">
        <f t="shared" si="53"/>
        <v>245.45454545454544</v>
      </c>
      <c r="AS180" s="35">
        <f t="shared" si="54"/>
        <v>226.1</v>
      </c>
      <c r="AT180" s="35">
        <f t="shared" si="55"/>
        <v>-19.354545454545445</v>
      </c>
      <c r="AU180" s="35">
        <v>65.8</v>
      </c>
      <c r="AV180" s="35">
        <v>72.099999999999994</v>
      </c>
      <c r="AW180" s="35">
        <f t="shared" si="56"/>
        <v>88.2</v>
      </c>
      <c r="AX180" s="35"/>
      <c r="AY180" s="35">
        <f t="shared" si="57"/>
        <v>88.2</v>
      </c>
      <c r="AZ180" s="35">
        <v>0</v>
      </c>
      <c r="BA180" s="35">
        <f t="shared" si="58"/>
        <v>88.2</v>
      </c>
      <c r="BB180" s="35"/>
      <c r="BC180" s="35">
        <f t="shared" si="59"/>
        <v>88.2</v>
      </c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10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10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10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10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10"/>
      <c r="GZ180" s="9"/>
      <c r="HA180" s="9"/>
    </row>
    <row r="181" spans="1:209" s="2" customFormat="1" ht="17" customHeight="1">
      <c r="A181" s="14" t="s">
        <v>178</v>
      </c>
      <c r="B181" s="35">
        <v>0</v>
      </c>
      <c r="C181" s="35">
        <v>0</v>
      </c>
      <c r="D181" s="4">
        <f t="shared" si="48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207.1</v>
      </c>
      <c r="O181" s="35">
        <v>89.2</v>
      </c>
      <c r="P181" s="4">
        <f t="shared" si="49"/>
        <v>0.43070980202800579</v>
      </c>
      <c r="Q181" s="11">
        <v>20</v>
      </c>
      <c r="R181" s="35">
        <v>105</v>
      </c>
      <c r="S181" s="35">
        <v>120.1</v>
      </c>
      <c r="T181" s="4">
        <f t="shared" si="50"/>
        <v>1.1438095238095238</v>
      </c>
      <c r="U181" s="11">
        <v>30</v>
      </c>
      <c r="V181" s="35">
        <v>5</v>
      </c>
      <c r="W181" s="35">
        <v>5.6</v>
      </c>
      <c r="X181" s="4">
        <f t="shared" si="51"/>
        <v>1.1199999999999999</v>
      </c>
      <c r="Y181" s="11">
        <v>20</v>
      </c>
      <c r="Z181" s="11" t="s">
        <v>385</v>
      </c>
      <c r="AA181" s="11" t="s">
        <v>385</v>
      </c>
      <c r="AB181" s="11" t="s">
        <v>385</v>
      </c>
      <c r="AC181" s="11" t="s">
        <v>385</v>
      </c>
      <c r="AD181" s="11">
        <v>432</v>
      </c>
      <c r="AE181" s="11">
        <v>439</v>
      </c>
      <c r="AF181" s="4">
        <f t="shared" si="52"/>
        <v>1.0162037037037037</v>
      </c>
      <c r="AG181" s="11">
        <v>20</v>
      </c>
      <c r="AH181" s="5" t="s">
        <v>362</v>
      </c>
      <c r="AI181" s="5" t="s">
        <v>362</v>
      </c>
      <c r="AJ181" s="5" t="s">
        <v>362</v>
      </c>
      <c r="AK181" s="5" t="s">
        <v>362</v>
      </c>
      <c r="AL181" s="5" t="s">
        <v>362</v>
      </c>
      <c r="AM181" s="5" t="s">
        <v>362</v>
      </c>
      <c r="AN181" s="5" t="s">
        <v>362</v>
      </c>
      <c r="AO181" s="5" t="s">
        <v>362</v>
      </c>
      <c r="AP181" s="44">
        <f t="shared" si="60"/>
        <v>0.9516950647657767</v>
      </c>
      <c r="AQ181" s="45">
        <v>1698</v>
      </c>
      <c r="AR181" s="35">
        <f t="shared" si="53"/>
        <v>463.09090909090912</v>
      </c>
      <c r="AS181" s="35">
        <f t="shared" si="54"/>
        <v>440.7</v>
      </c>
      <c r="AT181" s="35">
        <f t="shared" si="55"/>
        <v>-22.390909090909133</v>
      </c>
      <c r="AU181" s="35">
        <v>124.3</v>
      </c>
      <c r="AV181" s="35">
        <v>152.80000000000001</v>
      </c>
      <c r="AW181" s="35">
        <f t="shared" si="56"/>
        <v>163.6</v>
      </c>
      <c r="AX181" s="35"/>
      <c r="AY181" s="35">
        <f t="shared" si="57"/>
        <v>163.6</v>
      </c>
      <c r="AZ181" s="35">
        <v>0</v>
      </c>
      <c r="BA181" s="35">
        <f t="shared" si="58"/>
        <v>163.6</v>
      </c>
      <c r="BB181" s="35"/>
      <c r="BC181" s="35">
        <f t="shared" si="59"/>
        <v>163.6</v>
      </c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10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10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10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10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10"/>
      <c r="GZ181" s="9"/>
      <c r="HA181" s="9"/>
    </row>
    <row r="182" spans="1:209" s="2" customFormat="1" ht="17" customHeight="1">
      <c r="A182" s="14" t="s">
        <v>179</v>
      </c>
      <c r="B182" s="35">
        <v>528348</v>
      </c>
      <c r="C182" s="35">
        <v>545612</v>
      </c>
      <c r="D182" s="4">
        <f t="shared" si="48"/>
        <v>1.0326754336157229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4470.1000000000004</v>
      </c>
      <c r="O182" s="35">
        <v>2844.9</v>
      </c>
      <c r="P182" s="4">
        <f t="shared" si="49"/>
        <v>0.63642871524126976</v>
      </c>
      <c r="Q182" s="11">
        <v>20</v>
      </c>
      <c r="R182" s="35">
        <v>11</v>
      </c>
      <c r="S182" s="35">
        <v>11.5</v>
      </c>
      <c r="T182" s="4">
        <f t="shared" si="50"/>
        <v>1.0454545454545454</v>
      </c>
      <c r="U182" s="11">
        <v>10</v>
      </c>
      <c r="V182" s="35">
        <v>15</v>
      </c>
      <c r="W182" s="35">
        <v>22.1</v>
      </c>
      <c r="X182" s="4">
        <f t="shared" si="51"/>
        <v>1.2273333333333334</v>
      </c>
      <c r="Y182" s="11">
        <v>40</v>
      </c>
      <c r="Z182" s="11" t="s">
        <v>385</v>
      </c>
      <c r="AA182" s="11" t="s">
        <v>385</v>
      </c>
      <c r="AB182" s="11" t="s">
        <v>385</v>
      </c>
      <c r="AC182" s="11" t="s">
        <v>385</v>
      </c>
      <c r="AD182" s="11">
        <v>55</v>
      </c>
      <c r="AE182" s="11">
        <v>50</v>
      </c>
      <c r="AF182" s="4">
        <f t="shared" si="52"/>
        <v>0.90909090909090906</v>
      </c>
      <c r="AG182" s="11">
        <v>20</v>
      </c>
      <c r="AH182" s="5" t="s">
        <v>362</v>
      </c>
      <c r="AI182" s="5" t="s">
        <v>362</v>
      </c>
      <c r="AJ182" s="5" t="s">
        <v>362</v>
      </c>
      <c r="AK182" s="5" t="s">
        <v>362</v>
      </c>
      <c r="AL182" s="5" t="s">
        <v>362</v>
      </c>
      <c r="AM182" s="5" t="s">
        <v>362</v>
      </c>
      <c r="AN182" s="5" t="s">
        <v>362</v>
      </c>
      <c r="AO182" s="5" t="s">
        <v>362</v>
      </c>
      <c r="AP182" s="44">
        <f t="shared" si="60"/>
        <v>1.0078502561067959</v>
      </c>
      <c r="AQ182" s="45">
        <v>685</v>
      </c>
      <c r="AR182" s="35">
        <f t="shared" si="53"/>
        <v>186.81818181818181</v>
      </c>
      <c r="AS182" s="35">
        <f t="shared" si="54"/>
        <v>188.3</v>
      </c>
      <c r="AT182" s="35">
        <f t="shared" si="55"/>
        <v>1.4818181818181984</v>
      </c>
      <c r="AU182" s="35">
        <v>68.5</v>
      </c>
      <c r="AV182" s="35">
        <v>60.1</v>
      </c>
      <c r="AW182" s="35">
        <f t="shared" si="56"/>
        <v>59.7</v>
      </c>
      <c r="AX182" s="35"/>
      <c r="AY182" s="35">
        <f t="shared" si="57"/>
        <v>59.7</v>
      </c>
      <c r="AZ182" s="35">
        <v>0</v>
      </c>
      <c r="BA182" s="35">
        <f t="shared" si="58"/>
        <v>59.7</v>
      </c>
      <c r="BB182" s="35">
        <f>MIN(BA182,31.1)</f>
        <v>31.1</v>
      </c>
      <c r="BC182" s="35">
        <f t="shared" si="59"/>
        <v>28.6</v>
      </c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10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10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10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10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10"/>
      <c r="GZ182" s="9"/>
      <c r="HA182" s="9"/>
    </row>
    <row r="183" spans="1:209" s="2" customFormat="1" ht="17" customHeight="1">
      <c r="A183" s="14" t="s">
        <v>180</v>
      </c>
      <c r="B183" s="35">
        <v>0</v>
      </c>
      <c r="C183" s="35">
        <v>0</v>
      </c>
      <c r="D183" s="4">
        <f t="shared" si="48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691.4</v>
      </c>
      <c r="O183" s="35">
        <v>241.8</v>
      </c>
      <c r="P183" s="4">
        <f t="shared" si="49"/>
        <v>0.34972519525600232</v>
      </c>
      <c r="Q183" s="11">
        <v>20</v>
      </c>
      <c r="R183" s="35">
        <v>570</v>
      </c>
      <c r="S183" s="35">
        <v>571.70000000000005</v>
      </c>
      <c r="T183" s="4">
        <f t="shared" si="50"/>
        <v>1.0029824561403509</v>
      </c>
      <c r="U183" s="11">
        <v>35</v>
      </c>
      <c r="V183" s="35">
        <v>26</v>
      </c>
      <c r="W183" s="35">
        <v>39.1</v>
      </c>
      <c r="X183" s="4">
        <f t="shared" si="51"/>
        <v>1.2303846153846154</v>
      </c>
      <c r="Y183" s="11">
        <v>15</v>
      </c>
      <c r="Z183" s="11" t="s">
        <v>385</v>
      </c>
      <c r="AA183" s="11" t="s">
        <v>385</v>
      </c>
      <c r="AB183" s="11" t="s">
        <v>385</v>
      </c>
      <c r="AC183" s="11" t="s">
        <v>385</v>
      </c>
      <c r="AD183" s="11">
        <v>910</v>
      </c>
      <c r="AE183" s="11">
        <v>821</v>
      </c>
      <c r="AF183" s="4">
        <f t="shared" si="52"/>
        <v>0.90219780219780221</v>
      </c>
      <c r="AG183" s="11">
        <v>20</v>
      </c>
      <c r="AH183" s="5" t="s">
        <v>362</v>
      </c>
      <c r="AI183" s="5" t="s">
        <v>362</v>
      </c>
      <c r="AJ183" s="5" t="s">
        <v>362</v>
      </c>
      <c r="AK183" s="5" t="s">
        <v>362</v>
      </c>
      <c r="AL183" s="5" t="s">
        <v>362</v>
      </c>
      <c r="AM183" s="5" t="s">
        <v>362</v>
      </c>
      <c r="AN183" s="5" t="s">
        <v>362</v>
      </c>
      <c r="AO183" s="5" t="s">
        <v>362</v>
      </c>
      <c r="AP183" s="44">
        <f t="shared" si="60"/>
        <v>0.87331794605286228</v>
      </c>
      <c r="AQ183" s="45">
        <v>1011</v>
      </c>
      <c r="AR183" s="35">
        <f t="shared" si="53"/>
        <v>275.72727272727275</v>
      </c>
      <c r="AS183" s="35">
        <f t="shared" si="54"/>
        <v>240.8</v>
      </c>
      <c r="AT183" s="35">
        <f t="shared" si="55"/>
        <v>-34.927272727272737</v>
      </c>
      <c r="AU183" s="35">
        <v>76.5</v>
      </c>
      <c r="AV183" s="35">
        <v>80.400000000000006</v>
      </c>
      <c r="AW183" s="35">
        <f t="shared" si="56"/>
        <v>83.9</v>
      </c>
      <c r="AX183" s="35"/>
      <c r="AY183" s="35">
        <f t="shared" si="57"/>
        <v>83.9</v>
      </c>
      <c r="AZ183" s="35">
        <v>0</v>
      </c>
      <c r="BA183" s="35">
        <f t="shared" si="58"/>
        <v>83.9</v>
      </c>
      <c r="BB183" s="35"/>
      <c r="BC183" s="35">
        <f t="shared" si="59"/>
        <v>83.9</v>
      </c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10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10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10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10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10"/>
      <c r="GZ183" s="9"/>
      <c r="HA183" s="9"/>
    </row>
    <row r="184" spans="1:209" s="2" customFormat="1" ht="17" customHeight="1">
      <c r="A184" s="14" t="s">
        <v>181</v>
      </c>
      <c r="B184" s="35">
        <v>0</v>
      </c>
      <c r="C184" s="35">
        <v>0</v>
      </c>
      <c r="D184" s="4">
        <f t="shared" si="48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590.79999999999995</v>
      </c>
      <c r="O184" s="35">
        <v>353.4</v>
      </c>
      <c r="P184" s="4">
        <f t="shared" si="49"/>
        <v>0.59817197020988488</v>
      </c>
      <c r="Q184" s="11">
        <v>20</v>
      </c>
      <c r="R184" s="35">
        <v>100</v>
      </c>
      <c r="S184" s="35">
        <v>113.4</v>
      </c>
      <c r="T184" s="4">
        <f t="shared" si="50"/>
        <v>1.1340000000000001</v>
      </c>
      <c r="U184" s="11">
        <v>25</v>
      </c>
      <c r="V184" s="35">
        <v>5</v>
      </c>
      <c r="W184" s="35">
        <v>5.3</v>
      </c>
      <c r="X184" s="4">
        <f t="shared" si="51"/>
        <v>1.06</v>
      </c>
      <c r="Y184" s="11">
        <v>25</v>
      </c>
      <c r="Z184" s="11" t="s">
        <v>385</v>
      </c>
      <c r="AA184" s="11" t="s">
        <v>385</v>
      </c>
      <c r="AB184" s="11" t="s">
        <v>385</v>
      </c>
      <c r="AC184" s="11" t="s">
        <v>385</v>
      </c>
      <c r="AD184" s="11">
        <v>305</v>
      </c>
      <c r="AE184" s="11">
        <v>330</v>
      </c>
      <c r="AF184" s="4">
        <f t="shared" si="52"/>
        <v>1.0819672131147542</v>
      </c>
      <c r="AG184" s="11">
        <v>20</v>
      </c>
      <c r="AH184" s="5" t="s">
        <v>362</v>
      </c>
      <c r="AI184" s="5" t="s">
        <v>362</v>
      </c>
      <c r="AJ184" s="5" t="s">
        <v>362</v>
      </c>
      <c r="AK184" s="5" t="s">
        <v>362</v>
      </c>
      <c r="AL184" s="5" t="s">
        <v>362</v>
      </c>
      <c r="AM184" s="5" t="s">
        <v>362</v>
      </c>
      <c r="AN184" s="5" t="s">
        <v>362</v>
      </c>
      <c r="AO184" s="5" t="s">
        <v>362</v>
      </c>
      <c r="AP184" s="44">
        <f t="shared" si="60"/>
        <v>0.98280870740547532</v>
      </c>
      <c r="AQ184" s="45">
        <v>940</v>
      </c>
      <c r="AR184" s="35">
        <f t="shared" si="53"/>
        <v>256.36363636363637</v>
      </c>
      <c r="AS184" s="35">
        <f t="shared" si="54"/>
        <v>252</v>
      </c>
      <c r="AT184" s="35">
        <f t="shared" si="55"/>
        <v>-4.363636363636374</v>
      </c>
      <c r="AU184" s="35">
        <v>70.599999999999994</v>
      </c>
      <c r="AV184" s="35">
        <v>94.6</v>
      </c>
      <c r="AW184" s="35">
        <f t="shared" si="56"/>
        <v>86.8</v>
      </c>
      <c r="AX184" s="35"/>
      <c r="AY184" s="35">
        <f t="shared" si="57"/>
        <v>86.8</v>
      </c>
      <c r="AZ184" s="35">
        <v>0</v>
      </c>
      <c r="BA184" s="35">
        <f t="shared" si="58"/>
        <v>86.8</v>
      </c>
      <c r="BB184" s="35">
        <f>MIN(BA184,0.5)</f>
        <v>0.5</v>
      </c>
      <c r="BC184" s="35">
        <f t="shared" si="59"/>
        <v>86.3</v>
      </c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10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10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10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10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10"/>
      <c r="GZ184" s="9"/>
      <c r="HA184" s="9"/>
    </row>
    <row r="185" spans="1:209" s="2" customFormat="1" ht="17" customHeight="1">
      <c r="A185" s="14" t="s">
        <v>182</v>
      </c>
      <c r="B185" s="35">
        <v>0</v>
      </c>
      <c r="C185" s="35">
        <v>0</v>
      </c>
      <c r="D185" s="4">
        <f t="shared" si="48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206.8</v>
      </c>
      <c r="O185" s="35">
        <v>174.4</v>
      </c>
      <c r="P185" s="4">
        <f t="shared" si="49"/>
        <v>0.84332688588007731</v>
      </c>
      <c r="Q185" s="11">
        <v>20</v>
      </c>
      <c r="R185" s="35">
        <v>150</v>
      </c>
      <c r="S185" s="35">
        <v>147.19999999999999</v>
      </c>
      <c r="T185" s="4">
        <f t="shared" si="50"/>
        <v>0.98133333333333328</v>
      </c>
      <c r="U185" s="11">
        <v>25</v>
      </c>
      <c r="V185" s="35">
        <v>5</v>
      </c>
      <c r="W185" s="35">
        <v>5.6</v>
      </c>
      <c r="X185" s="4">
        <f t="shared" si="51"/>
        <v>1.1199999999999999</v>
      </c>
      <c r="Y185" s="11">
        <v>25</v>
      </c>
      <c r="Z185" s="11" t="s">
        <v>385</v>
      </c>
      <c r="AA185" s="11" t="s">
        <v>385</v>
      </c>
      <c r="AB185" s="11" t="s">
        <v>385</v>
      </c>
      <c r="AC185" s="11" t="s">
        <v>385</v>
      </c>
      <c r="AD185" s="11">
        <v>371</v>
      </c>
      <c r="AE185" s="11">
        <v>409</v>
      </c>
      <c r="AF185" s="4">
        <f t="shared" si="52"/>
        <v>1.1024258760107817</v>
      </c>
      <c r="AG185" s="11">
        <v>20</v>
      </c>
      <c r="AH185" s="5" t="s">
        <v>362</v>
      </c>
      <c r="AI185" s="5" t="s">
        <v>362</v>
      </c>
      <c r="AJ185" s="5" t="s">
        <v>362</v>
      </c>
      <c r="AK185" s="5" t="s">
        <v>362</v>
      </c>
      <c r="AL185" s="5" t="s">
        <v>362</v>
      </c>
      <c r="AM185" s="5" t="s">
        <v>362</v>
      </c>
      <c r="AN185" s="5" t="s">
        <v>362</v>
      </c>
      <c r="AO185" s="5" t="s">
        <v>362</v>
      </c>
      <c r="AP185" s="44">
        <f t="shared" si="60"/>
        <v>1.0160932063461168</v>
      </c>
      <c r="AQ185" s="45">
        <v>1253</v>
      </c>
      <c r="AR185" s="35">
        <f t="shared" si="53"/>
        <v>341.72727272727275</v>
      </c>
      <c r="AS185" s="35">
        <f t="shared" si="54"/>
        <v>347.2</v>
      </c>
      <c r="AT185" s="35">
        <f t="shared" si="55"/>
        <v>5.4727272727272407</v>
      </c>
      <c r="AU185" s="35">
        <v>102.9</v>
      </c>
      <c r="AV185" s="35">
        <v>120</v>
      </c>
      <c r="AW185" s="35">
        <f t="shared" si="56"/>
        <v>124.3</v>
      </c>
      <c r="AX185" s="35"/>
      <c r="AY185" s="35">
        <f t="shared" si="57"/>
        <v>124.3</v>
      </c>
      <c r="AZ185" s="35">
        <v>0</v>
      </c>
      <c r="BA185" s="35">
        <f t="shared" si="58"/>
        <v>124.3</v>
      </c>
      <c r="BB185" s="35">
        <f>MIN(BA185,7.3)</f>
        <v>7.3</v>
      </c>
      <c r="BC185" s="35">
        <f t="shared" si="59"/>
        <v>117</v>
      </c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10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10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10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10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10"/>
      <c r="GZ185" s="9"/>
      <c r="HA185" s="9"/>
    </row>
    <row r="186" spans="1:209" s="2" customFormat="1" ht="17" customHeight="1">
      <c r="A186" s="14" t="s">
        <v>183</v>
      </c>
      <c r="B186" s="35">
        <v>46266</v>
      </c>
      <c r="C186" s="35">
        <v>51377</v>
      </c>
      <c r="D186" s="4">
        <f t="shared" si="48"/>
        <v>1.1104698914969957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712.3</v>
      </c>
      <c r="O186" s="35">
        <v>1621.6</v>
      </c>
      <c r="P186" s="4">
        <f t="shared" si="49"/>
        <v>1.3</v>
      </c>
      <c r="Q186" s="11">
        <v>20</v>
      </c>
      <c r="R186" s="35">
        <v>925</v>
      </c>
      <c r="S186" s="35">
        <v>969.3</v>
      </c>
      <c r="T186" s="4">
        <f t="shared" si="50"/>
        <v>1.0478918918918918</v>
      </c>
      <c r="U186" s="11">
        <v>35</v>
      </c>
      <c r="V186" s="35">
        <v>55</v>
      </c>
      <c r="W186" s="35">
        <v>59.5</v>
      </c>
      <c r="X186" s="4">
        <f t="shared" si="51"/>
        <v>1.0818181818181818</v>
      </c>
      <c r="Y186" s="11">
        <v>15</v>
      </c>
      <c r="Z186" s="11" t="s">
        <v>385</v>
      </c>
      <c r="AA186" s="11" t="s">
        <v>385</v>
      </c>
      <c r="AB186" s="11" t="s">
        <v>385</v>
      </c>
      <c r="AC186" s="11" t="s">
        <v>385</v>
      </c>
      <c r="AD186" s="11">
        <v>765</v>
      </c>
      <c r="AE186" s="11">
        <v>780</v>
      </c>
      <c r="AF186" s="4">
        <f t="shared" si="52"/>
        <v>1.0196078431372548</v>
      </c>
      <c r="AG186" s="11">
        <v>20</v>
      </c>
      <c r="AH186" s="5" t="s">
        <v>362</v>
      </c>
      <c r="AI186" s="5" t="s">
        <v>362</v>
      </c>
      <c r="AJ186" s="5" t="s">
        <v>362</v>
      </c>
      <c r="AK186" s="5" t="s">
        <v>362</v>
      </c>
      <c r="AL186" s="5" t="s">
        <v>362</v>
      </c>
      <c r="AM186" s="5" t="s">
        <v>362</v>
      </c>
      <c r="AN186" s="5" t="s">
        <v>362</v>
      </c>
      <c r="AO186" s="5" t="s">
        <v>362</v>
      </c>
      <c r="AP186" s="44">
        <f t="shared" si="60"/>
        <v>1.1040034472120397</v>
      </c>
      <c r="AQ186" s="45">
        <v>792</v>
      </c>
      <c r="AR186" s="35">
        <f t="shared" si="53"/>
        <v>216</v>
      </c>
      <c r="AS186" s="35">
        <f t="shared" si="54"/>
        <v>238.5</v>
      </c>
      <c r="AT186" s="35">
        <f t="shared" si="55"/>
        <v>22.5</v>
      </c>
      <c r="AU186" s="35">
        <v>72.8</v>
      </c>
      <c r="AV186" s="35">
        <v>74.599999999999994</v>
      </c>
      <c r="AW186" s="35">
        <f t="shared" si="56"/>
        <v>91.1</v>
      </c>
      <c r="AX186" s="35"/>
      <c r="AY186" s="35">
        <f t="shared" si="57"/>
        <v>91.1</v>
      </c>
      <c r="AZ186" s="35">
        <v>0</v>
      </c>
      <c r="BA186" s="35">
        <f t="shared" si="58"/>
        <v>91.1</v>
      </c>
      <c r="BB186" s="35">
        <f>MIN(BA186,36)</f>
        <v>36</v>
      </c>
      <c r="BC186" s="35">
        <f t="shared" si="59"/>
        <v>55.1</v>
      </c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10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10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10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10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10"/>
      <c r="GZ186" s="9"/>
      <c r="HA186" s="9"/>
    </row>
    <row r="187" spans="1:209" s="2" customFormat="1" ht="17" customHeight="1">
      <c r="A187" s="14" t="s">
        <v>184</v>
      </c>
      <c r="B187" s="35">
        <v>0</v>
      </c>
      <c r="C187" s="35">
        <v>0</v>
      </c>
      <c r="D187" s="4">
        <f t="shared" si="48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304.3</v>
      </c>
      <c r="O187" s="35">
        <v>93</v>
      </c>
      <c r="P187" s="4">
        <f t="shared" si="49"/>
        <v>0.30561945448570488</v>
      </c>
      <c r="Q187" s="11">
        <v>20</v>
      </c>
      <c r="R187" s="35">
        <v>220</v>
      </c>
      <c r="S187" s="35">
        <v>225.4</v>
      </c>
      <c r="T187" s="4">
        <f t="shared" si="50"/>
        <v>1.0245454545454546</v>
      </c>
      <c r="U187" s="11">
        <v>30</v>
      </c>
      <c r="V187" s="35">
        <v>21</v>
      </c>
      <c r="W187" s="35">
        <v>21.4</v>
      </c>
      <c r="X187" s="4">
        <f t="shared" si="51"/>
        <v>1.019047619047619</v>
      </c>
      <c r="Y187" s="11">
        <v>20</v>
      </c>
      <c r="Z187" s="11" t="s">
        <v>385</v>
      </c>
      <c r="AA187" s="11" t="s">
        <v>385</v>
      </c>
      <c r="AB187" s="11" t="s">
        <v>385</v>
      </c>
      <c r="AC187" s="11" t="s">
        <v>385</v>
      </c>
      <c r="AD187" s="11">
        <v>700</v>
      </c>
      <c r="AE187" s="11">
        <v>710</v>
      </c>
      <c r="AF187" s="4">
        <f t="shared" si="52"/>
        <v>1.0142857142857142</v>
      </c>
      <c r="AG187" s="11">
        <v>20</v>
      </c>
      <c r="AH187" s="5" t="s">
        <v>362</v>
      </c>
      <c r="AI187" s="5" t="s">
        <v>362</v>
      </c>
      <c r="AJ187" s="5" t="s">
        <v>362</v>
      </c>
      <c r="AK187" s="5" t="s">
        <v>362</v>
      </c>
      <c r="AL187" s="5" t="s">
        <v>362</v>
      </c>
      <c r="AM187" s="5" t="s">
        <v>362</v>
      </c>
      <c r="AN187" s="5" t="s">
        <v>362</v>
      </c>
      <c r="AO187" s="5" t="s">
        <v>362</v>
      </c>
      <c r="AP187" s="44">
        <f t="shared" si="60"/>
        <v>0.86128243769716006</v>
      </c>
      <c r="AQ187" s="45">
        <v>1691</v>
      </c>
      <c r="AR187" s="35">
        <f t="shared" si="53"/>
        <v>461.18181818181813</v>
      </c>
      <c r="AS187" s="35">
        <f t="shared" si="54"/>
        <v>397.2</v>
      </c>
      <c r="AT187" s="35">
        <f t="shared" si="55"/>
        <v>-63.981818181818142</v>
      </c>
      <c r="AU187" s="35">
        <v>119.6</v>
      </c>
      <c r="AV187" s="35">
        <v>125.2</v>
      </c>
      <c r="AW187" s="35">
        <f t="shared" si="56"/>
        <v>152.4</v>
      </c>
      <c r="AX187" s="35"/>
      <c r="AY187" s="35">
        <f t="shared" si="57"/>
        <v>152.4</v>
      </c>
      <c r="AZ187" s="35">
        <v>0</v>
      </c>
      <c r="BA187" s="35">
        <f t="shared" si="58"/>
        <v>152.4</v>
      </c>
      <c r="BB187" s="35"/>
      <c r="BC187" s="35">
        <f t="shared" si="59"/>
        <v>152.4</v>
      </c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10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10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10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10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10"/>
      <c r="GZ187" s="9"/>
      <c r="HA187" s="9"/>
    </row>
    <row r="188" spans="1:209" s="2" customFormat="1" ht="17" customHeight="1">
      <c r="A188" s="14" t="s">
        <v>185</v>
      </c>
      <c r="B188" s="35">
        <v>0</v>
      </c>
      <c r="C188" s="35">
        <v>0</v>
      </c>
      <c r="D188" s="4">
        <f t="shared" si="48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111.4</v>
      </c>
      <c r="O188" s="35">
        <v>42.9</v>
      </c>
      <c r="P188" s="4">
        <f t="shared" si="49"/>
        <v>0.38509874326750443</v>
      </c>
      <c r="Q188" s="11">
        <v>20</v>
      </c>
      <c r="R188" s="35">
        <v>385</v>
      </c>
      <c r="S188" s="35">
        <v>413.6</v>
      </c>
      <c r="T188" s="4">
        <f t="shared" si="50"/>
        <v>1.0742857142857143</v>
      </c>
      <c r="U188" s="11">
        <v>30</v>
      </c>
      <c r="V188" s="35">
        <v>28</v>
      </c>
      <c r="W188" s="35">
        <v>28.1</v>
      </c>
      <c r="X188" s="4">
        <f t="shared" si="51"/>
        <v>1.0035714285714286</v>
      </c>
      <c r="Y188" s="11">
        <v>20</v>
      </c>
      <c r="Z188" s="11" t="s">
        <v>385</v>
      </c>
      <c r="AA188" s="11" t="s">
        <v>385</v>
      </c>
      <c r="AB188" s="11" t="s">
        <v>385</v>
      </c>
      <c r="AC188" s="11" t="s">
        <v>385</v>
      </c>
      <c r="AD188" s="11">
        <v>470</v>
      </c>
      <c r="AE188" s="11">
        <v>475</v>
      </c>
      <c r="AF188" s="4">
        <f t="shared" si="52"/>
        <v>1.0106382978723405</v>
      </c>
      <c r="AG188" s="11">
        <v>20</v>
      </c>
      <c r="AH188" s="5" t="s">
        <v>362</v>
      </c>
      <c r="AI188" s="5" t="s">
        <v>362</v>
      </c>
      <c r="AJ188" s="5" t="s">
        <v>362</v>
      </c>
      <c r="AK188" s="5" t="s">
        <v>362</v>
      </c>
      <c r="AL188" s="5" t="s">
        <v>362</v>
      </c>
      <c r="AM188" s="5" t="s">
        <v>362</v>
      </c>
      <c r="AN188" s="5" t="s">
        <v>362</v>
      </c>
      <c r="AO188" s="5" t="s">
        <v>362</v>
      </c>
      <c r="AP188" s="44">
        <f t="shared" si="60"/>
        <v>0.89127489803107662</v>
      </c>
      <c r="AQ188" s="45">
        <v>1185</v>
      </c>
      <c r="AR188" s="35">
        <f t="shared" si="53"/>
        <v>323.18181818181819</v>
      </c>
      <c r="AS188" s="35">
        <f t="shared" si="54"/>
        <v>288</v>
      </c>
      <c r="AT188" s="35">
        <f t="shared" si="55"/>
        <v>-35.181818181818187</v>
      </c>
      <c r="AU188" s="35">
        <v>100.5</v>
      </c>
      <c r="AV188" s="35">
        <v>86.3</v>
      </c>
      <c r="AW188" s="35">
        <f t="shared" si="56"/>
        <v>101.2</v>
      </c>
      <c r="AX188" s="35"/>
      <c r="AY188" s="35">
        <f t="shared" si="57"/>
        <v>101.2</v>
      </c>
      <c r="AZ188" s="35">
        <v>0</v>
      </c>
      <c r="BA188" s="35">
        <f t="shared" si="58"/>
        <v>101.2</v>
      </c>
      <c r="BB188" s="35"/>
      <c r="BC188" s="35">
        <f t="shared" si="59"/>
        <v>101.2</v>
      </c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10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10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10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10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10"/>
      <c r="GZ188" s="9"/>
      <c r="HA188" s="9"/>
    </row>
    <row r="189" spans="1:209" s="2" customFormat="1" ht="17" customHeight="1">
      <c r="A189" s="14" t="s">
        <v>186</v>
      </c>
      <c r="B189" s="35">
        <v>0</v>
      </c>
      <c r="C189" s="35">
        <v>0</v>
      </c>
      <c r="D189" s="4">
        <f t="shared" si="48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86.5</v>
      </c>
      <c r="O189" s="35">
        <v>74</v>
      </c>
      <c r="P189" s="4">
        <f t="shared" si="49"/>
        <v>0.8554913294797688</v>
      </c>
      <c r="Q189" s="11">
        <v>20</v>
      </c>
      <c r="R189" s="35">
        <v>54</v>
      </c>
      <c r="S189" s="35">
        <v>55.7</v>
      </c>
      <c r="T189" s="4">
        <f t="shared" si="50"/>
        <v>1.0314814814814814</v>
      </c>
      <c r="U189" s="11">
        <v>25</v>
      </c>
      <c r="V189" s="35">
        <v>12</v>
      </c>
      <c r="W189" s="35">
        <v>15.6</v>
      </c>
      <c r="X189" s="4">
        <f t="shared" si="51"/>
        <v>1.21</v>
      </c>
      <c r="Y189" s="11">
        <v>25</v>
      </c>
      <c r="Z189" s="11" t="s">
        <v>385</v>
      </c>
      <c r="AA189" s="11" t="s">
        <v>385</v>
      </c>
      <c r="AB189" s="11" t="s">
        <v>385</v>
      </c>
      <c r="AC189" s="11" t="s">
        <v>385</v>
      </c>
      <c r="AD189" s="11">
        <v>328</v>
      </c>
      <c r="AE189" s="11">
        <v>345</v>
      </c>
      <c r="AF189" s="4">
        <f t="shared" si="52"/>
        <v>1.0518292682926829</v>
      </c>
      <c r="AG189" s="11">
        <v>20</v>
      </c>
      <c r="AH189" s="5" t="s">
        <v>362</v>
      </c>
      <c r="AI189" s="5" t="s">
        <v>362</v>
      </c>
      <c r="AJ189" s="5" t="s">
        <v>362</v>
      </c>
      <c r="AK189" s="5" t="s">
        <v>362</v>
      </c>
      <c r="AL189" s="5" t="s">
        <v>362</v>
      </c>
      <c r="AM189" s="5" t="s">
        <v>362</v>
      </c>
      <c r="AN189" s="5" t="s">
        <v>362</v>
      </c>
      <c r="AO189" s="5" t="s">
        <v>362</v>
      </c>
      <c r="AP189" s="44">
        <f t="shared" si="60"/>
        <v>1.0464827665831784</v>
      </c>
      <c r="AQ189" s="45">
        <v>1149</v>
      </c>
      <c r="AR189" s="35">
        <f t="shared" si="53"/>
        <v>313.36363636363637</v>
      </c>
      <c r="AS189" s="35">
        <f t="shared" si="54"/>
        <v>327.9</v>
      </c>
      <c r="AT189" s="35">
        <f t="shared" si="55"/>
        <v>14.536363636363603</v>
      </c>
      <c r="AU189" s="35">
        <v>126.3</v>
      </c>
      <c r="AV189" s="35">
        <v>80.3</v>
      </c>
      <c r="AW189" s="35">
        <f t="shared" si="56"/>
        <v>121.3</v>
      </c>
      <c r="AX189" s="35"/>
      <c r="AY189" s="35">
        <f t="shared" si="57"/>
        <v>121.3</v>
      </c>
      <c r="AZ189" s="35">
        <v>0</v>
      </c>
      <c r="BA189" s="35">
        <f t="shared" si="58"/>
        <v>121.3</v>
      </c>
      <c r="BB189" s="35"/>
      <c r="BC189" s="35">
        <f t="shared" si="59"/>
        <v>121.3</v>
      </c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10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10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10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10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10"/>
      <c r="GZ189" s="9"/>
      <c r="HA189" s="9"/>
    </row>
    <row r="190" spans="1:209" s="2" customFormat="1" ht="17" customHeight="1">
      <c r="A190" s="14" t="s">
        <v>187</v>
      </c>
      <c r="B190" s="35">
        <v>0</v>
      </c>
      <c r="C190" s="35">
        <v>0</v>
      </c>
      <c r="D190" s="4">
        <f t="shared" si="48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178.6</v>
      </c>
      <c r="O190" s="35">
        <v>210.7</v>
      </c>
      <c r="P190" s="4">
        <f t="shared" si="49"/>
        <v>1.1797312430011198</v>
      </c>
      <c r="Q190" s="11">
        <v>20</v>
      </c>
      <c r="R190" s="35">
        <v>1204</v>
      </c>
      <c r="S190" s="35">
        <v>1283.7</v>
      </c>
      <c r="T190" s="4">
        <f t="shared" si="50"/>
        <v>1.0661960132890367</v>
      </c>
      <c r="U190" s="11">
        <v>35</v>
      </c>
      <c r="V190" s="35">
        <v>48</v>
      </c>
      <c r="W190" s="35">
        <v>49.9</v>
      </c>
      <c r="X190" s="4">
        <f t="shared" si="51"/>
        <v>1.0395833333333333</v>
      </c>
      <c r="Y190" s="11">
        <v>15</v>
      </c>
      <c r="Z190" s="11" t="s">
        <v>385</v>
      </c>
      <c r="AA190" s="11" t="s">
        <v>385</v>
      </c>
      <c r="AB190" s="11" t="s">
        <v>385</v>
      </c>
      <c r="AC190" s="11" t="s">
        <v>385</v>
      </c>
      <c r="AD190" s="11">
        <v>1389</v>
      </c>
      <c r="AE190" s="11">
        <v>1389</v>
      </c>
      <c r="AF190" s="4">
        <f t="shared" si="52"/>
        <v>1</v>
      </c>
      <c r="AG190" s="11">
        <v>20</v>
      </c>
      <c r="AH190" s="5" t="s">
        <v>362</v>
      </c>
      <c r="AI190" s="5" t="s">
        <v>362</v>
      </c>
      <c r="AJ190" s="5" t="s">
        <v>362</v>
      </c>
      <c r="AK190" s="5" t="s">
        <v>362</v>
      </c>
      <c r="AL190" s="5" t="s">
        <v>362</v>
      </c>
      <c r="AM190" s="5" t="s">
        <v>362</v>
      </c>
      <c r="AN190" s="5" t="s">
        <v>362</v>
      </c>
      <c r="AO190" s="5" t="s">
        <v>362</v>
      </c>
      <c r="AP190" s="44">
        <f t="shared" si="60"/>
        <v>1.0722803925015409</v>
      </c>
      <c r="AQ190" s="45">
        <v>1127</v>
      </c>
      <c r="AR190" s="35">
        <f t="shared" si="53"/>
        <v>307.36363636363637</v>
      </c>
      <c r="AS190" s="35">
        <f t="shared" si="54"/>
        <v>329.6</v>
      </c>
      <c r="AT190" s="35">
        <f t="shared" si="55"/>
        <v>22.236363636363649</v>
      </c>
      <c r="AU190" s="35">
        <v>95.4</v>
      </c>
      <c r="AV190" s="35">
        <v>95.8</v>
      </c>
      <c r="AW190" s="35">
        <f t="shared" si="56"/>
        <v>138.4</v>
      </c>
      <c r="AX190" s="35"/>
      <c r="AY190" s="35">
        <f t="shared" si="57"/>
        <v>138.4</v>
      </c>
      <c r="AZ190" s="35">
        <v>0</v>
      </c>
      <c r="BA190" s="35">
        <f t="shared" si="58"/>
        <v>138.4</v>
      </c>
      <c r="BB190" s="35"/>
      <c r="BC190" s="35">
        <f t="shared" si="59"/>
        <v>138.4</v>
      </c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10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10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10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10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10"/>
      <c r="GZ190" s="9"/>
      <c r="HA190" s="9"/>
    </row>
    <row r="191" spans="1:209" s="2" customFormat="1" ht="17" customHeight="1">
      <c r="A191" s="14" t="s">
        <v>188</v>
      </c>
      <c r="B191" s="35">
        <v>0</v>
      </c>
      <c r="C191" s="35">
        <v>0</v>
      </c>
      <c r="D191" s="4">
        <f t="shared" si="48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312</v>
      </c>
      <c r="O191" s="35">
        <v>160</v>
      </c>
      <c r="P191" s="4">
        <f t="shared" si="49"/>
        <v>0.51282051282051277</v>
      </c>
      <c r="Q191" s="11">
        <v>20</v>
      </c>
      <c r="R191" s="35">
        <v>135</v>
      </c>
      <c r="S191" s="35">
        <v>135.30000000000001</v>
      </c>
      <c r="T191" s="4">
        <f t="shared" si="50"/>
        <v>1.0022222222222223</v>
      </c>
      <c r="U191" s="11">
        <v>25</v>
      </c>
      <c r="V191" s="35">
        <v>10</v>
      </c>
      <c r="W191" s="35">
        <v>14.9</v>
      </c>
      <c r="X191" s="4">
        <f t="shared" si="51"/>
        <v>1.2289999999999999</v>
      </c>
      <c r="Y191" s="11">
        <v>25</v>
      </c>
      <c r="Z191" s="11" t="s">
        <v>385</v>
      </c>
      <c r="AA191" s="11" t="s">
        <v>385</v>
      </c>
      <c r="AB191" s="11" t="s">
        <v>385</v>
      </c>
      <c r="AC191" s="11" t="s">
        <v>385</v>
      </c>
      <c r="AD191" s="11">
        <v>365</v>
      </c>
      <c r="AE191" s="11">
        <v>518</v>
      </c>
      <c r="AF191" s="4">
        <f t="shared" si="52"/>
        <v>1.2219178082191779</v>
      </c>
      <c r="AG191" s="11">
        <v>20</v>
      </c>
      <c r="AH191" s="5" t="s">
        <v>362</v>
      </c>
      <c r="AI191" s="5" t="s">
        <v>362</v>
      </c>
      <c r="AJ191" s="5" t="s">
        <v>362</v>
      </c>
      <c r="AK191" s="5" t="s">
        <v>362</v>
      </c>
      <c r="AL191" s="5" t="s">
        <v>362</v>
      </c>
      <c r="AM191" s="5" t="s">
        <v>362</v>
      </c>
      <c r="AN191" s="5" t="s">
        <v>362</v>
      </c>
      <c r="AO191" s="5" t="s">
        <v>362</v>
      </c>
      <c r="AP191" s="44">
        <f t="shared" si="60"/>
        <v>1.0052813552927709</v>
      </c>
      <c r="AQ191" s="45">
        <v>1398</v>
      </c>
      <c r="AR191" s="35">
        <f t="shared" si="53"/>
        <v>381.27272727272725</v>
      </c>
      <c r="AS191" s="35">
        <f t="shared" si="54"/>
        <v>383.3</v>
      </c>
      <c r="AT191" s="35">
        <f t="shared" si="55"/>
        <v>2.0272727272727593</v>
      </c>
      <c r="AU191" s="35">
        <v>119.2</v>
      </c>
      <c r="AV191" s="35">
        <v>118.9</v>
      </c>
      <c r="AW191" s="35">
        <f t="shared" si="56"/>
        <v>145.19999999999999</v>
      </c>
      <c r="AX191" s="35"/>
      <c r="AY191" s="35">
        <f t="shared" si="57"/>
        <v>145.19999999999999</v>
      </c>
      <c r="AZ191" s="35">
        <v>0</v>
      </c>
      <c r="BA191" s="35">
        <f t="shared" si="58"/>
        <v>145.19999999999999</v>
      </c>
      <c r="BB191" s="35">
        <f>MIN(BA191,19.5)</f>
        <v>19.5</v>
      </c>
      <c r="BC191" s="35">
        <f t="shared" si="59"/>
        <v>125.7</v>
      </c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10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10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10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10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10"/>
      <c r="GZ191" s="9"/>
      <c r="HA191" s="9"/>
    </row>
    <row r="192" spans="1:209" s="2" customFormat="1" ht="17" customHeight="1">
      <c r="A192" s="18" t="s">
        <v>189</v>
      </c>
      <c r="B192" s="6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35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10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10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10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10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10"/>
      <c r="GZ192" s="9"/>
      <c r="HA192" s="9"/>
    </row>
    <row r="193" spans="1:209" s="2" customFormat="1" ht="17" customHeight="1">
      <c r="A193" s="14" t="s">
        <v>190</v>
      </c>
      <c r="B193" s="35">
        <v>0</v>
      </c>
      <c r="C193" s="35">
        <v>0</v>
      </c>
      <c r="D193" s="4">
        <f t="shared" si="48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625</v>
      </c>
      <c r="O193" s="35">
        <v>579.4</v>
      </c>
      <c r="P193" s="4">
        <f t="shared" si="49"/>
        <v>0.92703999999999998</v>
      </c>
      <c r="Q193" s="11">
        <v>20</v>
      </c>
      <c r="R193" s="35">
        <v>11</v>
      </c>
      <c r="S193" s="35">
        <v>12.8</v>
      </c>
      <c r="T193" s="4">
        <f t="shared" si="50"/>
        <v>1.1636363636363638</v>
      </c>
      <c r="U193" s="11">
        <v>35</v>
      </c>
      <c r="V193" s="35">
        <v>2.2999999999999998</v>
      </c>
      <c r="W193" s="35">
        <v>2.5</v>
      </c>
      <c r="X193" s="4">
        <f t="shared" si="51"/>
        <v>1.0869565217391306</v>
      </c>
      <c r="Y193" s="11">
        <v>15</v>
      </c>
      <c r="Z193" s="11" t="s">
        <v>385</v>
      </c>
      <c r="AA193" s="11" t="s">
        <v>385</v>
      </c>
      <c r="AB193" s="11" t="s">
        <v>385</v>
      </c>
      <c r="AC193" s="11" t="s">
        <v>385</v>
      </c>
      <c r="AD193" s="11">
        <v>290</v>
      </c>
      <c r="AE193" s="11">
        <v>273</v>
      </c>
      <c r="AF193" s="4">
        <f t="shared" si="52"/>
        <v>0.94137931034482758</v>
      </c>
      <c r="AG193" s="11">
        <v>20</v>
      </c>
      <c r="AH193" s="5" t="s">
        <v>362</v>
      </c>
      <c r="AI193" s="5" t="s">
        <v>362</v>
      </c>
      <c r="AJ193" s="5" t="s">
        <v>362</v>
      </c>
      <c r="AK193" s="5" t="s">
        <v>362</v>
      </c>
      <c r="AL193" s="5" t="s">
        <v>362</v>
      </c>
      <c r="AM193" s="5" t="s">
        <v>362</v>
      </c>
      <c r="AN193" s="5" t="s">
        <v>362</v>
      </c>
      <c r="AO193" s="5" t="s">
        <v>362</v>
      </c>
      <c r="AP193" s="44">
        <f t="shared" si="60"/>
        <v>1.0488889640028474</v>
      </c>
      <c r="AQ193" s="45">
        <v>1172</v>
      </c>
      <c r="AR193" s="35">
        <f t="shared" si="53"/>
        <v>319.63636363636363</v>
      </c>
      <c r="AS193" s="35">
        <f t="shared" si="54"/>
        <v>335.3</v>
      </c>
      <c r="AT193" s="35">
        <f t="shared" si="55"/>
        <v>15.663636363636385</v>
      </c>
      <c r="AU193" s="35">
        <v>127.7</v>
      </c>
      <c r="AV193" s="35">
        <v>109.4</v>
      </c>
      <c r="AW193" s="35">
        <f t="shared" si="56"/>
        <v>98.2</v>
      </c>
      <c r="AX193" s="35"/>
      <c r="AY193" s="35">
        <f t="shared" si="57"/>
        <v>98.2</v>
      </c>
      <c r="AZ193" s="35">
        <v>0</v>
      </c>
      <c r="BA193" s="35">
        <f t="shared" si="58"/>
        <v>98.2</v>
      </c>
      <c r="BB193" s="35">
        <f>MIN(BA193,53.3)</f>
        <v>53.3</v>
      </c>
      <c r="BC193" s="35">
        <f>IF((BA193-BB193)&gt;0,ROUND(BA193-BB193,1),0)</f>
        <v>44.9</v>
      </c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10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10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10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10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10"/>
      <c r="GZ193" s="9"/>
      <c r="HA193" s="9"/>
    </row>
    <row r="194" spans="1:209" s="2" customFormat="1" ht="17" customHeight="1">
      <c r="A194" s="14" t="s">
        <v>191</v>
      </c>
      <c r="B194" s="35">
        <v>0</v>
      </c>
      <c r="C194" s="35">
        <v>0</v>
      </c>
      <c r="D194" s="4">
        <f t="shared" si="48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197</v>
      </c>
      <c r="O194" s="35">
        <v>175.2</v>
      </c>
      <c r="P194" s="4">
        <f t="shared" si="49"/>
        <v>0.8893401015228426</v>
      </c>
      <c r="Q194" s="11">
        <v>20</v>
      </c>
      <c r="R194" s="35">
        <v>0.2</v>
      </c>
      <c r="S194" s="35">
        <v>0</v>
      </c>
      <c r="T194" s="4">
        <f t="shared" si="50"/>
        <v>0</v>
      </c>
      <c r="U194" s="11">
        <v>30</v>
      </c>
      <c r="V194" s="35">
        <v>0.4</v>
      </c>
      <c r="W194" s="35">
        <v>0</v>
      </c>
      <c r="X194" s="4">
        <f t="shared" si="51"/>
        <v>0</v>
      </c>
      <c r="Y194" s="11">
        <v>20</v>
      </c>
      <c r="Z194" s="11" t="s">
        <v>385</v>
      </c>
      <c r="AA194" s="11" t="s">
        <v>385</v>
      </c>
      <c r="AB194" s="11" t="s">
        <v>385</v>
      </c>
      <c r="AC194" s="11" t="s">
        <v>385</v>
      </c>
      <c r="AD194" s="11">
        <v>45</v>
      </c>
      <c r="AE194" s="11">
        <v>45</v>
      </c>
      <c r="AF194" s="4">
        <f t="shared" si="52"/>
        <v>1</v>
      </c>
      <c r="AG194" s="11">
        <v>20</v>
      </c>
      <c r="AH194" s="5" t="s">
        <v>362</v>
      </c>
      <c r="AI194" s="5" t="s">
        <v>362</v>
      </c>
      <c r="AJ194" s="5" t="s">
        <v>362</v>
      </c>
      <c r="AK194" s="5" t="s">
        <v>362</v>
      </c>
      <c r="AL194" s="5" t="s">
        <v>362</v>
      </c>
      <c r="AM194" s="5" t="s">
        <v>362</v>
      </c>
      <c r="AN194" s="5" t="s">
        <v>362</v>
      </c>
      <c r="AO194" s="5" t="s">
        <v>362</v>
      </c>
      <c r="AP194" s="44">
        <f t="shared" si="60"/>
        <v>0.41985335589396505</v>
      </c>
      <c r="AQ194" s="45">
        <v>733</v>
      </c>
      <c r="AR194" s="35">
        <f t="shared" si="53"/>
        <v>199.90909090909093</v>
      </c>
      <c r="AS194" s="35">
        <f t="shared" si="54"/>
        <v>83.9</v>
      </c>
      <c r="AT194" s="35">
        <f t="shared" si="55"/>
        <v>-116.00909090909093</v>
      </c>
      <c r="AU194" s="35">
        <v>51.7</v>
      </c>
      <c r="AV194" s="35">
        <v>22.9</v>
      </c>
      <c r="AW194" s="35">
        <f t="shared" si="56"/>
        <v>9.3000000000000007</v>
      </c>
      <c r="AX194" s="35"/>
      <c r="AY194" s="35">
        <f t="shared" si="57"/>
        <v>9.3000000000000007</v>
      </c>
      <c r="AZ194" s="35">
        <v>0</v>
      </c>
      <c r="BA194" s="35">
        <f t="shared" si="58"/>
        <v>9.3000000000000007</v>
      </c>
      <c r="BB194" s="35">
        <f>MIN(BA194,33.3)</f>
        <v>9.3000000000000007</v>
      </c>
      <c r="BC194" s="35">
        <f>IF((BA194-BB194)&gt;0,ROUND(BA194-BB194,1),0)</f>
        <v>0</v>
      </c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10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10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10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10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10"/>
      <c r="GZ194" s="9"/>
      <c r="HA194" s="9"/>
    </row>
    <row r="195" spans="1:209" s="2" customFormat="1" ht="17" customHeight="1">
      <c r="A195" s="14" t="s">
        <v>192</v>
      </c>
      <c r="B195" s="35">
        <v>0</v>
      </c>
      <c r="C195" s="35">
        <v>0</v>
      </c>
      <c r="D195" s="4">
        <f t="shared" si="48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312.60000000000002</v>
      </c>
      <c r="O195" s="35">
        <v>920</v>
      </c>
      <c r="P195" s="4">
        <f t="shared" si="49"/>
        <v>1.3</v>
      </c>
      <c r="Q195" s="11">
        <v>20</v>
      </c>
      <c r="R195" s="35">
        <v>193</v>
      </c>
      <c r="S195" s="35">
        <v>233.9</v>
      </c>
      <c r="T195" s="4">
        <f t="shared" si="50"/>
        <v>1.2011917098445595</v>
      </c>
      <c r="U195" s="11">
        <v>30</v>
      </c>
      <c r="V195" s="35">
        <v>22.6</v>
      </c>
      <c r="W195" s="35">
        <v>23.5</v>
      </c>
      <c r="X195" s="4">
        <f t="shared" si="51"/>
        <v>1.0398230088495575</v>
      </c>
      <c r="Y195" s="11">
        <v>20</v>
      </c>
      <c r="Z195" s="11" t="s">
        <v>385</v>
      </c>
      <c r="AA195" s="11" t="s">
        <v>385</v>
      </c>
      <c r="AB195" s="11" t="s">
        <v>385</v>
      </c>
      <c r="AC195" s="11" t="s">
        <v>385</v>
      </c>
      <c r="AD195" s="11">
        <v>559</v>
      </c>
      <c r="AE195" s="11">
        <v>596</v>
      </c>
      <c r="AF195" s="4">
        <f t="shared" si="52"/>
        <v>1.0661896243291593</v>
      </c>
      <c r="AG195" s="11">
        <v>20</v>
      </c>
      <c r="AH195" s="5" t="s">
        <v>362</v>
      </c>
      <c r="AI195" s="5" t="s">
        <v>362</v>
      </c>
      <c r="AJ195" s="5" t="s">
        <v>362</v>
      </c>
      <c r="AK195" s="5" t="s">
        <v>362</v>
      </c>
      <c r="AL195" s="5" t="s">
        <v>362</v>
      </c>
      <c r="AM195" s="5" t="s">
        <v>362</v>
      </c>
      <c r="AN195" s="5" t="s">
        <v>362</v>
      </c>
      <c r="AO195" s="5" t="s">
        <v>362</v>
      </c>
      <c r="AP195" s="44">
        <f t="shared" si="60"/>
        <v>1.1572889328767904</v>
      </c>
      <c r="AQ195" s="45">
        <v>1939</v>
      </c>
      <c r="AR195" s="35">
        <f t="shared" si="53"/>
        <v>528.81818181818187</v>
      </c>
      <c r="AS195" s="35">
        <f t="shared" si="54"/>
        <v>612</v>
      </c>
      <c r="AT195" s="35">
        <f t="shared" si="55"/>
        <v>83.18181818181813</v>
      </c>
      <c r="AU195" s="35">
        <v>210.8</v>
      </c>
      <c r="AV195" s="35">
        <v>154.80000000000001</v>
      </c>
      <c r="AW195" s="35">
        <f t="shared" si="56"/>
        <v>246.4</v>
      </c>
      <c r="AX195" s="35"/>
      <c r="AY195" s="35">
        <f t="shared" si="57"/>
        <v>246.4</v>
      </c>
      <c r="AZ195" s="35">
        <v>0</v>
      </c>
      <c r="BA195" s="35">
        <f t="shared" si="58"/>
        <v>246.4</v>
      </c>
      <c r="BB195" s="35">
        <f>MIN(BA195,88.1)</f>
        <v>88.1</v>
      </c>
      <c r="BC195" s="35">
        <f t="shared" si="59"/>
        <v>158.30000000000001</v>
      </c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10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10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10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10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10"/>
      <c r="GZ195" s="9"/>
      <c r="HA195" s="9"/>
    </row>
    <row r="196" spans="1:209" s="2" customFormat="1" ht="17" customHeight="1">
      <c r="A196" s="14" t="s">
        <v>193</v>
      </c>
      <c r="B196" s="35">
        <v>0</v>
      </c>
      <c r="C196" s="35">
        <v>0</v>
      </c>
      <c r="D196" s="4">
        <f t="shared" si="48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235.5</v>
      </c>
      <c r="O196" s="35">
        <v>316.39999999999998</v>
      </c>
      <c r="P196" s="4">
        <f t="shared" si="49"/>
        <v>1.214352441613588</v>
      </c>
      <c r="Q196" s="11">
        <v>20</v>
      </c>
      <c r="R196" s="35">
        <v>0.2</v>
      </c>
      <c r="S196" s="35">
        <v>0.6</v>
      </c>
      <c r="T196" s="4">
        <f t="shared" si="50"/>
        <v>1.3</v>
      </c>
      <c r="U196" s="11">
        <v>30</v>
      </c>
      <c r="V196" s="35">
        <v>0.2</v>
      </c>
      <c r="W196" s="35">
        <v>1.1000000000000001</v>
      </c>
      <c r="X196" s="4">
        <f t="shared" si="51"/>
        <v>1.3</v>
      </c>
      <c r="Y196" s="11">
        <v>20</v>
      </c>
      <c r="Z196" s="11" t="s">
        <v>385</v>
      </c>
      <c r="AA196" s="11" t="s">
        <v>385</v>
      </c>
      <c r="AB196" s="11" t="s">
        <v>385</v>
      </c>
      <c r="AC196" s="11" t="s">
        <v>385</v>
      </c>
      <c r="AD196" s="11">
        <v>75</v>
      </c>
      <c r="AE196" s="11">
        <v>75</v>
      </c>
      <c r="AF196" s="4">
        <f t="shared" si="52"/>
        <v>1</v>
      </c>
      <c r="AG196" s="11">
        <v>20</v>
      </c>
      <c r="AH196" s="5" t="s">
        <v>362</v>
      </c>
      <c r="AI196" s="5" t="s">
        <v>362</v>
      </c>
      <c r="AJ196" s="5" t="s">
        <v>362</v>
      </c>
      <c r="AK196" s="5" t="s">
        <v>362</v>
      </c>
      <c r="AL196" s="5" t="s">
        <v>362</v>
      </c>
      <c r="AM196" s="5" t="s">
        <v>362</v>
      </c>
      <c r="AN196" s="5" t="s">
        <v>362</v>
      </c>
      <c r="AO196" s="5" t="s">
        <v>362</v>
      </c>
      <c r="AP196" s="44">
        <f t="shared" si="60"/>
        <v>1.2143005425807973</v>
      </c>
      <c r="AQ196" s="45">
        <v>472</v>
      </c>
      <c r="AR196" s="35">
        <f t="shared" si="53"/>
        <v>128.72727272727272</v>
      </c>
      <c r="AS196" s="35">
        <f t="shared" si="54"/>
        <v>156.30000000000001</v>
      </c>
      <c r="AT196" s="35">
        <f t="shared" si="55"/>
        <v>27.572727272727292</v>
      </c>
      <c r="AU196" s="35">
        <v>49.7</v>
      </c>
      <c r="AV196" s="35">
        <v>42.5</v>
      </c>
      <c r="AW196" s="35">
        <f t="shared" si="56"/>
        <v>64.099999999999994</v>
      </c>
      <c r="AX196" s="35"/>
      <c r="AY196" s="35">
        <f t="shared" si="57"/>
        <v>64.099999999999994</v>
      </c>
      <c r="AZ196" s="35">
        <v>0</v>
      </c>
      <c r="BA196" s="35">
        <f t="shared" si="58"/>
        <v>64.099999999999994</v>
      </c>
      <c r="BB196" s="35">
        <f>MIN(BA196,9.1)</f>
        <v>9.1</v>
      </c>
      <c r="BC196" s="35">
        <f t="shared" si="59"/>
        <v>55</v>
      </c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10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10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10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10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10"/>
      <c r="GZ196" s="9"/>
      <c r="HA196" s="9"/>
    </row>
    <row r="197" spans="1:209" s="2" customFormat="1" ht="17" customHeight="1">
      <c r="A197" s="14" t="s">
        <v>194</v>
      </c>
      <c r="B197" s="35">
        <v>0</v>
      </c>
      <c r="C197" s="35">
        <v>0</v>
      </c>
      <c r="D197" s="4">
        <f t="shared" si="48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989</v>
      </c>
      <c r="O197" s="35">
        <v>356.8</v>
      </c>
      <c r="P197" s="4">
        <f t="shared" si="49"/>
        <v>0.36076845298281091</v>
      </c>
      <c r="Q197" s="11">
        <v>20</v>
      </c>
      <c r="R197" s="35">
        <v>8</v>
      </c>
      <c r="S197" s="35">
        <v>9.4</v>
      </c>
      <c r="T197" s="4">
        <f t="shared" si="50"/>
        <v>1.175</v>
      </c>
      <c r="U197" s="11">
        <v>5</v>
      </c>
      <c r="V197" s="35">
        <v>7</v>
      </c>
      <c r="W197" s="35">
        <v>7.1</v>
      </c>
      <c r="X197" s="4">
        <f t="shared" si="51"/>
        <v>1.0142857142857142</v>
      </c>
      <c r="Y197" s="11">
        <v>45</v>
      </c>
      <c r="Z197" s="11" t="s">
        <v>385</v>
      </c>
      <c r="AA197" s="11" t="s">
        <v>385</v>
      </c>
      <c r="AB197" s="11" t="s">
        <v>385</v>
      </c>
      <c r="AC197" s="11" t="s">
        <v>385</v>
      </c>
      <c r="AD197" s="11">
        <v>387</v>
      </c>
      <c r="AE197" s="11">
        <v>412</v>
      </c>
      <c r="AF197" s="4">
        <f t="shared" si="52"/>
        <v>1.0645994832041343</v>
      </c>
      <c r="AG197" s="11">
        <v>20</v>
      </c>
      <c r="AH197" s="5" t="s">
        <v>362</v>
      </c>
      <c r="AI197" s="5" t="s">
        <v>362</v>
      </c>
      <c r="AJ197" s="5" t="s">
        <v>362</v>
      </c>
      <c r="AK197" s="5" t="s">
        <v>362</v>
      </c>
      <c r="AL197" s="5" t="s">
        <v>362</v>
      </c>
      <c r="AM197" s="5" t="s">
        <v>362</v>
      </c>
      <c r="AN197" s="5" t="s">
        <v>362</v>
      </c>
      <c r="AO197" s="5" t="s">
        <v>362</v>
      </c>
      <c r="AP197" s="44">
        <f t="shared" si="60"/>
        <v>0.88916906518440042</v>
      </c>
      <c r="AQ197" s="45">
        <v>913</v>
      </c>
      <c r="AR197" s="35">
        <f t="shared" si="53"/>
        <v>249</v>
      </c>
      <c r="AS197" s="35">
        <f t="shared" si="54"/>
        <v>221.4</v>
      </c>
      <c r="AT197" s="35">
        <f t="shared" si="55"/>
        <v>-27.599999999999994</v>
      </c>
      <c r="AU197" s="35">
        <v>74.8</v>
      </c>
      <c r="AV197" s="35">
        <v>67.8</v>
      </c>
      <c r="AW197" s="35">
        <f t="shared" si="56"/>
        <v>78.8</v>
      </c>
      <c r="AX197" s="35"/>
      <c r="AY197" s="35">
        <f t="shared" si="57"/>
        <v>78.8</v>
      </c>
      <c r="AZ197" s="35">
        <v>0</v>
      </c>
      <c r="BA197" s="35">
        <f t="shared" si="58"/>
        <v>78.8</v>
      </c>
      <c r="BB197" s="35">
        <f>MIN(BA197,41.5)</f>
        <v>41.5</v>
      </c>
      <c r="BC197" s="35">
        <f t="shared" si="59"/>
        <v>37.299999999999997</v>
      </c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10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10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10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10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10"/>
      <c r="GZ197" s="9"/>
      <c r="HA197" s="9"/>
    </row>
    <row r="198" spans="1:209" s="2" customFormat="1" ht="17" customHeight="1">
      <c r="A198" s="14" t="s">
        <v>195</v>
      </c>
      <c r="B198" s="35">
        <v>577</v>
      </c>
      <c r="C198" s="35">
        <v>768.2</v>
      </c>
      <c r="D198" s="4">
        <f t="shared" si="48"/>
        <v>1.2131369150779896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269.5</v>
      </c>
      <c r="O198" s="35">
        <v>487.4</v>
      </c>
      <c r="P198" s="4">
        <f t="shared" si="49"/>
        <v>1.2608534322820037</v>
      </c>
      <c r="Q198" s="11">
        <v>20</v>
      </c>
      <c r="R198" s="35">
        <v>30.1</v>
      </c>
      <c r="S198" s="35">
        <v>36.5</v>
      </c>
      <c r="T198" s="4">
        <f t="shared" si="50"/>
        <v>1.2012624584717608</v>
      </c>
      <c r="U198" s="11">
        <v>35</v>
      </c>
      <c r="V198" s="35">
        <v>14.1</v>
      </c>
      <c r="W198" s="35">
        <v>14.5</v>
      </c>
      <c r="X198" s="4">
        <f t="shared" si="51"/>
        <v>1.0283687943262412</v>
      </c>
      <c r="Y198" s="11">
        <v>15</v>
      </c>
      <c r="Z198" s="11" t="s">
        <v>385</v>
      </c>
      <c r="AA198" s="11" t="s">
        <v>385</v>
      </c>
      <c r="AB198" s="11" t="s">
        <v>385</v>
      </c>
      <c r="AC198" s="11" t="s">
        <v>385</v>
      </c>
      <c r="AD198" s="11">
        <v>481</v>
      </c>
      <c r="AE198" s="11">
        <v>488</v>
      </c>
      <c r="AF198" s="4">
        <f t="shared" si="52"/>
        <v>1.0145530145530146</v>
      </c>
      <c r="AG198" s="11">
        <v>20</v>
      </c>
      <c r="AH198" s="5" t="s">
        <v>362</v>
      </c>
      <c r="AI198" s="5" t="s">
        <v>362</v>
      </c>
      <c r="AJ198" s="5" t="s">
        <v>362</v>
      </c>
      <c r="AK198" s="5" t="s">
        <v>362</v>
      </c>
      <c r="AL198" s="5" t="s">
        <v>362</v>
      </c>
      <c r="AM198" s="5" t="s">
        <v>362</v>
      </c>
      <c r="AN198" s="5" t="s">
        <v>362</v>
      </c>
      <c r="AO198" s="5" t="s">
        <v>362</v>
      </c>
      <c r="AP198" s="44">
        <f t="shared" si="60"/>
        <v>1.1510921604888551</v>
      </c>
      <c r="AQ198" s="45">
        <v>1319</v>
      </c>
      <c r="AR198" s="35">
        <f t="shared" si="53"/>
        <v>359.72727272727275</v>
      </c>
      <c r="AS198" s="35">
        <f t="shared" si="54"/>
        <v>414.1</v>
      </c>
      <c r="AT198" s="35">
        <f t="shared" si="55"/>
        <v>54.372727272727275</v>
      </c>
      <c r="AU198" s="35">
        <v>126.2</v>
      </c>
      <c r="AV198" s="35">
        <v>143.9</v>
      </c>
      <c r="AW198" s="35">
        <f t="shared" si="56"/>
        <v>144</v>
      </c>
      <c r="AX198" s="35"/>
      <c r="AY198" s="35">
        <f t="shared" si="57"/>
        <v>144</v>
      </c>
      <c r="AZ198" s="35">
        <v>0</v>
      </c>
      <c r="BA198" s="35">
        <f t="shared" si="58"/>
        <v>144</v>
      </c>
      <c r="BB198" s="35"/>
      <c r="BC198" s="35">
        <f t="shared" si="59"/>
        <v>144</v>
      </c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10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10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10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10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10"/>
      <c r="GZ198" s="9"/>
      <c r="HA198" s="9"/>
    </row>
    <row r="199" spans="1:209" s="2" customFormat="1" ht="17" customHeight="1">
      <c r="A199" s="14" t="s">
        <v>196</v>
      </c>
      <c r="B199" s="35">
        <v>40499</v>
      </c>
      <c r="C199" s="35">
        <v>42683.8</v>
      </c>
      <c r="D199" s="4">
        <f t="shared" si="48"/>
        <v>1.0539470110373097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2501</v>
      </c>
      <c r="O199" s="35">
        <v>2957.5</v>
      </c>
      <c r="P199" s="4">
        <f t="shared" si="49"/>
        <v>1.1825269892043182</v>
      </c>
      <c r="Q199" s="11">
        <v>20</v>
      </c>
      <c r="R199" s="35">
        <v>115</v>
      </c>
      <c r="S199" s="35">
        <v>142.69999999999999</v>
      </c>
      <c r="T199" s="4">
        <f t="shared" si="50"/>
        <v>1.2040869565217391</v>
      </c>
      <c r="U199" s="11">
        <v>30</v>
      </c>
      <c r="V199" s="35">
        <v>9.4</v>
      </c>
      <c r="W199" s="35">
        <v>10.9</v>
      </c>
      <c r="X199" s="4">
        <f t="shared" si="51"/>
        <v>1.1595744680851063</v>
      </c>
      <c r="Y199" s="11">
        <v>20</v>
      </c>
      <c r="Z199" s="11" t="s">
        <v>385</v>
      </c>
      <c r="AA199" s="11" t="s">
        <v>385</v>
      </c>
      <c r="AB199" s="11" t="s">
        <v>385</v>
      </c>
      <c r="AC199" s="11" t="s">
        <v>385</v>
      </c>
      <c r="AD199" s="11">
        <v>378</v>
      </c>
      <c r="AE199" s="11">
        <v>396</v>
      </c>
      <c r="AF199" s="4">
        <f t="shared" si="52"/>
        <v>1.0476190476190477</v>
      </c>
      <c r="AG199" s="11">
        <v>20</v>
      </c>
      <c r="AH199" s="5" t="s">
        <v>362</v>
      </c>
      <c r="AI199" s="5" t="s">
        <v>362</v>
      </c>
      <c r="AJ199" s="5" t="s">
        <v>362</v>
      </c>
      <c r="AK199" s="5" t="s">
        <v>362</v>
      </c>
      <c r="AL199" s="5" t="s">
        <v>362</v>
      </c>
      <c r="AM199" s="5" t="s">
        <v>362</v>
      </c>
      <c r="AN199" s="5" t="s">
        <v>362</v>
      </c>
      <c r="AO199" s="5" t="s">
        <v>362</v>
      </c>
      <c r="AP199" s="44">
        <f t="shared" si="60"/>
        <v>1.1445648890419471</v>
      </c>
      <c r="AQ199" s="45">
        <v>1033</v>
      </c>
      <c r="AR199" s="35">
        <f t="shared" si="53"/>
        <v>281.72727272727275</v>
      </c>
      <c r="AS199" s="35">
        <f t="shared" si="54"/>
        <v>322.5</v>
      </c>
      <c r="AT199" s="35">
        <f t="shared" si="55"/>
        <v>40.772727272727252</v>
      </c>
      <c r="AU199" s="35">
        <v>97.8</v>
      </c>
      <c r="AV199" s="35">
        <v>109.6</v>
      </c>
      <c r="AW199" s="35">
        <f t="shared" si="56"/>
        <v>115.1</v>
      </c>
      <c r="AX199" s="35"/>
      <c r="AY199" s="35">
        <f t="shared" si="57"/>
        <v>115.1</v>
      </c>
      <c r="AZ199" s="35">
        <v>0</v>
      </c>
      <c r="BA199" s="35">
        <f t="shared" si="58"/>
        <v>115.1</v>
      </c>
      <c r="BB199" s="35"/>
      <c r="BC199" s="35">
        <f t="shared" si="59"/>
        <v>115.1</v>
      </c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10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10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10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10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10"/>
      <c r="GZ199" s="9"/>
      <c r="HA199" s="9"/>
    </row>
    <row r="200" spans="1:209" s="2" customFormat="1" ht="17" customHeight="1">
      <c r="A200" s="14" t="s">
        <v>197</v>
      </c>
      <c r="B200" s="35">
        <v>0</v>
      </c>
      <c r="C200" s="35">
        <v>0</v>
      </c>
      <c r="D200" s="4">
        <f t="shared" si="48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489.3</v>
      </c>
      <c r="O200" s="35">
        <v>94.9</v>
      </c>
      <c r="P200" s="4">
        <f t="shared" si="49"/>
        <v>0.19395054159002659</v>
      </c>
      <c r="Q200" s="11">
        <v>20</v>
      </c>
      <c r="R200" s="35">
        <v>31</v>
      </c>
      <c r="S200" s="35">
        <v>52.1</v>
      </c>
      <c r="T200" s="4">
        <f t="shared" si="50"/>
        <v>1.2480645161290322</v>
      </c>
      <c r="U200" s="11">
        <v>30</v>
      </c>
      <c r="V200" s="35">
        <v>5.3</v>
      </c>
      <c r="W200" s="35">
        <v>5.8</v>
      </c>
      <c r="X200" s="4">
        <f t="shared" si="51"/>
        <v>1.0943396226415094</v>
      </c>
      <c r="Y200" s="11">
        <v>20</v>
      </c>
      <c r="Z200" s="11" t="s">
        <v>385</v>
      </c>
      <c r="AA200" s="11" t="s">
        <v>385</v>
      </c>
      <c r="AB200" s="11" t="s">
        <v>385</v>
      </c>
      <c r="AC200" s="11" t="s">
        <v>385</v>
      </c>
      <c r="AD200" s="11">
        <v>260</v>
      </c>
      <c r="AE200" s="11">
        <v>286</v>
      </c>
      <c r="AF200" s="4">
        <f t="shared" si="52"/>
        <v>1.1000000000000001</v>
      </c>
      <c r="AG200" s="11">
        <v>20</v>
      </c>
      <c r="AH200" s="5" t="s">
        <v>362</v>
      </c>
      <c r="AI200" s="5" t="s">
        <v>362</v>
      </c>
      <c r="AJ200" s="5" t="s">
        <v>362</v>
      </c>
      <c r="AK200" s="5" t="s">
        <v>362</v>
      </c>
      <c r="AL200" s="5" t="s">
        <v>362</v>
      </c>
      <c r="AM200" s="5" t="s">
        <v>362</v>
      </c>
      <c r="AN200" s="5" t="s">
        <v>362</v>
      </c>
      <c r="AO200" s="5" t="s">
        <v>362</v>
      </c>
      <c r="AP200" s="44">
        <f t="shared" si="60"/>
        <v>0.94675265298335209</v>
      </c>
      <c r="AQ200" s="45">
        <v>786</v>
      </c>
      <c r="AR200" s="35">
        <f t="shared" si="53"/>
        <v>214.36363636363637</v>
      </c>
      <c r="AS200" s="35">
        <f t="shared" si="54"/>
        <v>202.9</v>
      </c>
      <c r="AT200" s="35">
        <f t="shared" si="55"/>
        <v>-11.463636363636368</v>
      </c>
      <c r="AU200" s="35">
        <v>60.7</v>
      </c>
      <c r="AV200" s="35">
        <v>62.3</v>
      </c>
      <c r="AW200" s="35">
        <f t="shared" si="56"/>
        <v>79.900000000000006</v>
      </c>
      <c r="AX200" s="35"/>
      <c r="AY200" s="35">
        <f t="shared" si="57"/>
        <v>79.900000000000006</v>
      </c>
      <c r="AZ200" s="35">
        <v>0</v>
      </c>
      <c r="BA200" s="35">
        <f t="shared" si="58"/>
        <v>79.900000000000006</v>
      </c>
      <c r="BB200" s="35"/>
      <c r="BC200" s="35">
        <f t="shared" si="59"/>
        <v>79.900000000000006</v>
      </c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10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10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10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10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10"/>
      <c r="GZ200" s="9"/>
      <c r="HA200" s="9"/>
    </row>
    <row r="201" spans="1:209" s="2" customFormat="1" ht="17" customHeight="1">
      <c r="A201" s="14" t="s">
        <v>198</v>
      </c>
      <c r="B201" s="35">
        <v>0</v>
      </c>
      <c r="C201" s="35">
        <v>0</v>
      </c>
      <c r="D201" s="4">
        <f t="shared" si="48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152.30000000000001</v>
      </c>
      <c r="O201" s="35">
        <v>81.2</v>
      </c>
      <c r="P201" s="4">
        <f t="shared" si="49"/>
        <v>0.53315824031516745</v>
      </c>
      <c r="Q201" s="11">
        <v>20</v>
      </c>
      <c r="R201" s="35">
        <v>0.2</v>
      </c>
      <c r="S201" s="35">
        <v>1.8</v>
      </c>
      <c r="T201" s="4">
        <f t="shared" si="50"/>
        <v>1.3</v>
      </c>
      <c r="U201" s="11">
        <v>30</v>
      </c>
      <c r="V201" s="35">
        <v>1</v>
      </c>
      <c r="W201" s="35">
        <v>1.2</v>
      </c>
      <c r="X201" s="4">
        <f t="shared" si="51"/>
        <v>1.2</v>
      </c>
      <c r="Y201" s="11">
        <v>20</v>
      </c>
      <c r="Z201" s="11" t="s">
        <v>385</v>
      </c>
      <c r="AA201" s="11" t="s">
        <v>385</v>
      </c>
      <c r="AB201" s="11" t="s">
        <v>385</v>
      </c>
      <c r="AC201" s="11" t="s">
        <v>385</v>
      </c>
      <c r="AD201" s="11">
        <v>110</v>
      </c>
      <c r="AE201" s="11">
        <v>110</v>
      </c>
      <c r="AF201" s="4">
        <f t="shared" si="52"/>
        <v>1</v>
      </c>
      <c r="AG201" s="11">
        <v>20</v>
      </c>
      <c r="AH201" s="5" t="s">
        <v>362</v>
      </c>
      <c r="AI201" s="5" t="s">
        <v>362</v>
      </c>
      <c r="AJ201" s="5" t="s">
        <v>362</v>
      </c>
      <c r="AK201" s="5" t="s">
        <v>362</v>
      </c>
      <c r="AL201" s="5" t="s">
        <v>362</v>
      </c>
      <c r="AM201" s="5" t="s">
        <v>362</v>
      </c>
      <c r="AN201" s="5" t="s">
        <v>362</v>
      </c>
      <c r="AO201" s="5" t="s">
        <v>362</v>
      </c>
      <c r="AP201" s="44">
        <f t="shared" si="60"/>
        <v>1.0407018311811482</v>
      </c>
      <c r="AQ201" s="45">
        <v>516</v>
      </c>
      <c r="AR201" s="35">
        <f t="shared" si="53"/>
        <v>140.72727272727272</v>
      </c>
      <c r="AS201" s="35">
        <f t="shared" si="54"/>
        <v>146.5</v>
      </c>
      <c r="AT201" s="35">
        <f t="shared" si="55"/>
        <v>5.7727272727272805</v>
      </c>
      <c r="AU201" s="35">
        <v>39.200000000000003</v>
      </c>
      <c r="AV201" s="35">
        <v>48.8</v>
      </c>
      <c r="AW201" s="35">
        <f t="shared" si="56"/>
        <v>58.5</v>
      </c>
      <c r="AX201" s="35"/>
      <c r="AY201" s="35">
        <f t="shared" si="57"/>
        <v>58.5</v>
      </c>
      <c r="AZ201" s="35">
        <v>0</v>
      </c>
      <c r="BA201" s="35">
        <f t="shared" si="58"/>
        <v>58.5</v>
      </c>
      <c r="BB201" s="35">
        <f>MIN(BA201,21.8)</f>
        <v>21.8</v>
      </c>
      <c r="BC201" s="35">
        <f t="shared" si="59"/>
        <v>36.700000000000003</v>
      </c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10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10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10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10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10"/>
      <c r="GZ201" s="9"/>
      <c r="HA201" s="9"/>
    </row>
    <row r="202" spans="1:209" s="2" customFormat="1" ht="17" customHeight="1">
      <c r="A202" s="14" t="s">
        <v>199</v>
      </c>
      <c r="B202" s="35">
        <v>0</v>
      </c>
      <c r="C202" s="35">
        <v>0</v>
      </c>
      <c r="D202" s="4">
        <f t="shared" si="48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914.9</v>
      </c>
      <c r="O202" s="35">
        <v>386</v>
      </c>
      <c r="P202" s="4">
        <f t="shared" si="49"/>
        <v>0.42190403322767517</v>
      </c>
      <c r="Q202" s="11">
        <v>20</v>
      </c>
      <c r="R202" s="35">
        <v>305</v>
      </c>
      <c r="S202" s="35">
        <v>209.2</v>
      </c>
      <c r="T202" s="4">
        <f t="shared" si="50"/>
        <v>0.68590163934426229</v>
      </c>
      <c r="U202" s="11">
        <v>35</v>
      </c>
      <c r="V202" s="35">
        <v>8</v>
      </c>
      <c r="W202" s="35">
        <v>11.4</v>
      </c>
      <c r="X202" s="4">
        <f t="shared" si="51"/>
        <v>1.2224999999999999</v>
      </c>
      <c r="Y202" s="11">
        <v>15</v>
      </c>
      <c r="Z202" s="11" t="s">
        <v>385</v>
      </c>
      <c r="AA202" s="11" t="s">
        <v>385</v>
      </c>
      <c r="AB202" s="11" t="s">
        <v>385</v>
      </c>
      <c r="AC202" s="11" t="s">
        <v>385</v>
      </c>
      <c r="AD202" s="11">
        <v>696</v>
      </c>
      <c r="AE202" s="11">
        <v>620</v>
      </c>
      <c r="AF202" s="4">
        <f t="shared" si="52"/>
        <v>0.89080459770114939</v>
      </c>
      <c r="AG202" s="11">
        <v>20</v>
      </c>
      <c r="AH202" s="5" t="s">
        <v>362</v>
      </c>
      <c r="AI202" s="5" t="s">
        <v>362</v>
      </c>
      <c r="AJ202" s="5" t="s">
        <v>362</v>
      </c>
      <c r="AK202" s="5" t="s">
        <v>362</v>
      </c>
      <c r="AL202" s="5" t="s">
        <v>362</v>
      </c>
      <c r="AM202" s="5" t="s">
        <v>362</v>
      </c>
      <c r="AN202" s="5" t="s">
        <v>362</v>
      </c>
      <c r="AO202" s="5" t="s">
        <v>362</v>
      </c>
      <c r="AP202" s="44">
        <f t="shared" si="60"/>
        <v>0.76220255550695193</v>
      </c>
      <c r="AQ202" s="45">
        <v>1433</v>
      </c>
      <c r="AR202" s="35">
        <f t="shared" si="53"/>
        <v>390.81818181818187</v>
      </c>
      <c r="AS202" s="35">
        <f t="shared" si="54"/>
        <v>297.89999999999998</v>
      </c>
      <c r="AT202" s="35">
        <f t="shared" si="55"/>
        <v>-92.918181818181893</v>
      </c>
      <c r="AU202" s="35">
        <v>90</v>
      </c>
      <c r="AV202" s="35">
        <v>69.599999999999994</v>
      </c>
      <c r="AW202" s="35">
        <f t="shared" si="56"/>
        <v>138.30000000000001</v>
      </c>
      <c r="AX202" s="35"/>
      <c r="AY202" s="35">
        <f t="shared" si="57"/>
        <v>138.30000000000001</v>
      </c>
      <c r="AZ202" s="35">
        <v>0</v>
      </c>
      <c r="BA202" s="35">
        <f t="shared" si="58"/>
        <v>138.30000000000001</v>
      </c>
      <c r="BB202" s="35">
        <f>MIN(BA202,65.1)</f>
        <v>65.099999999999994</v>
      </c>
      <c r="BC202" s="35">
        <f t="shared" si="59"/>
        <v>73.2</v>
      </c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10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10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10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10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10"/>
      <c r="GZ202" s="9"/>
      <c r="HA202" s="9"/>
    </row>
    <row r="203" spans="1:209" s="2" customFormat="1" ht="17" customHeight="1">
      <c r="A203" s="14" t="s">
        <v>200</v>
      </c>
      <c r="B203" s="35">
        <v>0</v>
      </c>
      <c r="C203" s="35">
        <v>0</v>
      </c>
      <c r="D203" s="4">
        <f t="shared" si="48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118</v>
      </c>
      <c r="O203" s="35">
        <v>71.400000000000006</v>
      </c>
      <c r="P203" s="4">
        <f t="shared" si="49"/>
        <v>0.60508474576271187</v>
      </c>
      <c r="Q203" s="11">
        <v>20</v>
      </c>
      <c r="R203" s="35">
        <v>15</v>
      </c>
      <c r="S203" s="35">
        <v>13.9</v>
      </c>
      <c r="T203" s="4">
        <f t="shared" si="50"/>
        <v>0.92666666666666664</v>
      </c>
      <c r="U203" s="11">
        <v>35</v>
      </c>
      <c r="V203" s="35">
        <v>0.1</v>
      </c>
      <c r="W203" s="35">
        <v>0.2</v>
      </c>
      <c r="X203" s="4">
        <f t="shared" si="51"/>
        <v>1.28</v>
      </c>
      <c r="Y203" s="11">
        <v>15</v>
      </c>
      <c r="Z203" s="11" t="s">
        <v>385</v>
      </c>
      <c r="AA203" s="11" t="s">
        <v>385</v>
      </c>
      <c r="AB203" s="11" t="s">
        <v>385</v>
      </c>
      <c r="AC203" s="11" t="s">
        <v>385</v>
      </c>
      <c r="AD203" s="11">
        <v>87</v>
      </c>
      <c r="AE203" s="11">
        <v>74</v>
      </c>
      <c r="AF203" s="4">
        <f t="shared" si="52"/>
        <v>0.85057471264367812</v>
      </c>
      <c r="AG203" s="11">
        <v>20</v>
      </c>
      <c r="AH203" s="5" t="s">
        <v>362</v>
      </c>
      <c r="AI203" s="5" t="s">
        <v>362</v>
      </c>
      <c r="AJ203" s="5" t="s">
        <v>362</v>
      </c>
      <c r="AK203" s="5" t="s">
        <v>362</v>
      </c>
      <c r="AL203" s="5" t="s">
        <v>362</v>
      </c>
      <c r="AM203" s="5" t="s">
        <v>362</v>
      </c>
      <c r="AN203" s="5" t="s">
        <v>362</v>
      </c>
      <c r="AO203" s="5" t="s">
        <v>362</v>
      </c>
      <c r="AP203" s="44">
        <f t="shared" si="60"/>
        <v>0.89718358334956805</v>
      </c>
      <c r="AQ203" s="45">
        <v>449</v>
      </c>
      <c r="AR203" s="35">
        <f t="shared" si="53"/>
        <v>122.45454545454547</v>
      </c>
      <c r="AS203" s="35">
        <f t="shared" si="54"/>
        <v>109.9</v>
      </c>
      <c r="AT203" s="35">
        <f t="shared" si="55"/>
        <v>-12.554545454545462</v>
      </c>
      <c r="AU203" s="35">
        <v>25.6</v>
      </c>
      <c r="AV203" s="35">
        <v>34.6</v>
      </c>
      <c r="AW203" s="35">
        <f t="shared" si="56"/>
        <v>49.7</v>
      </c>
      <c r="AX203" s="35"/>
      <c r="AY203" s="35">
        <f t="shared" si="57"/>
        <v>49.7</v>
      </c>
      <c r="AZ203" s="35">
        <v>0</v>
      </c>
      <c r="BA203" s="35">
        <f t="shared" si="58"/>
        <v>49.7</v>
      </c>
      <c r="BB203" s="35"/>
      <c r="BC203" s="35">
        <f t="shared" si="59"/>
        <v>49.7</v>
      </c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10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10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10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10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10"/>
      <c r="GZ203" s="9"/>
      <c r="HA203" s="9"/>
    </row>
    <row r="204" spans="1:209" s="2" customFormat="1" ht="17" customHeight="1">
      <c r="A204" s="14" t="s">
        <v>201</v>
      </c>
      <c r="B204" s="35">
        <v>0</v>
      </c>
      <c r="C204" s="35">
        <v>0</v>
      </c>
      <c r="D204" s="4">
        <f t="shared" si="48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338.1</v>
      </c>
      <c r="O204" s="35">
        <v>384.5</v>
      </c>
      <c r="P204" s="4">
        <f t="shared" si="49"/>
        <v>1.1372375036971309</v>
      </c>
      <c r="Q204" s="11">
        <v>20</v>
      </c>
      <c r="R204" s="35">
        <v>0.2</v>
      </c>
      <c r="S204" s="35">
        <v>0.1</v>
      </c>
      <c r="T204" s="4">
        <f t="shared" si="50"/>
        <v>0.5</v>
      </c>
      <c r="U204" s="11">
        <v>35</v>
      </c>
      <c r="V204" s="35">
        <v>0.4</v>
      </c>
      <c r="W204" s="35">
        <v>0.2</v>
      </c>
      <c r="X204" s="4">
        <f t="shared" si="51"/>
        <v>0.5</v>
      </c>
      <c r="Y204" s="11">
        <v>15</v>
      </c>
      <c r="Z204" s="11" t="s">
        <v>385</v>
      </c>
      <c r="AA204" s="11" t="s">
        <v>385</v>
      </c>
      <c r="AB204" s="11" t="s">
        <v>385</v>
      </c>
      <c r="AC204" s="11" t="s">
        <v>385</v>
      </c>
      <c r="AD204" s="11">
        <v>86</v>
      </c>
      <c r="AE204" s="11">
        <v>60</v>
      </c>
      <c r="AF204" s="4">
        <f t="shared" si="52"/>
        <v>0.69767441860465118</v>
      </c>
      <c r="AG204" s="11">
        <v>20</v>
      </c>
      <c r="AH204" s="5" t="s">
        <v>362</v>
      </c>
      <c r="AI204" s="5" t="s">
        <v>362</v>
      </c>
      <c r="AJ204" s="5" t="s">
        <v>362</v>
      </c>
      <c r="AK204" s="5" t="s">
        <v>362</v>
      </c>
      <c r="AL204" s="5" t="s">
        <v>362</v>
      </c>
      <c r="AM204" s="5" t="s">
        <v>362</v>
      </c>
      <c r="AN204" s="5" t="s">
        <v>362</v>
      </c>
      <c r="AO204" s="5" t="s">
        <v>362</v>
      </c>
      <c r="AP204" s="44">
        <f t="shared" si="60"/>
        <v>0.6855359827337294</v>
      </c>
      <c r="AQ204" s="45">
        <v>676</v>
      </c>
      <c r="AR204" s="35">
        <f t="shared" si="53"/>
        <v>184.36363636363637</v>
      </c>
      <c r="AS204" s="35">
        <f t="shared" si="54"/>
        <v>126.4</v>
      </c>
      <c r="AT204" s="35">
        <f t="shared" si="55"/>
        <v>-57.963636363636368</v>
      </c>
      <c r="AU204" s="35">
        <v>50.2</v>
      </c>
      <c r="AV204" s="35">
        <v>51.9</v>
      </c>
      <c r="AW204" s="35">
        <f t="shared" si="56"/>
        <v>24.3</v>
      </c>
      <c r="AX204" s="35"/>
      <c r="AY204" s="35">
        <f t="shared" si="57"/>
        <v>24.3</v>
      </c>
      <c r="AZ204" s="35">
        <v>0</v>
      </c>
      <c r="BA204" s="35">
        <f t="shared" si="58"/>
        <v>24.3</v>
      </c>
      <c r="BB204" s="35"/>
      <c r="BC204" s="35">
        <f t="shared" si="59"/>
        <v>24.3</v>
      </c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10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10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10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10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10"/>
      <c r="GZ204" s="9"/>
      <c r="HA204" s="9"/>
    </row>
    <row r="205" spans="1:209" s="2" customFormat="1" ht="17" customHeight="1">
      <c r="A205" s="18" t="s">
        <v>202</v>
      </c>
      <c r="B205" s="6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35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10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10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10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10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10"/>
      <c r="GZ205" s="9"/>
      <c r="HA205" s="9"/>
    </row>
    <row r="206" spans="1:209" s="2" customFormat="1" ht="16.7" customHeight="1">
      <c r="A206" s="46" t="s">
        <v>203</v>
      </c>
      <c r="B206" s="35">
        <v>188</v>
      </c>
      <c r="C206" s="35">
        <v>0</v>
      </c>
      <c r="D206" s="4">
        <f t="shared" si="48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505.7</v>
      </c>
      <c r="O206" s="35">
        <v>360.2</v>
      </c>
      <c r="P206" s="4">
        <f t="shared" si="49"/>
        <v>0.71228000790982793</v>
      </c>
      <c r="Q206" s="11">
        <v>20</v>
      </c>
      <c r="R206" s="35">
        <v>244</v>
      </c>
      <c r="S206" s="35">
        <v>255.1</v>
      </c>
      <c r="T206" s="4">
        <f t="shared" si="50"/>
        <v>1.0454918032786884</v>
      </c>
      <c r="U206" s="11">
        <v>15</v>
      </c>
      <c r="V206" s="35">
        <v>0.6</v>
      </c>
      <c r="W206" s="35">
        <v>0.8</v>
      </c>
      <c r="X206" s="4">
        <f t="shared" si="51"/>
        <v>1.2133333333333334</v>
      </c>
      <c r="Y206" s="11">
        <v>35</v>
      </c>
      <c r="Z206" s="11" t="s">
        <v>385</v>
      </c>
      <c r="AA206" s="11" t="s">
        <v>385</v>
      </c>
      <c r="AB206" s="11" t="s">
        <v>385</v>
      </c>
      <c r="AC206" s="11" t="s">
        <v>385</v>
      </c>
      <c r="AD206" s="11">
        <v>370</v>
      </c>
      <c r="AE206" s="11">
        <v>347</v>
      </c>
      <c r="AF206" s="4">
        <f t="shared" si="52"/>
        <v>0.93783783783783781</v>
      </c>
      <c r="AG206" s="11">
        <v>20</v>
      </c>
      <c r="AH206" s="5" t="s">
        <v>362</v>
      </c>
      <c r="AI206" s="5" t="s">
        <v>362</v>
      </c>
      <c r="AJ206" s="5" t="s">
        <v>362</v>
      </c>
      <c r="AK206" s="5" t="s">
        <v>362</v>
      </c>
      <c r="AL206" s="5" t="s">
        <v>362</v>
      </c>
      <c r="AM206" s="5" t="s">
        <v>362</v>
      </c>
      <c r="AN206" s="5" t="s">
        <v>362</v>
      </c>
      <c r="AO206" s="5" t="s">
        <v>362</v>
      </c>
      <c r="AP206" s="44">
        <f t="shared" si="60"/>
        <v>0.91151400630800306</v>
      </c>
      <c r="AQ206" s="45">
        <v>904</v>
      </c>
      <c r="AR206" s="35">
        <f t="shared" si="53"/>
        <v>246.54545454545456</v>
      </c>
      <c r="AS206" s="35">
        <f t="shared" si="54"/>
        <v>224.7</v>
      </c>
      <c r="AT206" s="35">
        <f t="shared" si="55"/>
        <v>-21.845454545454572</v>
      </c>
      <c r="AU206" s="35">
        <v>67</v>
      </c>
      <c r="AV206" s="35">
        <v>65.3</v>
      </c>
      <c r="AW206" s="35">
        <f t="shared" si="56"/>
        <v>92.4</v>
      </c>
      <c r="AX206" s="35"/>
      <c r="AY206" s="35">
        <f t="shared" si="57"/>
        <v>92.4</v>
      </c>
      <c r="AZ206" s="35">
        <v>0</v>
      </c>
      <c r="BA206" s="35">
        <f t="shared" si="58"/>
        <v>92.4</v>
      </c>
      <c r="BB206" s="35"/>
      <c r="BC206" s="35">
        <f t="shared" si="59"/>
        <v>92.4</v>
      </c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10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10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10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10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10"/>
      <c r="GZ206" s="9"/>
      <c r="HA206" s="9"/>
    </row>
    <row r="207" spans="1:209" s="2" customFormat="1" ht="17" customHeight="1">
      <c r="A207" s="46" t="s">
        <v>204</v>
      </c>
      <c r="B207" s="35">
        <v>0</v>
      </c>
      <c r="C207" s="35">
        <v>0</v>
      </c>
      <c r="D207" s="4">
        <f t="shared" si="48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921.5</v>
      </c>
      <c r="O207" s="35">
        <v>297.10000000000002</v>
      </c>
      <c r="P207" s="4">
        <f t="shared" si="49"/>
        <v>0.32240911557243629</v>
      </c>
      <c r="Q207" s="11">
        <v>20</v>
      </c>
      <c r="R207" s="35">
        <v>13</v>
      </c>
      <c r="S207" s="35">
        <v>11.6</v>
      </c>
      <c r="T207" s="4">
        <f t="shared" si="50"/>
        <v>0.89230769230769225</v>
      </c>
      <c r="U207" s="11">
        <v>20</v>
      </c>
      <c r="V207" s="35">
        <v>0.6</v>
      </c>
      <c r="W207" s="35">
        <v>0.6</v>
      </c>
      <c r="X207" s="4">
        <f t="shared" si="51"/>
        <v>1</v>
      </c>
      <c r="Y207" s="11">
        <v>30</v>
      </c>
      <c r="Z207" s="11" t="s">
        <v>385</v>
      </c>
      <c r="AA207" s="11" t="s">
        <v>385</v>
      </c>
      <c r="AB207" s="11" t="s">
        <v>385</v>
      </c>
      <c r="AC207" s="11" t="s">
        <v>385</v>
      </c>
      <c r="AD207" s="11">
        <v>126</v>
      </c>
      <c r="AE207" s="11">
        <v>141</v>
      </c>
      <c r="AF207" s="4">
        <f t="shared" si="52"/>
        <v>1.1190476190476191</v>
      </c>
      <c r="AG207" s="11">
        <v>20</v>
      </c>
      <c r="AH207" s="5" t="s">
        <v>362</v>
      </c>
      <c r="AI207" s="5" t="s">
        <v>362</v>
      </c>
      <c r="AJ207" s="5" t="s">
        <v>362</v>
      </c>
      <c r="AK207" s="5" t="s">
        <v>362</v>
      </c>
      <c r="AL207" s="5" t="s">
        <v>362</v>
      </c>
      <c r="AM207" s="5" t="s">
        <v>362</v>
      </c>
      <c r="AN207" s="5" t="s">
        <v>362</v>
      </c>
      <c r="AO207" s="5" t="s">
        <v>362</v>
      </c>
      <c r="AP207" s="44">
        <f t="shared" si="60"/>
        <v>0.85194765042838838</v>
      </c>
      <c r="AQ207" s="45">
        <v>1867</v>
      </c>
      <c r="AR207" s="35">
        <f t="shared" si="53"/>
        <v>509.18181818181813</v>
      </c>
      <c r="AS207" s="35">
        <f t="shared" si="54"/>
        <v>433.8</v>
      </c>
      <c r="AT207" s="35">
        <f t="shared" si="55"/>
        <v>-75.381818181818119</v>
      </c>
      <c r="AU207" s="35">
        <v>129.19999999999999</v>
      </c>
      <c r="AV207" s="35">
        <v>131.4</v>
      </c>
      <c r="AW207" s="35">
        <f t="shared" si="56"/>
        <v>173.2</v>
      </c>
      <c r="AX207" s="35"/>
      <c r="AY207" s="35">
        <f t="shared" si="57"/>
        <v>173.2</v>
      </c>
      <c r="AZ207" s="35">
        <v>0</v>
      </c>
      <c r="BA207" s="35">
        <f t="shared" si="58"/>
        <v>173.2</v>
      </c>
      <c r="BB207" s="35"/>
      <c r="BC207" s="35">
        <f t="shared" si="59"/>
        <v>173.2</v>
      </c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10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10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10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10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10"/>
      <c r="GZ207" s="9"/>
      <c r="HA207" s="9"/>
    </row>
    <row r="208" spans="1:209" s="2" customFormat="1" ht="17" customHeight="1">
      <c r="A208" s="46" t="s">
        <v>205</v>
      </c>
      <c r="B208" s="35">
        <v>98462</v>
      </c>
      <c r="C208" s="35">
        <v>169213.7</v>
      </c>
      <c r="D208" s="4">
        <f t="shared" si="48"/>
        <v>1.2518568584834759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4517.6000000000004</v>
      </c>
      <c r="O208" s="35">
        <v>3644.4</v>
      </c>
      <c r="P208" s="4">
        <f t="shared" si="49"/>
        <v>0.80671152824508585</v>
      </c>
      <c r="Q208" s="11">
        <v>20</v>
      </c>
      <c r="R208" s="35">
        <v>0.2</v>
      </c>
      <c r="S208" s="35">
        <v>0.2</v>
      </c>
      <c r="T208" s="4">
        <f t="shared" si="50"/>
        <v>1</v>
      </c>
      <c r="U208" s="11">
        <v>5</v>
      </c>
      <c r="V208" s="35">
        <v>1.5</v>
      </c>
      <c r="W208" s="35">
        <v>1.7</v>
      </c>
      <c r="X208" s="4">
        <f t="shared" si="51"/>
        <v>1.1333333333333333</v>
      </c>
      <c r="Y208" s="11">
        <v>45</v>
      </c>
      <c r="Z208" s="11" t="s">
        <v>385</v>
      </c>
      <c r="AA208" s="11" t="s">
        <v>385</v>
      </c>
      <c r="AB208" s="11" t="s">
        <v>385</v>
      </c>
      <c r="AC208" s="11" t="s">
        <v>385</v>
      </c>
      <c r="AD208" s="11">
        <v>5</v>
      </c>
      <c r="AE208" s="11">
        <v>11</v>
      </c>
      <c r="AF208" s="4">
        <f t="shared" si="52"/>
        <v>1.3</v>
      </c>
      <c r="AG208" s="11">
        <v>20</v>
      </c>
      <c r="AH208" s="5" t="s">
        <v>362</v>
      </c>
      <c r="AI208" s="5" t="s">
        <v>362</v>
      </c>
      <c r="AJ208" s="5" t="s">
        <v>362</v>
      </c>
      <c r="AK208" s="5" t="s">
        <v>362</v>
      </c>
      <c r="AL208" s="5" t="s">
        <v>362</v>
      </c>
      <c r="AM208" s="5" t="s">
        <v>362</v>
      </c>
      <c r="AN208" s="5" t="s">
        <v>362</v>
      </c>
      <c r="AO208" s="5" t="s">
        <v>362</v>
      </c>
      <c r="AP208" s="44">
        <f t="shared" si="60"/>
        <v>1.1065279914973649</v>
      </c>
      <c r="AQ208" s="45">
        <v>12</v>
      </c>
      <c r="AR208" s="35">
        <f t="shared" si="53"/>
        <v>3.2727272727272725</v>
      </c>
      <c r="AS208" s="35">
        <f t="shared" si="54"/>
        <v>3.6</v>
      </c>
      <c r="AT208" s="35">
        <f t="shared" si="55"/>
        <v>0.3272727272727276</v>
      </c>
      <c r="AU208" s="35">
        <v>1.2</v>
      </c>
      <c r="AV208" s="35">
        <v>1.1000000000000001</v>
      </c>
      <c r="AW208" s="35">
        <f t="shared" si="56"/>
        <v>1.3</v>
      </c>
      <c r="AX208" s="35"/>
      <c r="AY208" s="35">
        <f t="shared" si="57"/>
        <v>1.3</v>
      </c>
      <c r="AZ208" s="35">
        <v>0</v>
      </c>
      <c r="BA208" s="35">
        <f t="shared" si="58"/>
        <v>1.3</v>
      </c>
      <c r="BB208" s="35"/>
      <c r="BC208" s="35">
        <f t="shared" si="59"/>
        <v>1.3</v>
      </c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10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10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10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10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10"/>
      <c r="GZ208" s="9"/>
      <c r="HA208" s="9"/>
    </row>
    <row r="209" spans="1:209" s="2" customFormat="1" ht="17" customHeight="1">
      <c r="A209" s="46" t="s">
        <v>206</v>
      </c>
      <c r="B209" s="35">
        <v>5014</v>
      </c>
      <c r="C209" s="35">
        <v>5604</v>
      </c>
      <c r="D209" s="4">
        <f t="shared" si="48"/>
        <v>1.1176705225368966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591.9</v>
      </c>
      <c r="O209" s="35">
        <v>392.9</v>
      </c>
      <c r="P209" s="4">
        <f t="shared" si="49"/>
        <v>0.66379455989187364</v>
      </c>
      <c r="Q209" s="11">
        <v>20</v>
      </c>
      <c r="R209" s="35">
        <v>20</v>
      </c>
      <c r="S209" s="35">
        <v>23.7</v>
      </c>
      <c r="T209" s="4">
        <f t="shared" si="50"/>
        <v>1.1850000000000001</v>
      </c>
      <c r="U209" s="11">
        <v>30</v>
      </c>
      <c r="V209" s="35">
        <v>1.5</v>
      </c>
      <c r="W209" s="35">
        <v>1.6</v>
      </c>
      <c r="X209" s="4">
        <f t="shared" si="51"/>
        <v>1.0666666666666667</v>
      </c>
      <c r="Y209" s="11">
        <v>20</v>
      </c>
      <c r="Z209" s="11" t="s">
        <v>385</v>
      </c>
      <c r="AA209" s="11" t="s">
        <v>385</v>
      </c>
      <c r="AB209" s="11" t="s">
        <v>385</v>
      </c>
      <c r="AC209" s="11" t="s">
        <v>385</v>
      </c>
      <c r="AD209" s="11">
        <v>140</v>
      </c>
      <c r="AE209" s="11">
        <v>141</v>
      </c>
      <c r="AF209" s="4">
        <f t="shared" si="52"/>
        <v>1.0071428571428571</v>
      </c>
      <c r="AG209" s="11">
        <v>20</v>
      </c>
      <c r="AH209" s="5" t="s">
        <v>362</v>
      </c>
      <c r="AI209" s="5" t="s">
        <v>362</v>
      </c>
      <c r="AJ209" s="5" t="s">
        <v>362</v>
      </c>
      <c r="AK209" s="5" t="s">
        <v>362</v>
      </c>
      <c r="AL209" s="5" t="s">
        <v>362</v>
      </c>
      <c r="AM209" s="5" t="s">
        <v>362</v>
      </c>
      <c r="AN209" s="5" t="s">
        <v>362</v>
      </c>
      <c r="AO209" s="5" t="s">
        <v>362</v>
      </c>
      <c r="AP209" s="44">
        <f t="shared" si="60"/>
        <v>1.0147878689939691</v>
      </c>
      <c r="AQ209" s="45">
        <v>1220</v>
      </c>
      <c r="AR209" s="35">
        <f t="shared" si="53"/>
        <v>332.72727272727275</v>
      </c>
      <c r="AS209" s="35">
        <f t="shared" si="54"/>
        <v>337.6</v>
      </c>
      <c r="AT209" s="35">
        <f t="shared" si="55"/>
        <v>4.8727272727272748</v>
      </c>
      <c r="AU209" s="35">
        <v>108.7</v>
      </c>
      <c r="AV209" s="35">
        <v>95.7</v>
      </c>
      <c r="AW209" s="35">
        <f t="shared" si="56"/>
        <v>133.19999999999999</v>
      </c>
      <c r="AX209" s="35"/>
      <c r="AY209" s="35">
        <f t="shared" si="57"/>
        <v>133.19999999999999</v>
      </c>
      <c r="AZ209" s="35">
        <v>0</v>
      </c>
      <c r="BA209" s="35">
        <f t="shared" si="58"/>
        <v>133.19999999999999</v>
      </c>
      <c r="BB209" s="35">
        <f>MIN(BA209,55.5)</f>
        <v>55.5</v>
      </c>
      <c r="BC209" s="35">
        <f t="shared" si="59"/>
        <v>77.7</v>
      </c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10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10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10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10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10"/>
      <c r="GZ209" s="9"/>
      <c r="HA209" s="9"/>
    </row>
    <row r="210" spans="1:209" s="2" customFormat="1" ht="17" customHeight="1">
      <c r="A210" s="46" t="s">
        <v>207</v>
      </c>
      <c r="B210" s="35">
        <v>134430</v>
      </c>
      <c r="C210" s="35">
        <v>140074.4</v>
      </c>
      <c r="D210" s="4">
        <f t="shared" si="48"/>
        <v>1.0419876515658706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11310.3</v>
      </c>
      <c r="O210" s="35">
        <v>11238.5</v>
      </c>
      <c r="P210" s="4">
        <f t="shared" si="49"/>
        <v>0.99365180410776022</v>
      </c>
      <c r="Q210" s="11">
        <v>20</v>
      </c>
      <c r="R210" s="35">
        <v>434</v>
      </c>
      <c r="S210" s="35">
        <v>418.8</v>
      </c>
      <c r="T210" s="4">
        <f t="shared" si="50"/>
        <v>0.9649769585253456</v>
      </c>
      <c r="U210" s="11">
        <v>40</v>
      </c>
      <c r="V210" s="35">
        <v>32</v>
      </c>
      <c r="W210" s="35">
        <v>34.799999999999997</v>
      </c>
      <c r="X210" s="4">
        <f t="shared" si="51"/>
        <v>1.0874999999999999</v>
      </c>
      <c r="Y210" s="11">
        <v>10</v>
      </c>
      <c r="Z210" s="11" t="s">
        <v>385</v>
      </c>
      <c r="AA210" s="11" t="s">
        <v>385</v>
      </c>
      <c r="AB210" s="11" t="s">
        <v>385</v>
      </c>
      <c r="AC210" s="11" t="s">
        <v>385</v>
      </c>
      <c r="AD210" s="11">
        <v>630</v>
      </c>
      <c r="AE210" s="11">
        <v>429</v>
      </c>
      <c r="AF210" s="4">
        <f t="shared" si="52"/>
        <v>0.68095238095238098</v>
      </c>
      <c r="AG210" s="11">
        <v>20</v>
      </c>
      <c r="AH210" s="5" t="s">
        <v>362</v>
      </c>
      <c r="AI210" s="5" t="s">
        <v>362</v>
      </c>
      <c r="AJ210" s="5" t="s">
        <v>362</v>
      </c>
      <c r="AK210" s="5" t="s">
        <v>362</v>
      </c>
      <c r="AL210" s="5" t="s">
        <v>362</v>
      </c>
      <c r="AM210" s="5" t="s">
        <v>362</v>
      </c>
      <c r="AN210" s="5" t="s">
        <v>362</v>
      </c>
      <c r="AO210" s="5" t="s">
        <v>362</v>
      </c>
      <c r="AP210" s="44">
        <f t="shared" si="60"/>
        <v>0.9338603855787535</v>
      </c>
      <c r="AQ210" s="45">
        <v>2132</v>
      </c>
      <c r="AR210" s="35">
        <f t="shared" si="53"/>
        <v>581.4545454545455</v>
      </c>
      <c r="AS210" s="35">
        <f t="shared" si="54"/>
        <v>543</v>
      </c>
      <c r="AT210" s="35">
        <f t="shared" si="55"/>
        <v>-38.454545454545496</v>
      </c>
      <c r="AU210" s="35">
        <v>165.2</v>
      </c>
      <c r="AV210" s="35">
        <v>203.6</v>
      </c>
      <c r="AW210" s="35">
        <f t="shared" si="56"/>
        <v>174.2</v>
      </c>
      <c r="AX210" s="35"/>
      <c r="AY210" s="35">
        <f t="shared" si="57"/>
        <v>174.2</v>
      </c>
      <c r="AZ210" s="35">
        <v>0</v>
      </c>
      <c r="BA210" s="35">
        <f t="shared" si="58"/>
        <v>174.2</v>
      </c>
      <c r="BB210" s="35"/>
      <c r="BC210" s="35">
        <f t="shared" si="59"/>
        <v>174.2</v>
      </c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10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10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10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10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10"/>
      <c r="GZ210" s="9"/>
      <c r="HA210" s="9"/>
    </row>
    <row r="211" spans="1:209" s="2" customFormat="1" ht="17" customHeight="1">
      <c r="A211" s="46" t="s">
        <v>208</v>
      </c>
      <c r="B211" s="35">
        <v>40276</v>
      </c>
      <c r="C211" s="35">
        <v>38057</v>
      </c>
      <c r="D211" s="4">
        <f t="shared" si="48"/>
        <v>0.94490515443440259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2559.9</v>
      </c>
      <c r="O211" s="35">
        <v>1996.8</v>
      </c>
      <c r="P211" s="4">
        <f t="shared" si="49"/>
        <v>0.78003046994023195</v>
      </c>
      <c r="Q211" s="11">
        <v>20</v>
      </c>
      <c r="R211" s="35">
        <v>0.2</v>
      </c>
      <c r="S211" s="35">
        <v>0.2</v>
      </c>
      <c r="T211" s="4">
        <f t="shared" si="50"/>
        <v>1</v>
      </c>
      <c r="U211" s="11">
        <v>15</v>
      </c>
      <c r="V211" s="35">
        <v>0.6</v>
      </c>
      <c r="W211" s="35">
        <v>0.7</v>
      </c>
      <c r="X211" s="4">
        <f t="shared" si="51"/>
        <v>1.1666666666666667</v>
      </c>
      <c r="Y211" s="11">
        <v>35</v>
      </c>
      <c r="Z211" s="11" t="s">
        <v>385</v>
      </c>
      <c r="AA211" s="11" t="s">
        <v>385</v>
      </c>
      <c r="AB211" s="11" t="s">
        <v>385</v>
      </c>
      <c r="AC211" s="11" t="s">
        <v>385</v>
      </c>
      <c r="AD211" s="11">
        <v>10</v>
      </c>
      <c r="AE211" s="11">
        <v>9</v>
      </c>
      <c r="AF211" s="4">
        <f t="shared" si="52"/>
        <v>0.9</v>
      </c>
      <c r="AG211" s="11">
        <v>20</v>
      </c>
      <c r="AH211" s="5" t="s">
        <v>362</v>
      </c>
      <c r="AI211" s="5" t="s">
        <v>362</v>
      </c>
      <c r="AJ211" s="5" t="s">
        <v>362</v>
      </c>
      <c r="AK211" s="5" t="s">
        <v>362</v>
      </c>
      <c r="AL211" s="5" t="s">
        <v>362</v>
      </c>
      <c r="AM211" s="5" t="s">
        <v>362</v>
      </c>
      <c r="AN211" s="5" t="s">
        <v>362</v>
      </c>
      <c r="AO211" s="5" t="s">
        <v>362</v>
      </c>
      <c r="AP211" s="44">
        <f t="shared" si="60"/>
        <v>0.98882994276482006</v>
      </c>
      <c r="AQ211" s="45">
        <v>532</v>
      </c>
      <c r="AR211" s="35">
        <f t="shared" si="53"/>
        <v>145.09090909090909</v>
      </c>
      <c r="AS211" s="35">
        <f t="shared" si="54"/>
        <v>143.5</v>
      </c>
      <c r="AT211" s="35">
        <f t="shared" si="55"/>
        <v>-1.5909090909090935</v>
      </c>
      <c r="AU211" s="35">
        <v>50.1</v>
      </c>
      <c r="AV211" s="35">
        <v>43.8</v>
      </c>
      <c r="AW211" s="35">
        <f t="shared" si="56"/>
        <v>49.6</v>
      </c>
      <c r="AX211" s="35"/>
      <c r="AY211" s="35">
        <f t="shared" si="57"/>
        <v>49.6</v>
      </c>
      <c r="AZ211" s="35">
        <v>0</v>
      </c>
      <c r="BA211" s="35">
        <f t="shared" si="58"/>
        <v>49.6</v>
      </c>
      <c r="BB211" s="35">
        <f>MIN(BA211,1)</f>
        <v>1</v>
      </c>
      <c r="BC211" s="35">
        <f t="shared" si="59"/>
        <v>48.6</v>
      </c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10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10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10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10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10"/>
      <c r="GZ211" s="9"/>
      <c r="HA211" s="9"/>
    </row>
    <row r="212" spans="1:209" s="2" customFormat="1" ht="17" customHeight="1">
      <c r="A212" s="46" t="s">
        <v>209</v>
      </c>
      <c r="B212" s="35">
        <v>736526</v>
      </c>
      <c r="C212" s="35">
        <v>613897.6</v>
      </c>
      <c r="D212" s="4">
        <f t="shared" si="48"/>
        <v>0.83350431620879639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5689</v>
      </c>
      <c r="O212" s="35">
        <v>6204.3</v>
      </c>
      <c r="P212" s="4">
        <f t="shared" si="49"/>
        <v>1.0905783090174019</v>
      </c>
      <c r="Q212" s="11">
        <v>20</v>
      </c>
      <c r="R212" s="35">
        <v>6</v>
      </c>
      <c r="S212" s="35">
        <v>6.6</v>
      </c>
      <c r="T212" s="4">
        <f t="shared" si="50"/>
        <v>1.0999999999999999</v>
      </c>
      <c r="U212" s="11">
        <v>30</v>
      </c>
      <c r="V212" s="35">
        <v>12</v>
      </c>
      <c r="W212" s="35">
        <v>12.5</v>
      </c>
      <c r="X212" s="4">
        <f t="shared" si="51"/>
        <v>1.0416666666666667</v>
      </c>
      <c r="Y212" s="11">
        <v>20</v>
      </c>
      <c r="Z212" s="11" t="s">
        <v>385</v>
      </c>
      <c r="AA212" s="11" t="s">
        <v>385</v>
      </c>
      <c r="AB212" s="11" t="s">
        <v>385</v>
      </c>
      <c r="AC212" s="11" t="s">
        <v>385</v>
      </c>
      <c r="AD212" s="11">
        <v>60</v>
      </c>
      <c r="AE212" s="11">
        <v>60</v>
      </c>
      <c r="AF212" s="4">
        <f t="shared" si="52"/>
        <v>1</v>
      </c>
      <c r="AG212" s="11">
        <v>20</v>
      </c>
      <c r="AH212" s="5" t="s">
        <v>362</v>
      </c>
      <c r="AI212" s="5" t="s">
        <v>362</v>
      </c>
      <c r="AJ212" s="5" t="s">
        <v>362</v>
      </c>
      <c r="AK212" s="5" t="s">
        <v>362</v>
      </c>
      <c r="AL212" s="5" t="s">
        <v>362</v>
      </c>
      <c r="AM212" s="5" t="s">
        <v>362</v>
      </c>
      <c r="AN212" s="5" t="s">
        <v>362</v>
      </c>
      <c r="AO212" s="5" t="s">
        <v>362</v>
      </c>
      <c r="AP212" s="44">
        <f t="shared" si="60"/>
        <v>1.0397994267576933</v>
      </c>
      <c r="AQ212" s="45">
        <v>47</v>
      </c>
      <c r="AR212" s="35">
        <f t="shared" si="53"/>
        <v>12.818181818181817</v>
      </c>
      <c r="AS212" s="35">
        <f t="shared" si="54"/>
        <v>13.3</v>
      </c>
      <c r="AT212" s="35">
        <f t="shared" si="55"/>
        <v>0.48181818181818414</v>
      </c>
      <c r="AU212" s="35">
        <v>4.7</v>
      </c>
      <c r="AV212" s="35">
        <v>4</v>
      </c>
      <c r="AW212" s="35">
        <f t="shared" si="56"/>
        <v>4.5999999999999996</v>
      </c>
      <c r="AX212" s="35"/>
      <c r="AY212" s="35">
        <f t="shared" si="57"/>
        <v>4.5999999999999996</v>
      </c>
      <c r="AZ212" s="35">
        <v>0</v>
      </c>
      <c r="BA212" s="35">
        <f t="shared" si="58"/>
        <v>4.5999999999999996</v>
      </c>
      <c r="BB212" s="35"/>
      <c r="BC212" s="35">
        <f t="shared" si="59"/>
        <v>4.5999999999999996</v>
      </c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10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10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10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10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10"/>
      <c r="GZ212" s="9"/>
      <c r="HA212" s="9"/>
    </row>
    <row r="213" spans="1:209" s="2" customFormat="1" ht="17" customHeight="1">
      <c r="A213" s="46" t="s">
        <v>210</v>
      </c>
      <c r="B213" s="35">
        <v>18721</v>
      </c>
      <c r="C213" s="35">
        <v>22111.1</v>
      </c>
      <c r="D213" s="4">
        <f t="shared" si="48"/>
        <v>1.1810854121040542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764.6</v>
      </c>
      <c r="O213" s="35">
        <v>773.9</v>
      </c>
      <c r="P213" s="4">
        <f t="shared" si="49"/>
        <v>1.0121632226000523</v>
      </c>
      <c r="Q213" s="11">
        <v>20</v>
      </c>
      <c r="R213" s="35">
        <v>24</v>
      </c>
      <c r="S213" s="35">
        <v>27.6</v>
      </c>
      <c r="T213" s="4">
        <f t="shared" si="50"/>
        <v>1.1500000000000001</v>
      </c>
      <c r="U213" s="11">
        <v>30</v>
      </c>
      <c r="V213" s="35">
        <v>3</v>
      </c>
      <c r="W213" s="35">
        <v>3.6</v>
      </c>
      <c r="X213" s="4">
        <f t="shared" si="51"/>
        <v>1.2</v>
      </c>
      <c r="Y213" s="11">
        <v>20</v>
      </c>
      <c r="Z213" s="11" t="s">
        <v>385</v>
      </c>
      <c r="AA213" s="11" t="s">
        <v>385</v>
      </c>
      <c r="AB213" s="11" t="s">
        <v>385</v>
      </c>
      <c r="AC213" s="11" t="s">
        <v>385</v>
      </c>
      <c r="AD213" s="11">
        <v>230</v>
      </c>
      <c r="AE213" s="11">
        <v>242</v>
      </c>
      <c r="AF213" s="4">
        <f t="shared" si="52"/>
        <v>1.0521739130434782</v>
      </c>
      <c r="AG213" s="11">
        <v>20</v>
      </c>
      <c r="AH213" s="5" t="s">
        <v>362</v>
      </c>
      <c r="AI213" s="5" t="s">
        <v>362</v>
      </c>
      <c r="AJ213" s="5" t="s">
        <v>362</v>
      </c>
      <c r="AK213" s="5" t="s">
        <v>362</v>
      </c>
      <c r="AL213" s="5" t="s">
        <v>362</v>
      </c>
      <c r="AM213" s="5" t="s">
        <v>362</v>
      </c>
      <c r="AN213" s="5" t="s">
        <v>362</v>
      </c>
      <c r="AO213" s="5" t="s">
        <v>362</v>
      </c>
      <c r="AP213" s="44">
        <f t="shared" si="60"/>
        <v>1.1159759683391115</v>
      </c>
      <c r="AQ213" s="45">
        <v>2797</v>
      </c>
      <c r="AR213" s="35">
        <f t="shared" si="53"/>
        <v>762.81818181818187</v>
      </c>
      <c r="AS213" s="35">
        <f t="shared" si="54"/>
        <v>851.3</v>
      </c>
      <c r="AT213" s="35">
        <f t="shared" si="55"/>
        <v>88.481818181818085</v>
      </c>
      <c r="AU213" s="35">
        <v>252.6</v>
      </c>
      <c r="AV213" s="35">
        <v>305.10000000000002</v>
      </c>
      <c r="AW213" s="35">
        <f t="shared" si="56"/>
        <v>293.60000000000002</v>
      </c>
      <c r="AX213" s="35"/>
      <c r="AY213" s="35">
        <f t="shared" si="57"/>
        <v>293.60000000000002</v>
      </c>
      <c r="AZ213" s="35">
        <v>0</v>
      </c>
      <c r="BA213" s="35">
        <f t="shared" si="58"/>
        <v>293.60000000000002</v>
      </c>
      <c r="BB213" s="35">
        <f>MIN(BA213,127.1)</f>
        <v>127.1</v>
      </c>
      <c r="BC213" s="35">
        <f t="shared" si="59"/>
        <v>166.5</v>
      </c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10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10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10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10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10"/>
      <c r="GZ213" s="9"/>
      <c r="HA213" s="9"/>
    </row>
    <row r="214" spans="1:209" s="2" customFormat="1" ht="17" customHeight="1">
      <c r="A214" s="46" t="s">
        <v>211</v>
      </c>
      <c r="B214" s="35">
        <v>364069</v>
      </c>
      <c r="C214" s="35">
        <v>351892.3</v>
      </c>
      <c r="D214" s="4">
        <f t="shared" si="48"/>
        <v>0.96655386753609884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4901.5</v>
      </c>
      <c r="O214" s="35">
        <v>3743.8</v>
      </c>
      <c r="P214" s="4">
        <f t="shared" si="49"/>
        <v>0.76380699785779871</v>
      </c>
      <c r="Q214" s="11">
        <v>20</v>
      </c>
      <c r="R214" s="35">
        <v>434</v>
      </c>
      <c r="S214" s="35">
        <v>300</v>
      </c>
      <c r="T214" s="4">
        <f t="shared" si="50"/>
        <v>0.69124423963133641</v>
      </c>
      <c r="U214" s="11">
        <v>10</v>
      </c>
      <c r="V214" s="35">
        <v>581</v>
      </c>
      <c r="W214" s="35">
        <v>331.8</v>
      </c>
      <c r="X214" s="4">
        <f t="shared" si="51"/>
        <v>0.57108433734939756</v>
      </c>
      <c r="Y214" s="11">
        <v>40</v>
      </c>
      <c r="Z214" s="11" t="s">
        <v>385</v>
      </c>
      <c r="AA214" s="11" t="s">
        <v>385</v>
      </c>
      <c r="AB214" s="11" t="s">
        <v>385</v>
      </c>
      <c r="AC214" s="11" t="s">
        <v>385</v>
      </c>
      <c r="AD214" s="11">
        <v>698</v>
      </c>
      <c r="AE214" s="11">
        <v>794</v>
      </c>
      <c r="AF214" s="4">
        <f t="shared" si="52"/>
        <v>1.1375358166189111</v>
      </c>
      <c r="AG214" s="11">
        <v>20</v>
      </c>
      <c r="AH214" s="5" t="s">
        <v>362</v>
      </c>
      <c r="AI214" s="5" t="s">
        <v>362</v>
      </c>
      <c r="AJ214" s="5" t="s">
        <v>362</v>
      </c>
      <c r="AK214" s="5" t="s">
        <v>362</v>
      </c>
      <c r="AL214" s="5" t="s">
        <v>362</v>
      </c>
      <c r="AM214" s="5" t="s">
        <v>362</v>
      </c>
      <c r="AN214" s="5" t="s">
        <v>362</v>
      </c>
      <c r="AO214" s="5" t="s">
        <v>362</v>
      </c>
      <c r="AP214" s="44">
        <f t="shared" si="60"/>
        <v>0.77448210855184441</v>
      </c>
      <c r="AQ214" s="45">
        <v>147</v>
      </c>
      <c r="AR214" s="35">
        <f t="shared" si="53"/>
        <v>40.090909090909093</v>
      </c>
      <c r="AS214" s="35">
        <f t="shared" si="54"/>
        <v>31</v>
      </c>
      <c r="AT214" s="35">
        <f t="shared" si="55"/>
        <v>-9.0909090909090935</v>
      </c>
      <c r="AU214" s="35">
        <v>9.5</v>
      </c>
      <c r="AV214" s="35">
        <v>9</v>
      </c>
      <c r="AW214" s="35">
        <f t="shared" si="56"/>
        <v>12.5</v>
      </c>
      <c r="AX214" s="35"/>
      <c r="AY214" s="35">
        <f t="shared" si="57"/>
        <v>12.5</v>
      </c>
      <c r="AZ214" s="35">
        <v>0</v>
      </c>
      <c r="BA214" s="35">
        <f t="shared" si="58"/>
        <v>12.5</v>
      </c>
      <c r="BB214" s="35"/>
      <c r="BC214" s="35">
        <f t="shared" si="59"/>
        <v>12.5</v>
      </c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10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10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10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10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10"/>
      <c r="GZ214" s="9"/>
      <c r="HA214" s="9"/>
    </row>
    <row r="215" spans="1:209" s="2" customFormat="1" ht="17" customHeight="1">
      <c r="A215" s="46" t="s">
        <v>212</v>
      </c>
      <c r="B215" s="35">
        <v>0</v>
      </c>
      <c r="C215" s="35">
        <v>0</v>
      </c>
      <c r="D215" s="4">
        <f t="shared" si="48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217.6</v>
      </c>
      <c r="O215" s="35">
        <v>82.3</v>
      </c>
      <c r="P215" s="4">
        <f t="shared" si="49"/>
        <v>0.3782169117647059</v>
      </c>
      <c r="Q215" s="11">
        <v>20</v>
      </c>
      <c r="R215" s="35">
        <v>9</v>
      </c>
      <c r="S215" s="35">
        <v>9.4</v>
      </c>
      <c r="T215" s="4">
        <f t="shared" si="50"/>
        <v>1.0444444444444445</v>
      </c>
      <c r="U215" s="11">
        <v>25</v>
      </c>
      <c r="V215" s="35">
        <v>1.2</v>
      </c>
      <c r="W215" s="35">
        <v>1.3</v>
      </c>
      <c r="X215" s="4">
        <f t="shared" si="51"/>
        <v>1.0833333333333335</v>
      </c>
      <c r="Y215" s="11">
        <v>25</v>
      </c>
      <c r="Z215" s="11" t="s">
        <v>385</v>
      </c>
      <c r="AA215" s="11" t="s">
        <v>385</v>
      </c>
      <c r="AB215" s="11" t="s">
        <v>385</v>
      </c>
      <c r="AC215" s="11" t="s">
        <v>385</v>
      </c>
      <c r="AD215" s="11">
        <v>72</v>
      </c>
      <c r="AE215" s="11">
        <v>72</v>
      </c>
      <c r="AF215" s="4">
        <f t="shared" si="52"/>
        <v>1</v>
      </c>
      <c r="AG215" s="11">
        <v>20</v>
      </c>
      <c r="AH215" s="5" t="s">
        <v>362</v>
      </c>
      <c r="AI215" s="5" t="s">
        <v>362</v>
      </c>
      <c r="AJ215" s="5" t="s">
        <v>362</v>
      </c>
      <c r="AK215" s="5" t="s">
        <v>362</v>
      </c>
      <c r="AL215" s="5" t="s">
        <v>362</v>
      </c>
      <c r="AM215" s="5" t="s">
        <v>362</v>
      </c>
      <c r="AN215" s="5" t="s">
        <v>362</v>
      </c>
      <c r="AO215" s="5" t="s">
        <v>362</v>
      </c>
      <c r="AP215" s="44">
        <f t="shared" si="60"/>
        <v>0.89731980755265084</v>
      </c>
      <c r="AQ215" s="45">
        <v>991</v>
      </c>
      <c r="AR215" s="35">
        <f t="shared" si="53"/>
        <v>270.27272727272725</v>
      </c>
      <c r="AS215" s="35">
        <f t="shared" si="54"/>
        <v>242.5</v>
      </c>
      <c r="AT215" s="35">
        <f t="shared" si="55"/>
        <v>-27.772727272727252</v>
      </c>
      <c r="AU215" s="35">
        <v>77.599999999999994</v>
      </c>
      <c r="AV215" s="35">
        <v>70.900000000000006</v>
      </c>
      <c r="AW215" s="35">
        <f t="shared" si="56"/>
        <v>94</v>
      </c>
      <c r="AX215" s="35"/>
      <c r="AY215" s="35">
        <f t="shared" si="57"/>
        <v>94</v>
      </c>
      <c r="AZ215" s="35">
        <v>0</v>
      </c>
      <c r="BA215" s="35">
        <f t="shared" si="58"/>
        <v>94</v>
      </c>
      <c r="BB215" s="35"/>
      <c r="BC215" s="35">
        <f t="shared" si="59"/>
        <v>94</v>
      </c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10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10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10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10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10"/>
      <c r="GZ215" s="9"/>
      <c r="HA215" s="9"/>
    </row>
    <row r="216" spans="1:209" s="2" customFormat="1" ht="17" customHeight="1">
      <c r="A216" s="46" t="s">
        <v>213</v>
      </c>
      <c r="B216" s="35">
        <v>2795</v>
      </c>
      <c r="C216" s="35">
        <v>3537.9</v>
      </c>
      <c r="D216" s="4">
        <f t="shared" si="48"/>
        <v>1.2065796064400716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487.3</v>
      </c>
      <c r="O216" s="35">
        <v>553.1</v>
      </c>
      <c r="P216" s="4">
        <f t="shared" si="49"/>
        <v>1.1350297557972502</v>
      </c>
      <c r="Q216" s="11">
        <v>20</v>
      </c>
      <c r="R216" s="35">
        <v>149</v>
      </c>
      <c r="S216" s="35">
        <v>153.9</v>
      </c>
      <c r="T216" s="4">
        <f t="shared" si="50"/>
        <v>1.0328859060402684</v>
      </c>
      <c r="U216" s="11">
        <v>15</v>
      </c>
      <c r="V216" s="35">
        <v>363</v>
      </c>
      <c r="W216" s="35">
        <v>427.2</v>
      </c>
      <c r="X216" s="4">
        <f t="shared" si="51"/>
        <v>1.1768595041322314</v>
      </c>
      <c r="Y216" s="11">
        <v>35</v>
      </c>
      <c r="Z216" s="11" t="s">
        <v>385</v>
      </c>
      <c r="AA216" s="11" t="s">
        <v>385</v>
      </c>
      <c r="AB216" s="11" t="s">
        <v>385</v>
      </c>
      <c r="AC216" s="11" t="s">
        <v>385</v>
      </c>
      <c r="AD216" s="11">
        <v>1485</v>
      </c>
      <c r="AE216" s="11">
        <v>1513</v>
      </c>
      <c r="AF216" s="4">
        <f t="shared" si="52"/>
        <v>1.0188552188552189</v>
      </c>
      <c r="AG216" s="11">
        <v>20</v>
      </c>
      <c r="AH216" s="5" t="s">
        <v>362</v>
      </c>
      <c r="AI216" s="5" t="s">
        <v>362</v>
      </c>
      <c r="AJ216" s="5" t="s">
        <v>362</v>
      </c>
      <c r="AK216" s="5" t="s">
        <v>362</v>
      </c>
      <c r="AL216" s="5" t="s">
        <v>362</v>
      </c>
      <c r="AM216" s="5" t="s">
        <v>362</v>
      </c>
      <c r="AN216" s="5" t="s">
        <v>362</v>
      </c>
      <c r="AO216" s="5" t="s">
        <v>362</v>
      </c>
      <c r="AP216" s="44">
        <f t="shared" si="60"/>
        <v>1.1182686679268223</v>
      </c>
      <c r="AQ216" s="45">
        <v>2207</v>
      </c>
      <c r="AR216" s="35">
        <f t="shared" si="53"/>
        <v>601.90909090909088</v>
      </c>
      <c r="AS216" s="35">
        <f t="shared" si="54"/>
        <v>673.1</v>
      </c>
      <c r="AT216" s="35">
        <f t="shared" si="55"/>
        <v>71.190909090909145</v>
      </c>
      <c r="AU216" s="35">
        <v>178.6</v>
      </c>
      <c r="AV216" s="35">
        <v>197</v>
      </c>
      <c r="AW216" s="35">
        <f t="shared" si="56"/>
        <v>297.5</v>
      </c>
      <c r="AX216" s="35"/>
      <c r="AY216" s="35">
        <f t="shared" si="57"/>
        <v>297.5</v>
      </c>
      <c r="AZ216" s="35">
        <v>0</v>
      </c>
      <c r="BA216" s="35">
        <f t="shared" si="58"/>
        <v>297.5</v>
      </c>
      <c r="BB216" s="35">
        <f>MIN(BA216,24.1)</f>
        <v>24.1</v>
      </c>
      <c r="BC216" s="35">
        <f t="shared" si="59"/>
        <v>273.39999999999998</v>
      </c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10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10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10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10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10"/>
      <c r="GZ216" s="9"/>
      <c r="HA216" s="9"/>
    </row>
    <row r="217" spans="1:209" s="2" customFormat="1" ht="17" customHeight="1">
      <c r="A217" s="46" t="s">
        <v>214</v>
      </c>
      <c r="B217" s="35">
        <v>0</v>
      </c>
      <c r="C217" s="35">
        <v>0</v>
      </c>
      <c r="D217" s="4">
        <f t="shared" si="48"/>
        <v>1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3906.9</v>
      </c>
      <c r="O217" s="35">
        <v>2310</v>
      </c>
      <c r="P217" s="4">
        <f t="shared" si="49"/>
        <v>0.59126161406741917</v>
      </c>
      <c r="Q217" s="11">
        <v>20</v>
      </c>
      <c r="R217" s="35">
        <v>182</v>
      </c>
      <c r="S217" s="35">
        <v>191</v>
      </c>
      <c r="T217" s="4">
        <f t="shared" si="50"/>
        <v>1.0494505494505495</v>
      </c>
      <c r="U217" s="11">
        <v>30</v>
      </c>
      <c r="V217" s="35">
        <v>15</v>
      </c>
      <c r="W217" s="35">
        <v>15.4</v>
      </c>
      <c r="X217" s="4">
        <f t="shared" si="51"/>
        <v>1.0266666666666666</v>
      </c>
      <c r="Y217" s="11">
        <v>20</v>
      </c>
      <c r="Z217" s="11" t="s">
        <v>385</v>
      </c>
      <c r="AA217" s="11" t="s">
        <v>385</v>
      </c>
      <c r="AB217" s="11" t="s">
        <v>385</v>
      </c>
      <c r="AC217" s="11" t="s">
        <v>385</v>
      </c>
      <c r="AD217" s="11">
        <v>922</v>
      </c>
      <c r="AE217" s="11">
        <v>929</v>
      </c>
      <c r="AF217" s="4">
        <f t="shared" si="52"/>
        <v>1.007592190889371</v>
      </c>
      <c r="AG217" s="11">
        <v>20</v>
      </c>
      <c r="AH217" s="5" t="s">
        <v>362</v>
      </c>
      <c r="AI217" s="5" t="s">
        <v>362</v>
      </c>
      <c r="AJ217" s="5" t="s">
        <v>362</v>
      </c>
      <c r="AK217" s="5" t="s">
        <v>362</v>
      </c>
      <c r="AL217" s="5" t="s">
        <v>362</v>
      </c>
      <c r="AM217" s="5" t="s">
        <v>362</v>
      </c>
      <c r="AN217" s="5" t="s">
        <v>362</v>
      </c>
      <c r="AO217" s="5" t="s">
        <v>362</v>
      </c>
      <c r="AP217" s="44">
        <f t="shared" si="60"/>
        <v>0.93993925915985632</v>
      </c>
      <c r="AQ217" s="45">
        <v>641</v>
      </c>
      <c r="AR217" s="35">
        <f t="shared" si="53"/>
        <v>174.81818181818181</v>
      </c>
      <c r="AS217" s="35">
        <f t="shared" si="54"/>
        <v>164.3</v>
      </c>
      <c r="AT217" s="35">
        <f t="shared" si="55"/>
        <v>-10.518181818181802</v>
      </c>
      <c r="AU217" s="35">
        <v>45.9</v>
      </c>
      <c r="AV217" s="35">
        <v>53.5</v>
      </c>
      <c r="AW217" s="35">
        <f t="shared" si="56"/>
        <v>64.900000000000006</v>
      </c>
      <c r="AX217" s="35"/>
      <c r="AY217" s="35">
        <f t="shared" si="57"/>
        <v>64.900000000000006</v>
      </c>
      <c r="AZ217" s="35">
        <v>0</v>
      </c>
      <c r="BA217" s="35">
        <f t="shared" si="58"/>
        <v>64.900000000000006</v>
      </c>
      <c r="BB217" s="35">
        <f>MIN(BA217,6.6)</f>
        <v>6.6</v>
      </c>
      <c r="BC217" s="35">
        <f t="shared" si="59"/>
        <v>58.3</v>
      </c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10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10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10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10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10"/>
      <c r="GZ217" s="9"/>
      <c r="HA217" s="9"/>
    </row>
    <row r="218" spans="1:209" s="2" customFormat="1" ht="17" customHeight="1">
      <c r="A218" s="46" t="s">
        <v>215</v>
      </c>
      <c r="B218" s="35">
        <v>0</v>
      </c>
      <c r="C218" s="35">
        <v>0</v>
      </c>
      <c r="D218" s="4">
        <f t="shared" si="48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166.8</v>
      </c>
      <c r="O218" s="35">
        <v>104.8</v>
      </c>
      <c r="P218" s="4">
        <f t="shared" si="49"/>
        <v>0.62829736211031173</v>
      </c>
      <c r="Q218" s="11">
        <v>20</v>
      </c>
      <c r="R218" s="35">
        <v>99</v>
      </c>
      <c r="S218" s="35">
        <v>83.9</v>
      </c>
      <c r="T218" s="4">
        <f t="shared" si="50"/>
        <v>0.84747474747474749</v>
      </c>
      <c r="U218" s="11">
        <v>40</v>
      </c>
      <c r="V218" s="35">
        <v>0.9</v>
      </c>
      <c r="W218" s="35">
        <v>3.5</v>
      </c>
      <c r="X218" s="4">
        <f t="shared" si="51"/>
        <v>1.3</v>
      </c>
      <c r="Y218" s="11">
        <v>10</v>
      </c>
      <c r="Z218" s="11" t="s">
        <v>385</v>
      </c>
      <c r="AA218" s="11" t="s">
        <v>385</v>
      </c>
      <c r="AB218" s="11" t="s">
        <v>385</v>
      </c>
      <c r="AC218" s="11" t="s">
        <v>385</v>
      </c>
      <c r="AD218" s="11">
        <v>238</v>
      </c>
      <c r="AE218" s="11">
        <v>260</v>
      </c>
      <c r="AF218" s="4">
        <f t="shared" si="52"/>
        <v>1.0924369747899159</v>
      </c>
      <c r="AG218" s="11">
        <v>20</v>
      </c>
      <c r="AH218" s="5" t="s">
        <v>362</v>
      </c>
      <c r="AI218" s="5" t="s">
        <v>362</v>
      </c>
      <c r="AJ218" s="5" t="s">
        <v>362</v>
      </c>
      <c r="AK218" s="5" t="s">
        <v>362</v>
      </c>
      <c r="AL218" s="5" t="s">
        <v>362</v>
      </c>
      <c r="AM218" s="5" t="s">
        <v>362</v>
      </c>
      <c r="AN218" s="5" t="s">
        <v>362</v>
      </c>
      <c r="AO218" s="5" t="s">
        <v>362</v>
      </c>
      <c r="AP218" s="44">
        <f t="shared" si="60"/>
        <v>0.90348529596660498</v>
      </c>
      <c r="AQ218" s="45">
        <v>730</v>
      </c>
      <c r="AR218" s="35">
        <f t="shared" si="53"/>
        <v>199.09090909090907</v>
      </c>
      <c r="AS218" s="35">
        <f t="shared" si="54"/>
        <v>179.9</v>
      </c>
      <c r="AT218" s="35">
        <f t="shared" si="55"/>
        <v>-19.190909090909059</v>
      </c>
      <c r="AU218" s="35">
        <v>74.3</v>
      </c>
      <c r="AV218" s="35">
        <v>59.7</v>
      </c>
      <c r="AW218" s="35">
        <f t="shared" si="56"/>
        <v>45.9</v>
      </c>
      <c r="AX218" s="35"/>
      <c r="AY218" s="35">
        <f t="shared" si="57"/>
        <v>45.9</v>
      </c>
      <c r="AZ218" s="35">
        <v>0</v>
      </c>
      <c r="BA218" s="35">
        <f t="shared" si="58"/>
        <v>45.9</v>
      </c>
      <c r="BB218" s="35">
        <f>MIN(BA218,16.6)</f>
        <v>16.600000000000001</v>
      </c>
      <c r="BC218" s="35">
        <f t="shared" si="59"/>
        <v>29.3</v>
      </c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10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10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10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10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10"/>
      <c r="GZ218" s="9"/>
      <c r="HA218" s="9"/>
    </row>
    <row r="219" spans="1:209" s="2" customFormat="1" ht="17" customHeight="1">
      <c r="A219" s="18" t="s">
        <v>216</v>
      </c>
      <c r="B219" s="6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35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10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10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10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10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10"/>
      <c r="GZ219" s="9"/>
      <c r="HA219" s="9"/>
    </row>
    <row r="220" spans="1:209" s="2" customFormat="1" ht="17" customHeight="1">
      <c r="A220" s="14" t="s">
        <v>217</v>
      </c>
      <c r="B220" s="35">
        <v>0</v>
      </c>
      <c r="C220" s="35">
        <v>0</v>
      </c>
      <c r="D220" s="4">
        <f t="shared" si="48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389.2</v>
      </c>
      <c r="O220" s="35">
        <v>178.3</v>
      </c>
      <c r="P220" s="4">
        <f t="shared" si="49"/>
        <v>0.45811921891058588</v>
      </c>
      <c r="Q220" s="11">
        <v>20</v>
      </c>
      <c r="R220" s="35">
        <v>0</v>
      </c>
      <c r="S220" s="35">
        <v>0.2</v>
      </c>
      <c r="T220" s="4">
        <f t="shared" si="50"/>
        <v>1</v>
      </c>
      <c r="U220" s="11">
        <v>20</v>
      </c>
      <c r="V220" s="35">
        <v>0.5</v>
      </c>
      <c r="W220" s="35">
        <v>1</v>
      </c>
      <c r="X220" s="4">
        <f t="shared" si="51"/>
        <v>1.28</v>
      </c>
      <c r="Y220" s="11">
        <v>30</v>
      </c>
      <c r="Z220" s="11" t="s">
        <v>385</v>
      </c>
      <c r="AA220" s="11" t="s">
        <v>385</v>
      </c>
      <c r="AB220" s="11" t="s">
        <v>385</v>
      </c>
      <c r="AC220" s="11" t="s">
        <v>385</v>
      </c>
      <c r="AD220" s="11">
        <v>55</v>
      </c>
      <c r="AE220" s="11">
        <v>54</v>
      </c>
      <c r="AF220" s="4">
        <f t="shared" si="52"/>
        <v>0.98181818181818181</v>
      </c>
      <c r="AG220" s="11">
        <v>20</v>
      </c>
      <c r="AH220" s="5" t="s">
        <v>362</v>
      </c>
      <c r="AI220" s="5" t="s">
        <v>362</v>
      </c>
      <c r="AJ220" s="5" t="s">
        <v>362</v>
      </c>
      <c r="AK220" s="5" t="s">
        <v>362</v>
      </c>
      <c r="AL220" s="5" t="s">
        <v>362</v>
      </c>
      <c r="AM220" s="5" t="s">
        <v>362</v>
      </c>
      <c r="AN220" s="5" t="s">
        <v>362</v>
      </c>
      <c r="AO220" s="5" t="s">
        <v>362</v>
      </c>
      <c r="AP220" s="44">
        <f t="shared" si="60"/>
        <v>0.96887497793972621</v>
      </c>
      <c r="AQ220" s="45">
        <v>874</v>
      </c>
      <c r="AR220" s="35">
        <f t="shared" si="53"/>
        <v>238.36363636363637</v>
      </c>
      <c r="AS220" s="35">
        <f t="shared" si="54"/>
        <v>230.9</v>
      </c>
      <c r="AT220" s="35">
        <f t="shared" si="55"/>
        <v>-7.4636363636363683</v>
      </c>
      <c r="AU220" s="35">
        <v>84.3</v>
      </c>
      <c r="AV220" s="35">
        <v>67.900000000000006</v>
      </c>
      <c r="AW220" s="35">
        <f t="shared" si="56"/>
        <v>78.7</v>
      </c>
      <c r="AX220" s="35"/>
      <c r="AY220" s="35">
        <f t="shared" si="57"/>
        <v>78.7</v>
      </c>
      <c r="AZ220" s="35">
        <v>0</v>
      </c>
      <c r="BA220" s="35">
        <f t="shared" si="58"/>
        <v>78.7</v>
      </c>
      <c r="BB220" s="35">
        <f>MIN(BA220,39.7)</f>
        <v>39.700000000000003</v>
      </c>
      <c r="BC220" s="35">
        <f t="shared" si="59"/>
        <v>39</v>
      </c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10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10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10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10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10"/>
      <c r="GZ220" s="9"/>
      <c r="HA220" s="9"/>
    </row>
    <row r="221" spans="1:209" s="2" customFormat="1" ht="17" customHeight="1">
      <c r="A221" s="14" t="s">
        <v>146</v>
      </c>
      <c r="B221" s="35">
        <v>0</v>
      </c>
      <c r="C221" s="35">
        <v>0</v>
      </c>
      <c r="D221" s="4">
        <f t="shared" si="48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210.2</v>
      </c>
      <c r="O221" s="35">
        <v>260.10000000000002</v>
      </c>
      <c r="P221" s="4">
        <f t="shared" si="49"/>
        <v>1.2037392959086584</v>
      </c>
      <c r="Q221" s="11">
        <v>20</v>
      </c>
      <c r="R221" s="35">
        <v>39.5</v>
      </c>
      <c r="S221" s="35">
        <v>47.7</v>
      </c>
      <c r="T221" s="4">
        <f t="shared" si="50"/>
        <v>1.2007594936708861</v>
      </c>
      <c r="U221" s="11">
        <v>30</v>
      </c>
      <c r="V221" s="35">
        <v>7</v>
      </c>
      <c r="W221" s="35">
        <v>8.6</v>
      </c>
      <c r="X221" s="4">
        <f t="shared" si="51"/>
        <v>1.2028571428571428</v>
      </c>
      <c r="Y221" s="11">
        <v>20</v>
      </c>
      <c r="Z221" s="11" t="s">
        <v>385</v>
      </c>
      <c r="AA221" s="11" t="s">
        <v>385</v>
      </c>
      <c r="AB221" s="11" t="s">
        <v>385</v>
      </c>
      <c r="AC221" s="11" t="s">
        <v>385</v>
      </c>
      <c r="AD221" s="11">
        <v>485</v>
      </c>
      <c r="AE221" s="11">
        <v>525</v>
      </c>
      <c r="AF221" s="4">
        <f t="shared" si="52"/>
        <v>1.0824742268041236</v>
      </c>
      <c r="AG221" s="11">
        <v>20</v>
      </c>
      <c r="AH221" s="5" t="s">
        <v>362</v>
      </c>
      <c r="AI221" s="5" t="s">
        <v>362</v>
      </c>
      <c r="AJ221" s="5" t="s">
        <v>362</v>
      </c>
      <c r="AK221" s="5" t="s">
        <v>362</v>
      </c>
      <c r="AL221" s="5" t="s">
        <v>362</v>
      </c>
      <c r="AM221" s="5" t="s">
        <v>362</v>
      </c>
      <c r="AN221" s="5" t="s">
        <v>362</v>
      </c>
      <c r="AO221" s="5" t="s">
        <v>362</v>
      </c>
      <c r="AP221" s="44">
        <f t="shared" si="60"/>
        <v>1.1756022013502787</v>
      </c>
      <c r="AQ221" s="45">
        <v>613</v>
      </c>
      <c r="AR221" s="35">
        <f t="shared" si="53"/>
        <v>167.18181818181819</v>
      </c>
      <c r="AS221" s="35">
        <f t="shared" si="54"/>
        <v>196.5</v>
      </c>
      <c r="AT221" s="35">
        <f t="shared" si="55"/>
        <v>29.318181818181813</v>
      </c>
      <c r="AU221" s="35">
        <v>67.400000000000006</v>
      </c>
      <c r="AV221" s="35">
        <v>60</v>
      </c>
      <c r="AW221" s="35">
        <f t="shared" si="56"/>
        <v>69.099999999999994</v>
      </c>
      <c r="AX221" s="35"/>
      <c r="AY221" s="35">
        <f t="shared" si="57"/>
        <v>69.099999999999994</v>
      </c>
      <c r="AZ221" s="35">
        <v>0</v>
      </c>
      <c r="BA221" s="35">
        <f t="shared" si="58"/>
        <v>69.099999999999994</v>
      </c>
      <c r="BB221" s="35">
        <f>MIN(BA221,2.5)</f>
        <v>2.5</v>
      </c>
      <c r="BC221" s="35">
        <f t="shared" si="59"/>
        <v>66.599999999999994</v>
      </c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10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10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10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10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10"/>
      <c r="GZ221" s="9"/>
      <c r="HA221" s="9"/>
    </row>
    <row r="222" spans="1:209" s="2" customFormat="1" ht="17" customHeight="1">
      <c r="A222" s="14" t="s">
        <v>218</v>
      </c>
      <c r="B222" s="35">
        <v>0</v>
      </c>
      <c r="C222" s="35">
        <v>0</v>
      </c>
      <c r="D222" s="4">
        <f t="shared" si="48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304</v>
      </c>
      <c r="O222" s="35">
        <v>279.10000000000002</v>
      </c>
      <c r="P222" s="4">
        <f t="shared" si="49"/>
        <v>0.91809210526315799</v>
      </c>
      <c r="Q222" s="11">
        <v>20</v>
      </c>
      <c r="R222" s="35">
        <v>93</v>
      </c>
      <c r="S222" s="35">
        <v>94.4</v>
      </c>
      <c r="T222" s="4">
        <f t="shared" si="50"/>
        <v>1.0150537634408603</v>
      </c>
      <c r="U222" s="11">
        <v>15</v>
      </c>
      <c r="V222" s="35">
        <v>8</v>
      </c>
      <c r="W222" s="35">
        <v>10</v>
      </c>
      <c r="X222" s="4">
        <f t="shared" si="51"/>
        <v>1.2050000000000001</v>
      </c>
      <c r="Y222" s="11">
        <v>35</v>
      </c>
      <c r="Z222" s="11" t="s">
        <v>385</v>
      </c>
      <c r="AA222" s="11" t="s">
        <v>385</v>
      </c>
      <c r="AB222" s="11" t="s">
        <v>385</v>
      </c>
      <c r="AC222" s="11" t="s">
        <v>385</v>
      </c>
      <c r="AD222" s="11">
        <v>375</v>
      </c>
      <c r="AE222" s="11">
        <v>377</v>
      </c>
      <c r="AF222" s="4">
        <f t="shared" si="52"/>
        <v>1.0053333333333334</v>
      </c>
      <c r="AG222" s="11">
        <v>20</v>
      </c>
      <c r="AH222" s="5" t="s">
        <v>362</v>
      </c>
      <c r="AI222" s="5" t="s">
        <v>362</v>
      </c>
      <c r="AJ222" s="5" t="s">
        <v>362</v>
      </c>
      <c r="AK222" s="5" t="s">
        <v>362</v>
      </c>
      <c r="AL222" s="5" t="s">
        <v>362</v>
      </c>
      <c r="AM222" s="5" t="s">
        <v>362</v>
      </c>
      <c r="AN222" s="5" t="s">
        <v>362</v>
      </c>
      <c r="AO222" s="5" t="s">
        <v>362</v>
      </c>
      <c r="AP222" s="44">
        <f t="shared" si="60"/>
        <v>1.0652146135949192</v>
      </c>
      <c r="AQ222" s="45">
        <v>983</v>
      </c>
      <c r="AR222" s="35">
        <f t="shared" si="53"/>
        <v>268.09090909090907</v>
      </c>
      <c r="AS222" s="35">
        <f t="shared" si="54"/>
        <v>285.60000000000002</v>
      </c>
      <c r="AT222" s="35">
        <f t="shared" si="55"/>
        <v>17.509090909090958</v>
      </c>
      <c r="AU222" s="35">
        <v>75.7</v>
      </c>
      <c r="AV222" s="35">
        <v>101.6</v>
      </c>
      <c r="AW222" s="35">
        <f t="shared" si="56"/>
        <v>108.3</v>
      </c>
      <c r="AX222" s="35"/>
      <c r="AY222" s="35">
        <f t="shared" si="57"/>
        <v>108.3</v>
      </c>
      <c r="AZ222" s="35">
        <v>0</v>
      </c>
      <c r="BA222" s="35">
        <f t="shared" si="58"/>
        <v>108.3</v>
      </c>
      <c r="BB222" s="35">
        <f>MIN(BA222,37.9)</f>
        <v>37.9</v>
      </c>
      <c r="BC222" s="35">
        <f t="shared" si="59"/>
        <v>70.400000000000006</v>
      </c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10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10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10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10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10"/>
      <c r="GZ222" s="9"/>
      <c r="HA222" s="9"/>
    </row>
    <row r="223" spans="1:209" s="2" customFormat="1" ht="17" customHeight="1">
      <c r="A223" s="14" t="s">
        <v>219</v>
      </c>
      <c r="B223" s="35">
        <v>0</v>
      </c>
      <c r="C223" s="35">
        <v>0</v>
      </c>
      <c r="D223" s="4">
        <f t="shared" si="48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474.7</v>
      </c>
      <c r="O223" s="35">
        <v>313.8</v>
      </c>
      <c r="P223" s="4">
        <f t="shared" si="49"/>
        <v>0.66104908363176751</v>
      </c>
      <c r="Q223" s="11">
        <v>20</v>
      </c>
      <c r="R223" s="35">
        <v>10</v>
      </c>
      <c r="S223" s="35">
        <v>12.8</v>
      </c>
      <c r="T223" s="4">
        <f t="shared" si="50"/>
        <v>1.208</v>
      </c>
      <c r="U223" s="11">
        <v>25</v>
      </c>
      <c r="V223" s="35">
        <v>4</v>
      </c>
      <c r="W223" s="35">
        <v>2.1</v>
      </c>
      <c r="X223" s="4">
        <f t="shared" si="51"/>
        <v>0.52500000000000002</v>
      </c>
      <c r="Y223" s="11">
        <v>25</v>
      </c>
      <c r="Z223" s="11" t="s">
        <v>385</v>
      </c>
      <c r="AA223" s="11" t="s">
        <v>385</v>
      </c>
      <c r="AB223" s="11" t="s">
        <v>385</v>
      </c>
      <c r="AC223" s="11" t="s">
        <v>385</v>
      </c>
      <c r="AD223" s="11">
        <v>125</v>
      </c>
      <c r="AE223" s="11">
        <v>113</v>
      </c>
      <c r="AF223" s="4">
        <f t="shared" si="52"/>
        <v>0.90400000000000003</v>
      </c>
      <c r="AG223" s="11">
        <v>20</v>
      </c>
      <c r="AH223" s="5" t="s">
        <v>362</v>
      </c>
      <c r="AI223" s="5" t="s">
        <v>362</v>
      </c>
      <c r="AJ223" s="5" t="s">
        <v>362</v>
      </c>
      <c r="AK223" s="5" t="s">
        <v>362</v>
      </c>
      <c r="AL223" s="5" t="s">
        <v>362</v>
      </c>
      <c r="AM223" s="5" t="s">
        <v>362</v>
      </c>
      <c r="AN223" s="5" t="s">
        <v>362</v>
      </c>
      <c r="AO223" s="5" t="s">
        <v>362</v>
      </c>
      <c r="AP223" s="44">
        <f t="shared" si="60"/>
        <v>0.82917757414039273</v>
      </c>
      <c r="AQ223" s="45">
        <v>885</v>
      </c>
      <c r="AR223" s="35">
        <f t="shared" si="53"/>
        <v>241.36363636363637</v>
      </c>
      <c r="AS223" s="35">
        <f t="shared" si="54"/>
        <v>200.1</v>
      </c>
      <c r="AT223" s="35">
        <f t="shared" si="55"/>
        <v>-41.26363636363638</v>
      </c>
      <c r="AU223" s="35">
        <v>93.2</v>
      </c>
      <c r="AV223" s="35">
        <v>70.599999999999994</v>
      </c>
      <c r="AW223" s="35">
        <f t="shared" si="56"/>
        <v>36.299999999999997</v>
      </c>
      <c r="AX223" s="35"/>
      <c r="AY223" s="35">
        <f t="shared" si="57"/>
        <v>36.299999999999997</v>
      </c>
      <c r="AZ223" s="35">
        <v>0</v>
      </c>
      <c r="BA223" s="35">
        <f t="shared" si="58"/>
        <v>36.299999999999997</v>
      </c>
      <c r="BB223" s="35">
        <f>MIN(BA223,21.6)</f>
        <v>21.6</v>
      </c>
      <c r="BC223" s="35">
        <f t="shared" si="59"/>
        <v>14.7</v>
      </c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10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10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10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10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10"/>
      <c r="GZ223" s="9"/>
      <c r="HA223" s="9"/>
    </row>
    <row r="224" spans="1:209" s="2" customFormat="1" ht="17" customHeight="1">
      <c r="A224" s="46" t="s">
        <v>220</v>
      </c>
      <c r="B224" s="35">
        <v>19390</v>
      </c>
      <c r="C224" s="35">
        <v>20453</v>
      </c>
      <c r="D224" s="4">
        <f t="shared" si="48"/>
        <v>1.0548220732336255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423</v>
      </c>
      <c r="O224" s="35">
        <v>182.8</v>
      </c>
      <c r="P224" s="4">
        <f t="shared" si="49"/>
        <v>0.43215130023640663</v>
      </c>
      <c r="Q224" s="11">
        <v>20</v>
      </c>
      <c r="R224" s="35">
        <v>3</v>
      </c>
      <c r="S224" s="35">
        <v>0</v>
      </c>
      <c r="T224" s="4">
        <f t="shared" si="50"/>
        <v>0</v>
      </c>
      <c r="U224" s="11">
        <v>15</v>
      </c>
      <c r="V224" s="35">
        <v>2.5</v>
      </c>
      <c r="W224" s="35">
        <v>1.2</v>
      </c>
      <c r="X224" s="4">
        <f t="shared" si="51"/>
        <v>0.48</v>
      </c>
      <c r="Y224" s="11">
        <v>35</v>
      </c>
      <c r="Z224" s="11" t="s">
        <v>385</v>
      </c>
      <c r="AA224" s="11" t="s">
        <v>385</v>
      </c>
      <c r="AB224" s="11" t="s">
        <v>385</v>
      </c>
      <c r="AC224" s="11" t="s">
        <v>385</v>
      </c>
      <c r="AD224" s="11">
        <v>42</v>
      </c>
      <c r="AE224" s="11">
        <v>44</v>
      </c>
      <c r="AF224" s="4">
        <f t="shared" si="52"/>
        <v>1.0476190476190477</v>
      </c>
      <c r="AG224" s="11">
        <v>20</v>
      </c>
      <c r="AH224" s="5" t="s">
        <v>362</v>
      </c>
      <c r="AI224" s="5" t="s">
        <v>362</v>
      </c>
      <c r="AJ224" s="5" t="s">
        <v>362</v>
      </c>
      <c r="AK224" s="5" t="s">
        <v>362</v>
      </c>
      <c r="AL224" s="5" t="s">
        <v>362</v>
      </c>
      <c r="AM224" s="5" t="s">
        <v>362</v>
      </c>
      <c r="AN224" s="5" t="s">
        <v>362</v>
      </c>
      <c r="AO224" s="5" t="s">
        <v>362</v>
      </c>
      <c r="AP224" s="44">
        <f t="shared" si="60"/>
        <v>0.56943627689445331</v>
      </c>
      <c r="AQ224" s="45">
        <v>263</v>
      </c>
      <c r="AR224" s="35">
        <f t="shared" si="53"/>
        <v>71.727272727272734</v>
      </c>
      <c r="AS224" s="35">
        <f t="shared" si="54"/>
        <v>40.799999999999997</v>
      </c>
      <c r="AT224" s="35">
        <f t="shared" si="55"/>
        <v>-30.927272727272737</v>
      </c>
      <c r="AU224" s="35">
        <v>13.9</v>
      </c>
      <c r="AV224" s="35">
        <v>19.5</v>
      </c>
      <c r="AW224" s="35">
        <f t="shared" si="56"/>
        <v>7.4</v>
      </c>
      <c r="AX224" s="35"/>
      <c r="AY224" s="35">
        <f t="shared" si="57"/>
        <v>7.4</v>
      </c>
      <c r="AZ224" s="35">
        <v>0</v>
      </c>
      <c r="BA224" s="35">
        <f t="shared" si="58"/>
        <v>7.4</v>
      </c>
      <c r="BB224" s="35"/>
      <c r="BC224" s="35">
        <f t="shared" si="59"/>
        <v>7.4</v>
      </c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10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10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10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10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10"/>
      <c r="GZ224" s="9"/>
      <c r="HA224" s="9"/>
    </row>
    <row r="225" spans="1:209" s="2" customFormat="1" ht="17" customHeight="1">
      <c r="A225" s="14" t="s">
        <v>221</v>
      </c>
      <c r="B225" s="35">
        <v>2410000</v>
      </c>
      <c r="C225" s="35">
        <v>2951288.1</v>
      </c>
      <c r="D225" s="4">
        <f t="shared" si="48"/>
        <v>1.2024600871369295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13903.9</v>
      </c>
      <c r="O225" s="35">
        <v>11792.5</v>
      </c>
      <c r="P225" s="4">
        <f t="shared" si="49"/>
        <v>0.8481433266925108</v>
      </c>
      <c r="Q225" s="11">
        <v>20</v>
      </c>
      <c r="R225" s="35">
        <v>0</v>
      </c>
      <c r="S225" s="35">
        <v>0</v>
      </c>
      <c r="T225" s="4">
        <f t="shared" si="50"/>
        <v>1</v>
      </c>
      <c r="U225" s="11">
        <v>15</v>
      </c>
      <c r="V225" s="35">
        <v>0</v>
      </c>
      <c r="W225" s="35">
        <v>0</v>
      </c>
      <c r="X225" s="4">
        <f t="shared" si="51"/>
        <v>1</v>
      </c>
      <c r="Y225" s="11">
        <v>35</v>
      </c>
      <c r="Z225" s="11" t="s">
        <v>385</v>
      </c>
      <c r="AA225" s="11" t="s">
        <v>385</v>
      </c>
      <c r="AB225" s="11" t="s">
        <v>385</v>
      </c>
      <c r="AC225" s="11" t="s">
        <v>385</v>
      </c>
      <c r="AD225" s="11">
        <v>0</v>
      </c>
      <c r="AE225" s="11">
        <v>0</v>
      </c>
      <c r="AF225" s="4">
        <f t="shared" si="52"/>
        <v>1</v>
      </c>
      <c r="AG225" s="11">
        <v>20</v>
      </c>
      <c r="AH225" s="5" t="s">
        <v>362</v>
      </c>
      <c r="AI225" s="5" t="s">
        <v>362</v>
      </c>
      <c r="AJ225" s="5" t="s">
        <v>362</v>
      </c>
      <c r="AK225" s="5" t="s">
        <v>362</v>
      </c>
      <c r="AL225" s="5" t="s">
        <v>362</v>
      </c>
      <c r="AM225" s="5" t="s">
        <v>362</v>
      </c>
      <c r="AN225" s="5" t="s">
        <v>362</v>
      </c>
      <c r="AO225" s="5" t="s">
        <v>362</v>
      </c>
      <c r="AP225" s="44">
        <f t="shared" si="60"/>
        <v>0.9898746740521952</v>
      </c>
      <c r="AQ225" s="45">
        <v>0</v>
      </c>
      <c r="AR225" s="35">
        <f t="shared" si="53"/>
        <v>0</v>
      </c>
      <c r="AS225" s="35">
        <f t="shared" si="54"/>
        <v>0</v>
      </c>
      <c r="AT225" s="35">
        <f t="shared" si="55"/>
        <v>0</v>
      </c>
      <c r="AU225" s="35">
        <v>0</v>
      </c>
      <c r="AV225" s="35">
        <v>0</v>
      </c>
      <c r="AW225" s="35">
        <f t="shared" si="56"/>
        <v>0</v>
      </c>
      <c r="AX225" s="35"/>
      <c r="AY225" s="35">
        <f t="shared" si="57"/>
        <v>0</v>
      </c>
      <c r="AZ225" s="35">
        <v>0</v>
      </c>
      <c r="BA225" s="35">
        <f t="shared" si="58"/>
        <v>0</v>
      </c>
      <c r="BB225" s="35"/>
      <c r="BC225" s="35">
        <f t="shared" si="59"/>
        <v>0</v>
      </c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10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10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10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10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10"/>
      <c r="GZ225" s="9"/>
      <c r="HA225" s="9"/>
    </row>
    <row r="226" spans="1:209" s="2" customFormat="1" ht="17" customHeight="1">
      <c r="A226" s="14" t="s">
        <v>222</v>
      </c>
      <c r="B226" s="35">
        <v>0</v>
      </c>
      <c r="C226" s="35">
        <v>0</v>
      </c>
      <c r="D226" s="4">
        <f t="shared" si="48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243.8</v>
      </c>
      <c r="O226" s="35">
        <v>196.9</v>
      </c>
      <c r="P226" s="4">
        <f t="shared" si="49"/>
        <v>0.80762920426579166</v>
      </c>
      <c r="Q226" s="11">
        <v>20</v>
      </c>
      <c r="R226" s="35">
        <v>337</v>
      </c>
      <c r="S226" s="35">
        <v>324.89999999999998</v>
      </c>
      <c r="T226" s="4">
        <f t="shared" si="50"/>
        <v>0.96409495548961421</v>
      </c>
      <c r="U226" s="11">
        <v>30</v>
      </c>
      <c r="V226" s="35">
        <v>16</v>
      </c>
      <c r="W226" s="35">
        <v>9.9</v>
      </c>
      <c r="X226" s="4">
        <f t="shared" si="51"/>
        <v>0.61875000000000002</v>
      </c>
      <c r="Y226" s="11">
        <v>20</v>
      </c>
      <c r="Z226" s="11" t="s">
        <v>385</v>
      </c>
      <c r="AA226" s="11" t="s">
        <v>385</v>
      </c>
      <c r="AB226" s="11" t="s">
        <v>385</v>
      </c>
      <c r="AC226" s="11" t="s">
        <v>385</v>
      </c>
      <c r="AD226" s="11">
        <v>445</v>
      </c>
      <c r="AE226" s="11">
        <v>437</v>
      </c>
      <c r="AF226" s="4">
        <f t="shared" si="52"/>
        <v>0.98202247191011238</v>
      </c>
      <c r="AG226" s="11">
        <v>20</v>
      </c>
      <c r="AH226" s="5" t="s">
        <v>362</v>
      </c>
      <c r="AI226" s="5" t="s">
        <v>362</v>
      </c>
      <c r="AJ226" s="5" t="s">
        <v>362</v>
      </c>
      <c r="AK226" s="5" t="s">
        <v>362</v>
      </c>
      <c r="AL226" s="5" t="s">
        <v>362</v>
      </c>
      <c r="AM226" s="5" t="s">
        <v>362</v>
      </c>
      <c r="AN226" s="5" t="s">
        <v>362</v>
      </c>
      <c r="AO226" s="5" t="s">
        <v>362</v>
      </c>
      <c r="AP226" s="44">
        <f t="shared" si="60"/>
        <v>0.85656535764673891</v>
      </c>
      <c r="AQ226" s="45">
        <v>1200</v>
      </c>
      <c r="AR226" s="35">
        <f t="shared" si="53"/>
        <v>327.27272727272725</v>
      </c>
      <c r="AS226" s="35">
        <f t="shared" si="54"/>
        <v>280.3</v>
      </c>
      <c r="AT226" s="35">
        <f t="shared" si="55"/>
        <v>-46.972727272727241</v>
      </c>
      <c r="AU226" s="35">
        <v>81.2</v>
      </c>
      <c r="AV226" s="35">
        <v>79.2</v>
      </c>
      <c r="AW226" s="35">
        <f t="shared" si="56"/>
        <v>119.9</v>
      </c>
      <c r="AX226" s="35"/>
      <c r="AY226" s="35">
        <f t="shared" si="57"/>
        <v>119.9</v>
      </c>
      <c r="AZ226" s="35">
        <v>0</v>
      </c>
      <c r="BA226" s="35">
        <f t="shared" si="58"/>
        <v>119.9</v>
      </c>
      <c r="BB226" s="35">
        <f>MIN(BA226,54.5)</f>
        <v>54.5</v>
      </c>
      <c r="BC226" s="35">
        <f t="shared" si="59"/>
        <v>65.400000000000006</v>
      </c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10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10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10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10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10"/>
      <c r="GZ226" s="9"/>
      <c r="HA226" s="9"/>
    </row>
    <row r="227" spans="1:209" s="2" customFormat="1" ht="17" customHeight="1">
      <c r="A227" s="14" t="s">
        <v>223</v>
      </c>
      <c r="B227" s="35">
        <v>0</v>
      </c>
      <c r="C227" s="35">
        <v>0</v>
      </c>
      <c r="D227" s="4">
        <f t="shared" si="48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1575.6</v>
      </c>
      <c r="O227" s="35">
        <v>1924.3</v>
      </c>
      <c r="P227" s="4">
        <f t="shared" si="49"/>
        <v>1.2021312515866971</v>
      </c>
      <c r="Q227" s="11">
        <v>20</v>
      </c>
      <c r="R227" s="35">
        <v>3</v>
      </c>
      <c r="S227" s="35">
        <v>2.6</v>
      </c>
      <c r="T227" s="4">
        <f t="shared" si="50"/>
        <v>0.8666666666666667</v>
      </c>
      <c r="U227" s="11">
        <v>25</v>
      </c>
      <c r="V227" s="35">
        <v>2</v>
      </c>
      <c r="W227" s="35">
        <v>2.2000000000000002</v>
      </c>
      <c r="X227" s="4">
        <f t="shared" si="51"/>
        <v>1.1000000000000001</v>
      </c>
      <c r="Y227" s="11">
        <v>25</v>
      </c>
      <c r="Z227" s="11" t="s">
        <v>385</v>
      </c>
      <c r="AA227" s="11" t="s">
        <v>385</v>
      </c>
      <c r="AB227" s="11" t="s">
        <v>385</v>
      </c>
      <c r="AC227" s="11" t="s">
        <v>385</v>
      </c>
      <c r="AD227" s="11">
        <v>56</v>
      </c>
      <c r="AE227" s="11">
        <v>47</v>
      </c>
      <c r="AF227" s="4">
        <f t="shared" si="52"/>
        <v>0.8392857142857143</v>
      </c>
      <c r="AG227" s="11">
        <v>20</v>
      </c>
      <c r="AH227" s="5" t="s">
        <v>362</v>
      </c>
      <c r="AI227" s="5" t="s">
        <v>362</v>
      </c>
      <c r="AJ227" s="5" t="s">
        <v>362</v>
      </c>
      <c r="AK227" s="5" t="s">
        <v>362</v>
      </c>
      <c r="AL227" s="5" t="s">
        <v>362</v>
      </c>
      <c r="AM227" s="5" t="s">
        <v>362</v>
      </c>
      <c r="AN227" s="5" t="s">
        <v>362</v>
      </c>
      <c r="AO227" s="5" t="s">
        <v>362</v>
      </c>
      <c r="AP227" s="44">
        <f t="shared" si="60"/>
        <v>0.99994451093461001</v>
      </c>
      <c r="AQ227" s="45">
        <v>1446</v>
      </c>
      <c r="AR227" s="35">
        <f t="shared" si="53"/>
        <v>394.36363636363637</v>
      </c>
      <c r="AS227" s="35">
        <f t="shared" si="54"/>
        <v>394.3</v>
      </c>
      <c r="AT227" s="35">
        <f t="shared" si="55"/>
        <v>-6.3636363636362603E-2</v>
      </c>
      <c r="AU227" s="35">
        <v>122.3</v>
      </c>
      <c r="AV227" s="35">
        <v>135.19999999999999</v>
      </c>
      <c r="AW227" s="35">
        <f t="shared" si="56"/>
        <v>136.80000000000001</v>
      </c>
      <c r="AX227" s="35"/>
      <c r="AY227" s="35">
        <f t="shared" si="57"/>
        <v>136.80000000000001</v>
      </c>
      <c r="AZ227" s="35">
        <v>0</v>
      </c>
      <c r="BA227" s="35">
        <f t="shared" si="58"/>
        <v>136.80000000000001</v>
      </c>
      <c r="BB227" s="35"/>
      <c r="BC227" s="35">
        <f t="shared" si="59"/>
        <v>136.80000000000001</v>
      </c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10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10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10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10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10"/>
      <c r="GZ227" s="9"/>
      <c r="HA227" s="9"/>
    </row>
    <row r="228" spans="1:209" s="2" customFormat="1" ht="17" customHeight="1">
      <c r="A228" s="14" t="s">
        <v>224</v>
      </c>
      <c r="B228" s="35">
        <v>155000</v>
      </c>
      <c r="C228" s="35">
        <v>176404.3</v>
      </c>
      <c r="D228" s="4">
        <f t="shared" si="48"/>
        <v>1.1380922580645161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1981.7</v>
      </c>
      <c r="O228" s="35">
        <v>1342.8</v>
      </c>
      <c r="P228" s="4">
        <f t="shared" si="49"/>
        <v>0.67760004036937982</v>
      </c>
      <c r="Q228" s="11">
        <v>20</v>
      </c>
      <c r="R228" s="35">
        <v>14</v>
      </c>
      <c r="S228" s="35">
        <v>3.1</v>
      </c>
      <c r="T228" s="4">
        <f t="shared" si="50"/>
        <v>0.22142857142857145</v>
      </c>
      <c r="U228" s="11">
        <v>20</v>
      </c>
      <c r="V228" s="35">
        <v>14.5</v>
      </c>
      <c r="W228" s="35">
        <v>14.4</v>
      </c>
      <c r="X228" s="4">
        <f t="shared" si="51"/>
        <v>0.99310344827586206</v>
      </c>
      <c r="Y228" s="11">
        <v>30</v>
      </c>
      <c r="Z228" s="11" t="s">
        <v>385</v>
      </c>
      <c r="AA228" s="11" t="s">
        <v>385</v>
      </c>
      <c r="AB228" s="11" t="s">
        <v>385</v>
      </c>
      <c r="AC228" s="11" t="s">
        <v>385</v>
      </c>
      <c r="AD228" s="11">
        <v>260</v>
      </c>
      <c r="AE228" s="11">
        <v>267</v>
      </c>
      <c r="AF228" s="4">
        <f t="shared" si="52"/>
        <v>1.0269230769230768</v>
      </c>
      <c r="AG228" s="11">
        <v>20</v>
      </c>
      <c r="AH228" s="5" t="s">
        <v>362</v>
      </c>
      <c r="AI228" s="5" t="s">
        <v>362</v>
      </c>
      <c r="AJ228" s="5" t="s">
        <v>362</v>
      </c>
      <c r="AK228" s="5" t="s">
        <v>362</v>
      </c>
      <c r="AL228" s="5" t="s">
        <v>362</v>
      </c>
      <c r="AM228" s="5" t="s">
        <v>362</v>
      </c>
      <c r="AN228" s="5" t="s">
        <v>362</v>
      </c>
      <c r="AO228" s="5" t="s">
        <v>362</v>
      </c>
      <c r="AP228" s="44">
        <f t="shared" si="60"/>
        <v>0.79693059803341582</v>
      </c>
      <c r="AQ228" s="45">
        <v>1740</v>
      </c>
      <c r="AR228" s="35">
        <f t="shared" si="53"/>
        <v>474.54545454545456</v>
      </c>
      <c r="AS228" s="35">
        <f t="shared" si="54"/>
        <v>378.2</v>
      </c>
      <c r="AT228" s="35">
        <f t="shared" si="55"/>
        <v>-96.345454545454572</v>
      </c>
      <c r="AU228" s="35">
        <v>96.3</v>
      </c>
      <c r="AV228" s="35">
        <v>102.1</v>
      </c>
      <c r="AW228" s="35">
        <f t="shared" si="56"/>
        <v>179.8</v>
      </c>
      <c r="AX228" s="35"/>
      <c r="AY228" s="35">
        <f t="shared" si="57"/>
        <v>179.8</v>
      </c>
      <c r="AZ228" s="35">
        <v>0</v>
      </c>
      <c r="BA228" s="35">
        <f t="shared" si="58"/>
        <v>179.8</v>
      </c>
      <c r="BB228" s="35">
        <f>MIN(BA228,79.1)</f>
        <v>79.099999999999994</v>
      </c>
      <c r="BC228" s="35">
        <f t="shared" si="59"/>
        <v>100.7</v>
      </c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10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10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10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10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10"/>
      <c r="GZ228" s="9"/>
      <c r="HA228" s="9"/>
    </row>
    <row r="229" spans="1:209" s="2" customFormat="1" ht="17" customHeight="1">
      <c r="A229" s="18" t="s">
        <v>225</v>
      </c>
      <c r="B229" s="6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35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10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10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10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10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10"/>
      <c r="GZ229" s="9"/>
      <c r="HA229" s="9"/>
    </row>
    <row r="230" spans="1:209" s="2" customFormat="1" ht="17" customHeight="1">
      <c r="A230" s="14" t="s">
        <v>226</v>
      </c>
      <c r="B230" s="35">
        <v>0</v>
      </c>
      <c r="C230" s="35">
        <v>0</v>
      </c>
      <c r="D230" s="4">
        <f t="shared" si="48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410.2</v>
      </c>
      <c r="O230" s="35">
        <v>167.7</v>
      </c>
      <c r="P230" s="4">
        <f t="shared" si="49"/>
        <v>0.40882496343247193</v>
      </c>
      <c r="Q230" s="11">
        <v>20</v>
      </c>
      <c r="R230" s="35">
        <v>11</v>
      </c>
      <c r="S230" s="35">
        <v>23.7</v>
      </c>
      <c r="T230" s="4">
        <f t="shared" si="50"/>
        <v>1.2954545454545454</v>
      </c>
      <c r="U230" s="11">
        <v>20</v>
      </c>
      <c r="V230" s="35">
        <v>6</v>
      </c>
      <c r="W230" s="35">
        <v>16</v>
      </c>
      <c r="X230" s="4">
        <f t="shared" si="51"/>
        <v>1.3</v>
      </c>
      <c r="Y230" s="11">
        <v>30</v>
      </c>
      <c r="Z230" s="11" t="s">
        <v>385</v>
      </c>
      <c r="AA230" s="11" t="s">
        <v>385</v>
      </c>
      <c r="AB230" s="11" t="s">
        <v>385</v>
      </c>
      <c r="AC230" s="11" t="s">
        <v>385</v>
      </c>
      <c r="AD230" s="11">
        <v>137</v>
      </c>
      <c r="AE230" s="11">
        <v>126</v>
      </c>
      <c r="AF230" s="4">
        <f t="shared" si="52"/>
        <v>0.91970802919708028</v>
      </c>
      <c r="AG230" s="11">
        <v>20</v>
      </c>
      <c r="AH230" s="5" t="s">
        <v>362</v>
      </c>
      <c r="AI230" s="5" t="s">
        <v>362</v>
      </c>
      <c r="AJ230" s="5" t="s">
        <v>362</v>
      </c>
      <c r="AK230" s="5" t="s">
        <v>362</v>
      </c>
      <c r="AL230" s="5" t="s">
        <v>362</v>
      </c>
      <c r="AM230" s="5" t="s">
        <v>362</v>
      </c>
      <c r="AN230" s="5" t="s">
        <v>362</v>
      </c>
      <c r="AO230" s="5" t="s">
        <v>362</v>
      </c>
      <c r="AP230" s="44">
        <f t="shared" si="60"/>
        <v>1.0164416751297993</v>
      </c>
      <c r="AQ230" s="45">
        <v>1904</v>
      </c>
      <c r="AR230" s="35">
        <f t="shared" si="53"/>
        <v>519.27272727272725</v>
      </c>
      <c r="AS230" s="35">
        <f t="shared" si="54"/>
        <v>527.79999999999995</v>
      </c>
      <c r="AT230" s="35">
        <f t="shared" si="55"/>
        <v>8.5272727272727025</v>
      </c>
      <c r="AU230" s="35">
        <v>182.9</v>
      </c>
      <c r="AV230" s="35">
        <v>177.9</v>
      </c>
      <c r="AW230" s="35">
        <f t="shared" si="56"/>
        <v>167</v>
      </c>
      <c r="AX230" s="35"/>
      <c r="AY230" s="35">
        <f t="shared" si="57"/>
        <v>167</v>
      </c>
      <c r="AZ230" s="35">
        <v>0</v>
      </c>
      <c r="BA230" s="35">
        <f t="shared" si="58"/>
        <v>167</v>
      </c>
      <c r="BB230" s="35"/>
      <c r="BC230" s="35">
        <f t="shared" si="59"/>
        <v>167</v>
      </c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10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10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10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10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10"/>
      <c r="GZ230" s="9"/>
      <c r="HA230" s="9"/>
    </row>
    <row r="231" spans="1:209" s="2" customFormat="1" ht="17" customHeight="1">
      <c r="A231" s="14" t="s">
        <v>227</v>
      </c>
      <c r="B231" s="35">
        <v>0</v>
      </c>
      <c r="C231" s="35">
        <v>0</v>
      </c>
      <c r="D231" s="4">
        <f t="shared" si="48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539.9</v>
      </c>
      <c r="O231" s="35">
        <v>118.8</v>
      </c>
      <c r="P231" s="4">
        <f t="shared" si="49"/>
        <v>0.22004074828671977</v>
      </c>
      <c r="Q231" s="11">
        <v>20</v>
      </c>
      <c r="R231" s="35">
        <v>58</v>
      </c>
      <c r="S231" s="35">
        <v>54.3</v>
      </c>
      <c r="T231" s="4">
        <f t="shared" si="50"/>
        <v>0.93620689655172407</v>
      </c>
      <c r="U231" s="11">
        <v>25</v>
      </c>
      <c r="V231" s="35">
        <v>5</v>
      </c>
      <c r="W231" s="35">
        <v>9.1</v>
      </c>
      <c r="X231" s="4">
        <f t="shared" si="51"/>
        <v>1.262</v>
      </c>
      <c r="Y231" s="11">
        <v>25</v>
      </c>
      <c r="Z231" s="11" t="s">
        <v>385</v>
      </c>
      <c r="AA231" s="11" t="s">
        <v>385</v>
      </c>
      <c r="AB231" s="11" t="s">
        <v>385</v>
      </c>
      <c r="AC231" s="11" t="s">
        <v>385</v>
      </c>
      <c r="AD231" s="11">
        <v>328</v>
      </c>
      <c r="AE231" s="11">
        <v>399</v>
      </c>
      <c r="AF231" s="4">
        <f t="shared" si="52"/>
        <v>1.2016463414634146</v>
      </c>
      <c r="AG231" s="11">
        <v>20</v>
      </c>
      <c r="AH231" s="5" t="s">
        <v>362</v>
      </c>
      <c r="AI231" s="5" t="s">
        <v>362</v>
      </c>
      <c r="AJ231" s="5" t="s">
        <v>362</v>
      </c>
      <c r="AK231" s="5" t="s">
        <v>362</v>
      </c>
      <c r="AL231" s="5" t="s">
        <v>362</v>
      </c>
      <c r="AM231" s="5" t="s">
        <v>362</v>
      </c>
      <c r="AN231" s="5" t="s">
        <v>362</v>
      </c>
      <c r="AO231" s="5" t="s">
        <v>362</v>
      </c>
      <c r="AP231" s="44">
        <f t="shared" si="60"/>
        <v>0.92654349120884216</v>
      </c>
      <c r="AQ231" s="45">
        <v>1216</v>
      </c>
      <c r="AR231" s="35">
        <f t="shared" si="53"/>
        <v>331.63636363636363</v>
      </c>
      <c r="AS231" s="35">
        <f t="shared" si="54"/>
        <v>307.3</v>
      </c>
      <c r="AT231" s="35">
        <f t="shared" si="55"/>
        <v>-24.336363636363615</v>
      </c>
      <c r="AU231" s="35">
        <v>71.400000000000006</v>
      </c>
      <c r="AV231" s="35">
        <v>94.6</v>
      </c>
      <c r="AW231" s="35">
        <f t="shared" si="56"/>
        <v>141.30000000000001</v>
      </c>
      <c r="AX231" s="35"/>
      <c r="AY231" s="35">
        <f t="shared" si="57"/>
        <v>141.30000000000001</v>
      </c>
      <c r="AZ231" s="35">
        <v>0</v>
      </c>
      <c r="BA231" s="35">
        <f t="shared" si="58"/>
        <v>141.30000000000001</v>
      </c>
      <c r="BB231" s="35"/>
      <c r="BC231" s="35">
        <f t="shared" si="59"/>
        <v>141.30000000000001</v>
      </c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10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10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10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10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10"/>
      <c r="GZ231" s="9"/>
      <c r="HA231" s="9"/>
    </row>
    <row r="232" spans="1:209" s="2" customFormat="1" ht="17" customHeight="1">
      <c r="A232" s="14" t="s">
        <v>228</v>
      </c>
      <c r="B232" s="35">
        <v>0</v>
      </c>
      <c r="C232" s="35">
        <v>0</v>
      </c>
      <c r="D232" s="4">
        <f t="shared" si="48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786.2</v>
      </c>
      <c r="O232" s="35">
        <v>745.1</v>
      </c>
      <c r="P232" s="4">
        <f t="shared" si="49"/>
        <v>0.94772322564233014</v>
      </c>
      <c r="Q232" s="11">
        <v>20</v>
      </c>
      <c r="R232" s="35">
        <v>69</v>
      </c>
      <c r="S232" s="35">
        <v>87.4</v>
      </c>
      <c r="T232" s="4">
        <f t="shared" si="50"/>
        <v>1.2066666666666666</v>
      </c>
      <c r="U232" s="11">
        <v>15</v>
      </c>
      <c r="V232" s="35">
        <v>25</v>
      </c>
      <c r="W232" s="35">
        <v>29.8</v>
      </c>
      <c r="X232" s="4">
        <f t="shared" si="51"/>
        <v>1.1919999999999999</v>
      </c>
      <c r="Y232" s="11">
        <v>35</v>
      </c>
      <c r="Z232" s="11" t="s">
        <v>385</v>
      </c>
      <c r="AA232" s="11" t="s">
        <v>385</v>
      </c>
      <c r="AB232" s="11" t="s">
        <v>385</v>
      </c>
      <c r="AC232" s="11" t="s">
        <v>385</v>
      </c>
      <c r="AD232" s="11">
        <v>435</v>
      </c>
      <c r="AE232" s="11">
        <v>461</v>
      </c>
      <c r="AF232" s="4">
        <f t="shared" si="52"/>
        <v>1.0597701149425287</v>
      </c>
      <c r="AG232" s="11">
        <v>20</v>
      </c>
      <c r="AH232" s="5" t="s">
        <v>362</v>
      </c>
      <c r="AI232" s="5" t="s">
        <v>362</v>
      </c>
      <c r="AJ232" s="5" t="s">
        <v>362</v>
      </c>
      <c r="AK232" s="5" t="s">
        <v>362</v>
      </c>
      <c r="AL232" s="5" t="s">
        <v>362</v>
      </c>
      <c r="AM232" s="5" t="s">
        <v>362</v>
      </c>
      <c r="AN232" s="5" t="s">
        <v>362</v>
      </c>
      <c r="AO232" s="5" t="s">
        <v>362</v>
      </c>
      <c r="AP232" s="44">
        <f t="shared" si="60"/>
        <v>1.1107762979077465</v>
      </c>
      <c r="AQ232" s="45">
        <v>3117</v>
      </c>
      <c r="AR232" s="35">
        <f t="shared" si="53"/>
        <v>850.09090909090912</v>
      </c>
      <c r="AS232" s="35">
        <f t="shared" si="54"/>
        <v>944.3</v>
      </c>
      <c r="AT232" s="35">
        <f t="shared" si="55"/>
        <v>94.209090909090833</v>
      </c>
      <c r="AU232" s="35">
        <v>320.3</v>
      </c>
      <c r="AV232" s="35">
        <v>261.39999999999998</v>
      </c>
      <c r="AW232" s="35">
        <f t="shared" si="56"/>
        <v>362.6</v>
      </c>
      <c r="AX232" s="35"/>
      <c r="AY232" s="35">
        <f t="shared" si="57"/>
        <v>362.6</v>
      </c>
      <c r="AZ232" s="35">
        <v>0</v>
      </c>
      <c r="BA232" s="35">
        <f t="shared" si="58"/>
        <v>362.6</v>
      </c>
      <c r="BB232" s="35"/>
      <c r="BC232" s="35">
        <f t="shared" si="59"/>
        <v>362.6</v>
      </c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10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10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10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10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10"/>
      <c r="GZ232" s="9"/>
      <c r="HA232" s="9"/>
    </row>
    <row r="233" spans="1:209" s="2" customFormat="1" ht="17" customHeight="1">
      <c r="A233" s="14" t="s">
        <v>229</v>
      </c>
      <c r="B233" s="35">
        <v>2984</v>
      </c>
      <c r="C233" s="35">
        <v>289.8</v>
      </c>
      <c r="D233" s="4">
        <f t="shared" si="48"/>
        <v>9.7117962466487934E-2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1523</v>
      </c>
      <c r="O233" s="35">
        <v>681</v>
      </c>
      <c r="P233" s="4">
        <f t="shared" si="49"/>
        <v>0.44714379514116875</v>
      </c>
      <c r="Q233" s="11">
        <v>20</v>
      </c>
      <c r="R233" s="35">
        <v>27</v>
      </c>
      <c r="S233" s="35">
        <v>17.399999999999999</v>
      </c>
      <c r="T233" s="4">
        <f t="shared" si="50"/>
        <v>0.64444444444444438</v>
      </c>
      <c r="U233" s="11">
        <v>15</v>
      </c>
      <c r="V233" s="35">
        <v>13</v>
      </c>
      <c r="W233" s="35">
        <v>15</v>
      </c>
      <c r="X233" s="4">
        <f t="shared" si="51"/>
        <v>1.1538461538461537</v>
      </c>
      <c r="Y233" s="11">
        <v>35</v>
      </c>
      <c r="Z233" s="11" t="s">
        <v>385</v>
      </c>
      <c r="AA233" s="11" t="s">
        <v>385</v>
      </c>
      <c r="AB233" s="11" t="s">
        <v>385</v>
      </c>
      <c r="AC233" s="11" t="s">
        <v>385</v>
      </c>
      <c r="AD233" s="11">
        <v>189</v>
      </c>
      <c r="AE233" s="11">
        <v>171</v>
      </c>
      <c r="AF233" s="4">
        <f t="shared" si="52"/>
        <v>0.90476190476190477</v>
      </c>
      <c r="AG233" s="11">
        <v>20</v>
      </c>
      <c r="AH233" s="5" t="s">
        <v>362</v>
      </c>
      <c r="AI233" s="5" t="s">
        <v>362</v>
      </c>
      <c r="AJ233" s="5" t="s">
        <v>362</v>
      </c>
      <c r="AK233" s="5" t="s">
        <v>362</v>
      </c>
      <c r="AL233" s="5" t="s">
        <v>362</v>
      </c>
      <c r="AM233" s="5" t="s">
        <v>362</v>
      </c>
      <c r="AN233" s="5" t="s">
        <v>362</v>
      </c>
      <c r="AO233" s="5" t="s">
        <v>362</v>
      </c>
      <c r="AP233" s="44">
        <f t="shared" si="60"/>
        <v>0.78060575674008392</v>
      </c>
      <c r="AQ233" s="45">
        <v>2200</v>
      </c>
      <c r="AR233" s="35">
        <f t="shared" si="53"/>
        <v>600</v>
      </c>
      <c r="AS233" s="35">
        <f t="shared" si="54"/>
        <v>468.4</v>
      </c>
      <c r="AT233" s="35">
        <f t="shared" si="55"/>
        <v>-131.60000000000002</v>
      </c>
      <c r="AU233" s="35">
        <v>161.69999999999999</v>
      </c>
      <c r="AV233" s="35">
        <v>187.6</v>
      </c>
      <c r="AW233" s="35">
        <f t="shared" si="56"/>
        <v>119.1</v>
      </c>
      <c r="AX233" s="35"/>
      <c r="AY233" s="35">
        <f t="shared" si="57"/>
        <v>119.1</v>
      </c>
      <c r="AZ233" s="35">
        <v>0</v>
      </c>
      <c r="BA233" s="35">
        <f t="shared" si="58"/>
        <v>119.1</v>
      </c>
      <c r="BB233" s="35"/>
      <c r="BC233" s="35">
        <f t="shared" si="59"/>
        <v>119.1</v>
      </c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10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10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10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10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10"/>
      <c r="GZ233" s="9"/>
      <c r="HA233" s="9"/>
    </row>
    <row r="234" spans="1:209" s="2" customFormat="1" ht="17" customHeight="1">
      <c r="A234" s="14" t="s">
        <v>230</v>
      </c>
      <c r="B234" s="35">
        <v>0</v>
      </c>
      <c r="C234" s="35">
        <v>0</v>
      </c>
      <c r="D234" s="4">
        <f t="shared" si="48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231.4</v>
      </c>
      <c r="O234" s="35">
        <v>174.9</v>
      </c>
      <c r="P234" s="4">
        <f t="shared" si="49"/>
        <v>0.75583405358686262</v>
      </c>
      <c r="Q234" s="11">
        <v>20</v>
      </c>
      <c r="R234" s="35">
        <v>15</v>
      </c>
      <c r="S234" s="35">
        <v>30.3</v>
      </c>
      <c r="T234" s="4">
        <f t="shared" si="50"/>
        <v>1.282</v>
      </c>
      <c r="U234" s="11">
        <v>20</v>
      </c>
      <c r="V234" s="35">
        <v>3</v>
      </c>
      <c r="W234" s="35">
        <v>1.9</v>
      </c>
      <c r="X234" s="4">
        <f t="shared" si="51"/>
        <v>0.6333333333333333</v>
      </c>
      <c r="Y234" s="11">
        <v>30</v>
      </c>
      <c r="Z234" s="11" t="s">
        <v>385</v>
      </c>
      <c r="AA234" s="11" t="s">
        <v>385</v>
      </c>
      <c r="AB234" s="11" t="s">
        <v>385</v>
      </c>
      <c r="AC234" s="11" t="s">
        <v>385</v>
      </c>
      <c r="AD234" s="11">
        <v>214</v>
      </c>
      <c r="AE234" s="11">
        <v>272</v>
      </c>
      <c r="AF234" s="4">
        <f t="shared" si="52"/>
        <v>1.2071028037383178</v>
      </c>
      <c r="AG234" s="11">
        <v>20</v>
      </c>
      <c r="AH234" s="5" t="s">
        <v>362</v>
      </c>
      <c r="AI234" s="5" t="s">
        <v>362</v>
      </c>
      <c r="AJ234" s="5" t="s">
        <v>362</v>
      </c>
      <c r="AK234" s="5" t="s">
        <v>362</v>
      </c>
      <c r="AL234" s="5" t="s">
        <v>362</v>
      </c>
      <c r="AM234" s="5" t="s">
        <v>362</v>
      </c>
      <c r="AN234" s="5" t="s">
        <v>362</v>
      </c>
      <c r="AO234" s="5" t="s">
        <v>362</v>
      </c>
      <c r="AP234" s="44">
        <f t="shared" si="60"/>
        <v>0.93220819051670678</v>
      </c>
      <c r="AQ234" s="45">
        <v>870</v>
      </c>
      <c r="AR234" s="35">
        <f t="shared" si="53"/>
        <v>237.27272727272728</v>
      </c>
      <c r="AS234" s="35">
        <f t="shared" si="54"/>
        <v>221.2</v>
      </c>
      <c r="AT234" s="35">
        <f t="shared" si="55"/>
        <v>-16.072727272727292</v>
      </c>
      <c r="AU234" s="35">
        <v>80.2</v>
      </c>
      <c r="AV234" s="35">
        <v>49.1</v>
      </c>
      <c r="AW234" s="35">
        <f t="shared" si="56"/>
        <v>91.9</v>
      </c>
      <c r="AX234" s="35"/>
      <c r="AY234" s="35">
        <f t="shared" si="57"/>
        <v>91.9</v>
      </c>
      <c r="AZ234" s="35">
        <v>0</v>
      </c>
      <c r="BA234" s="35">
        <f t="shared" si="58"/>
        <v>91.9</v>
      </c>
      <c r="BB234" s="35"/>
      <c r="BC234" s="35">
        <f t="shared" si="59"/>
        <v>91.9</v>
      </c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10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10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10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10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10"/>
      <c r="GZ234" s="9"/>
      <c r="HA234" s="9"/>
    </row>
    <row r="235" spans="1:209" s="2" customFormat="1" ht="17" customHeight="1">
      <c r="A235" s="14" t="s">
        <v>231</v>
      </c>
      <c r="B235" s="35">
        <v>0</v>
      </c>
      <c r="C235" s="35">
        <v>0</v>
      </c>
      <c r="D235" s="4">
        <f t="shared" si="48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529.9</v>
      </c>
      <c r="O235" s="35">
        <v>174.4</v>
      </c>
      <c r="P235" s="4">
        <f t="shared" si="49"/>
        <v>0.32911870164181922</v>
      </c>
      <c r="Q235" s="11">
        <v>20</v>
      </c>
      <c r="R235" s="35">
        <v>50</v>
      </c>
      <c r="S235" s="35">
        <v>50.4</v>
      </c>
      <c r="T235" s="4">
        <f t="shared" si="50"/>
        <v>1.008</v>
      </c>
      <c r="U235" s="11">
        <v>20</v>
      </c>
      <c r="V235" s="35">
        <v>6</v>
      </c>
      <c r="W235" s="35">
        <v>13.3</v>
      </c>
      <c r="X235" s="4">
        <f t="shared" si="51"/>
        <v>1.3</v>
      </c>
      <c r="Y235" s="11">
        <v>30</v>
      </c>
      <c r="Z235" s="11" t="s">
        <v>385</v>
      </c>
      <c r="AA235" s="11" t="s">
        <v>385</v>
      </c>
      <c r="AB235" s="11" t="s">
        <v>385</v>
      </c>
      <c r="AC235" s="11" t="s">
        <v>385</v>
      </c>
      <c r="AD235" s="11">
        <v>276</v>
      </c>
      <c r="AE235" s="11">
        <v>191</v>
      </c>
      <c r="AF235" s="4">
        <f t="shared" si="52"/>
        <v>0.69202898550724634</v>
      </c>
      <c r="AG235" s="11">
        <v>20</v>
      </c>
      <c r="AH235" s="5" t="s">
        <v>362</v>
      </c>
      <c r="AI235" s="5" t="s">
        <v>362</v>
      </c>
      <c r="AJ235" s="5" t="s">
        <v>362</v>
      </c>
      <c r="AK235" s="5" t="s">
        <v>362</v>
      </c>
      <c r="AL235" s="5" t="s">
        <v>362</v>
      </c>
      <c r="AM235" s="5" t="s">
        <v>362</v>
      </c>
      <c r="AN235" s="5" t="s">
        <v>362</v>
      </c>
      <c r="AO235" s="5" t="s">
        <v>362</v>
      </c>
      <c r="AP235" s="44">
        <f t="shared" si="60"/>
        <v>0.88425504158868118</v>
      </c>
      <c r="AQ235" s="45">
        <v>2098</v>
      </c>
      <c r="AR235" s="35">
        <f t="shared" si="53"/>
        <v>572.18181818181813</v>
      </c>
      <c r="AS235" s="35">
        <f t="shared" si="54"/>
        <v>506</v>
      </c>
      <c r="AT235" s="35">
        <f t="shared" si="55"/>
        <v>-66.18181818181813</v>
      </c>
      <c r="AU235" s="35">
        <v>200.7</v>
      </c>
      <c r="AV235" s="35">
        <v>162.69999999999999</v>
      </c>
      <c r="AW235" s="35">
        <f t="shared" si="56"/>
        <v>142.6</v>
      </c>
      <c r="AX235" s="35"/>
      <c r="AY235" s="35">
        <f t="shared" si="57"/>
        <v>142.6</v>
      </c>
      <c r="AZ235" s="35">
        <v>0</v>
      </c>
      <c r="BA235" s="35">
        <f t="shared" si="58"/>
        <v>142.6</v>
      </c>
      <c r="BB235" s="35">
        <f>MIN(BA235,14.7)</f>
        <v>14.7</v>
      </c>
      <c r="BC235" s="35">
        <f t="shared" si="59"/>
        <v>127.9</v>
      </c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10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10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10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10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10"/>
      <c r="GZ235" s="9"/>
      <c r="HA235" s="9"/>
    </row>
    <row r="236" spans="1:209" s="2" customFormat="1" ht="17" customHeight="1">
      <c r="A236" s="14" t="s">
        <v>232</v>
      </c>
      <c r="B236" s="35">
        <v>7359</v>
      </c>
      <c r="C236" s="35">
        <v>9891</v>
      </c>
      <c r="D236" s="4">
        <f t="shared" si="48"/>
        <v>1.2144068487566244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117.6</v>
      </c>
      <c r="O236" s="35">
        <v>348.9</v>
      </c>
      <c r="P236" s="4">
        <f t="shared" si="49"/>
        <v>1.3</v>
      </c>
      <c r="Q236" s="11">
        <v>20</v>
      </c>
      <c r="R236" s="35">
        <v>15</v>
      </c>
      <c r="S236" s="35">
        <v>18</v>
      </c>
      <c r="T236" s="4">
        <f t="shared" si="50"/>
        <v>1.2</v>
      </c>
      <c r="U236" s="11">
        <v>15</v>
      </c>
      <c r="V236" s="35">
        <v>14</v>
      </c>
      <c r="W236" s="35">
        <v>15.5</v>
      </c>
      <c r="X236" s="4">
        <f t="shared" si="51"/>
        <v>1.1071428571428572</v>
      </c>
      <c r="Y236" s="11">
        <v>35</v>
      </c>
      <c r="Z236" s="11" t="s">
        <v>385</v>
      </c>
      <c r="AA236" s="11" t="s">
        <v>385</v>
      </c>
      <c r="AB236" s="11" t="s">
        <v>385</v>
      </c>
      <c r="AC236" s="11" t="s">
        <v>385</v>
      </c>
      <c r="AD236" s="11">
        <v>335</v>
      </c>
      <c r="AE236" s="11">
        <v>289</v>
      </c>
      <c r="AF236" s="4">
        <f t="shared" si="52"/>
        <v>0.86268656716417913</v>
      </c>
      <c r="AG236" s="11">
        <v>20</v>
      </c>
      <c r="AH236" s="5" t="s">
        <v>362</v>
      </c>
      <c r="AI236" s="5" t="s">
        <v>362</v>
      </c>
      <c r="AJ236" s="5" t="s">
        <v>362</v>
      </c>
      <c r="AK236" s="5" t="s">
        <v>362</v>
      </c>
      <c r="AL236" s="5" t="s">
        <v>362</v>
      </c>
      <c r="AM236" s="5" t="s">
        <v>362</v>
      </c>
      <c r="AN236" s="5" t="s">
        <v>362</v>
      </c>
      <c r="AO236" s="5" t="s">
        <v>362</v>
      </c>
      <c r="AP236" s="44">
        <f t="shared" si="60"/>
        <v>1.1214779983084984</v>
      </c>
      <c r="AQ236" s="45">
        <v>4903</v>
      </c>
      <c r="AR236" s="35">
        <f t="shared" si="53"/>
        <v>1337.1818181818182</v>
      </c>
      <c r="AS236" s="35">
        <f t="shared" si="54"/>
        <v>1499.6</v>
      </c>
      <c r="AT236" s="35">
        <f t="shared" si="55"/>
        <v>162.41818181818167</v>
      </c>
      <c r="AU236" s="35">
        <v>445.3</v>
      </c>
      <c r="AV236" s="35">
        <v>507.3</v>
      </c>
      <c r="AW236" s="35">
        <f t="shared" si="56"/>
        <v>547</v>
      </c>
      <c r="AX236" s="35"/>
      <c r="AY236" s="35">
        <f t="shared" si="57"/>
        <v>547</v>
      </c>
      <c r="AZ236" s="35">
        <v>0</v>
      </c>
      <c r="BA236" s="35">
        <f t="shared" si="58"/>
        <v>547</v>
      </c>
      <c r="BB236" s="35"/>
      <c r="BC236" s="35">
        <f t="shared" si="59"/>
        <v>547</v>
      </c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10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10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10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10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10"/>
      <c r="GZ236" s="9"/>
      <c r="HA236" s="9"/>
    </row>
    <row r="237" spans="1:209" s="2" customFormat="1" ht="17" customHeight="1">
      <c r="A237" s="14" t="s">
        <v>233</v>
      </c>
      <c r="B237" s="35">
        <v>360924</v>
      </c>
      <c r="C237" s="35">
        <v>526105</v>
      </c>
      <c r="D237" s="4">
        <f t="shared" si="48"/>
        <v>1.2257661446731167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4054.4</v>
      </c>
      <c r="O237" s="35">
        <v>3374.4</v>
      </c>
      <c r="P237" s="4">
        <f t="shared" si="49"/>
        <v>0.83228097868981843</v>
      </c>
      <c r="Q237" s="11">
        <v>20</v>
      </c>
      <c r="R237" s="35">
        <v>15</v>
      </c>
      <c r="S237" s="35">
        <v>15.8</v>
      </c>
      <c r="T237" s="4">
        <f t="shared" si="50"/>
        <v>1.0533333333333335</v>
      </c>
      <c r="U237" s="11">
        <v>10</v>
      </c>
      <c r="V237" s="35">
        <v>10</v>
      </c>
      <c r="W237" s="35">
        <v>10.9</v>
      </c>
      <c r="X237" s="4">
        <f t="shared" si="51"/>
        <v>1.0900000000000001</v>
      </c>
      <c r="Y237" s="11">
        <v>40</v>
      </c>
      <c r="Z237" s="11" t="s">
        <v>385</v>
      </c>
      <c r="AA237" s="11" t="s">
        <v>385</v>
      </c>
      <c r="AB237" s="11" t="s">
        <v>385</v>
      </c>
      <c r="AC237" s="11" t="s">
        <v>385</v>
      </c>
      <c r="AD237" s="11">
        <v>177</v>
      </c>
      <c r="AE237" s="11">
        <v>177</v>
      </c>
      <c r="AF237" s="4">
        <f t="shared" si="52"/>
        <v>1</v>
      </c>
      <c r="AG237" s="11">
        <v>20</v>
      </c>
      <c r="AH237" s="5" t="s">
        <v>362</v>
      </c>
      <c r="AI237" s="5" t="s">
        <v>362</v>
      </c>
      <c r="AJ237" s="5" t="s">
        <v>362</v>
      </c>
      <c r="AK237" s="5" t="s">
        <v>362</v>
      </c>
      <c r="AL237" s="5" t="s">
        <v>362</v>
      </c>
      <c r="AM237" s="5" t="s">
        <v>362</v>
      </c>
      <c r="AN237" s="5" t="s">
        <v>362</v>
      </c>
      <c r="AO237" s="5" t="s">
        <v>362</v>
      </c>
      <c r="AP237" s="44">
        <f t="shared" si="60"/>
        <v>1.0303661435386087</v>
      </c>
      <c r="AQ237" s="45">
        <v>2218</v>
      </c>
      <c r="AR237" s="35">
        <f t="shared" si="53"/>
        <v>604.90909090909088</v>
      </c>
      <c r="AS237" s="35">
        <f t="shared" si="54"/>
        <v>623.29999999999995</v>
      </c>
      <c r="AT237" s="35">
        <f t="shared" si="55"/>
        <v>18.390909090909076</v>
      </c>
      <c r="AU237" s="35">
        <v>196.5</v>
      </c>
      <c r="AV237" s="35">
        <v>213.3</v>
      </c>
      <c r="AW237" s="35">
        <f t="shared" si="56"/>
        <v>213.5</v>
      </c>
      <c r="AX237" s="35"/>
      <c r="AY237" s="35">
        <f t="shared" si="57"/>
        <v>213.5</v>
      </c>
      <c r="AZ237" s="35">
        <v>0</v>
      </c>
      <c r="BA237" s="35">
        <f t="shared" si="58"/>
        <v>213.5</v>
      </c>
      <c r="BB237" s="35">
        <f>MIN(BA237,29.5)</f>
        <v>29.5</v>
      </c>
      <c r="BC237" s="35">
        <f t="shared" si="59"/>
        <v>184</v>
      </c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10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10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10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10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10"/>
      <c r="GZ237" s="9"/>
      <c r="HA237" s="9"/>
    </row>
    <row r="238" spans="1:209" s="2" customFormat="1" ht="17" customHeight="1">
      <c r="A238" s="18" t="s">
        <v>234</v>
      </c>
      <c r="B238" s="6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35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10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10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10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10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10"/>
      <c r="GZ238" s="9"/>
      <c r="HA238" s="9"/>
    </row>
    <row r="239" spans="1:209" s="2" customFormat="1" ht="17" customHeight="1">
      <c r="A239" s="14" t="s">
        <v>235</v>
      </c>
      <c r="B239" s="35">
        <v>5367</v>
      </c>
      <c r="C239" s="35">
        <v>5426</v>
      </c>
      <c r="D239" s="4">
        <f t="shared" ref="D239:D302" si="61">IF(E239=0,0,IF(B239=0,1,IF(C239&lt;0,0,IF(C239/B239&gt;1.2,IF((C239/B239-1.2)*0.1+1.2&gt;1.3,1.3,(C239/B239-1.2)*0.1+1.2),C239/B239))))</f>
        <v>1.0109931060182598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213.1</v>
      </c>
      <c r="O239" s="35">
        <v>119.6</v>
      </c>
      <c r="P239" s="4">
        <f t="shared" ref="P239:P302" si="62">IF(Q239=0,0,IF(N239=0,1,IF(O239&lt;0,0,IF(O239/N239&gt;1.2,IF((O239/N239-1.2)*0.1+1.2&gt;1.3,1.3,(O239/N239-1.2)*0.1+1.2),O239/N239))))</f>
        <v>0.56123885499765369</v>
      </c>
      <c r="Q239" s="11">
        <v>20</v>
      </c>
      <c r="R239" s="35">
        <v>232.8</v>
      </c>
      <c r="S239" s="35">
        <v>217.6</v>
      </c>
      <c r="T239" s="4">
        <f t="shared" ref="T239:T302" si="63">IF(U239=0,0,IF(R239=0,1,IF(S239&lt;0,0,IF(S239/R239&gt;1.2,IF((S239/R239-1.2)*0.1+1.2&gt;1.3,1.3,(S239/R239-1.2)*0.1+1.2),S239/R239))))</f>
        <v>0.93470790378006863</v>
      </c>
      <c r="U239" s="11">
        <v>20</v>
      </c>
      <c r="V239" s="35">
        <v>15.5</v>
      </c>
      <c r="W239" s="35">
        <v>34.9</v>
      </c>
      <c r="X239" s="4">
        <f t="shared" ref="X239:X302" si="64">IF(Y239=0,0,IF(V239=0,1,IF(W239&lt;0,0,IF(W239/V239&gt;1.2,IF((W239/V239-1.2)*0.1+1.2&gt;1.3,1.3,(W239/V239-1.2)*0.1+1.2),W239/V239))))</f>
        <v>1.3</v>
      </c>
      <c r="Y239" s="11">
        <v>30</v>
      </c>
      <c r="Z239" s="11" t="s">
        <v>385</v>
      </c>
      <c r="AA239" s="11" t="s">
        <v>385</v>
      </c>
      <c r="AB239" s="11" t="s">
        <v>385</v>
      </c>
      <c r="AC239" s="11" t="s">
        <v>385</v>
      </c>
      <c r="AD239" s="11">
        <v>486</v>
      </c>
      <c r="AE239" s="11">
        <v>652</v>
      </c>
      <c r="AF239" s="4">
        <f t="shared" ref="AF239:AF302" si="65">IF(AG239=0,0,IF(AD239=0,1,IF(AE239&lt;0,0,IF(AE239/AD239&gt;1.2,IF((AE239/AD239-1.2)*0.1+1.2&gt;1.3,1.3,(AE239/AD239-1.2)*0.1+1.2),AE239/AD239))))</f>
        <v>1.2141563786008229</v>
      </c>
      <c r="AG239" s="11">
        <v>20</v>
      </c>
      <c r="AH239" s="5" t="s">
        <v>362</v>
      </c>
      <c r="AI239" s="5" t="s">
        <v>362</v>
      </c>
      <c r="AJ239" s="5" t="s">
        <v>362</v>
      </c>
      <c r="AK239" s="5" t="s">
        <v>362</v>
      </c>
      <c r="AL239" s="5" t="s">
        <v>362</v>
      </c>
      <c r="AM239" s="5" t="s">
        <v>362</v>
      </c>
      <c r="AN239" s="5" t="s">
        <v>362</v>
      </c>
      <c r="AO239" s="5" t="s">
        <v>362</v>
      </c>
      <c r="AP239" s="44">
        <f t="shared" si="60"/>
        <v>1.0331199380775349</v>
      </c>
      <c r="AQ239" s="45">
        <v>985</v>
      </c>
      <c r="AR239" s="35">
        <f t="shared" ref="AR239:AR302" si="66">AQ239/11*3</f>
        <v>268.63636363636363</v>
      </c>
      <c r="AS239" s="35">
        <f t="shared" ref="AS239:AS302" si="67">ROUND(AP239*AR239,1)</f>
        <v>277.5</v>
      </c>
      <c r="AT239" s="35">
        <f t="shared" ref="AT239:AT302" si="68">AS239-AR239</f>
        <v>8.863636363636374</v>
      </c>
      <c r="AU239" s="35">
        <v>78</v>
      </c>
      <c r="AV239" s="35">
        <v>89</v>
      </c>
      <c r="AW239" s="35">
        <f t="shared" ref="AW239:AW302" si="69">ROUND(AS239-SUM(AU239:AV239),1)</f>
        <v>110.5</v>
      </c>
      <c r="AX239" s="35"/>
      <c r="AY239" s="35">
        <f t="shared" ref="AY239:AY302" si="70">IF(OR(AW239&lt;0,AX239="+"),0,AW239)</f>
        <v>110.5</v>
      </c>
      <c r="AZ239" s="35">
        <v>0</v>
      </c>
      <c r="BA239" s="35">
        <f t="shared" ref="BA239:BA302" si="71">AY239+AZ239</f>
        <v>110.5</v>
      </c>
      <c r="BB239" s="35"/>
      <c r="BC239" s="35">
        <f t="shared" ref="BC239:BC302" si="72">IF((BA239-BB239)&gt;0,ROUND(BA239-BB239,1),0)</f>
        <v>110.5</v>
      </c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10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10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10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10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10"/>
      <c r="GZ239" s="9"/>
      <c r="HA239" s="9"/>
    </row>
    <row r="240" spans="1:209" s="2" customFormat="1" ht="17" customHeight="1">
      <c r="A240" s="14" t="s">
        <v>236</v>
      </c>
      <c r="B240" s="35">
        <v>0</v>
      </c>
      <c r="C240" s="35">
        <v>0</v>
      </c>
      <c r="D240" s="4">
        <f t="shared" si="61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361</v>
      </c>
      <c r="O240" s="35">
        <v>191.4</v>
      </c>
      <c r="P240" s="4">
        <f t="shared" si="62"/>
        <v>0.53019390581717452</v>
      </c>
      <c r="Q240" s="11">
        <v>20</v>
      </c>
      <c r="R240" s="35">
        <v>18.100000000000001</v>
      </c>
      <c r="S240" s="35">
        <v>18.5</v>
      </c>
      <c r="T240" s="4">
        <f t="shared" si="63"/>
        <v>1.0220994475138121</v>
      </c>
      <c r="U240" s="11">
        <v>10</v>
      </c>
      <c r="V240" s="35">
        <v>18.5</v>
      </c>
      <c r="W240" s="35">
        <v>22.4</v>
      </c>
      <c r="X240" s="4">
        <f t="shared" si="64"/>
        <v>1.201081081081081</v>
      </c>
      <c r="Y240" s="11">
        <v>40</v>
      </c>
      <c r="Z240" s="11" t="s">
        <v>385</v>
      </c>
      <c r="AA240" s="11" t="s">
        <v>385</v>
      </c>
      <c r="AB240" s="11" t="s">
        <v>385</v>
      </c>
      <c r="AC240" s="11" t="s">
        <v>385</v>
      </c>
      <c r="AD240" s="11">
        <v>70</v>
      </c>
      <c r="AE240" s="11">
        <v>80</v>
      </c>
      <c r="AF240" s="4">
        <f t="shared" si="65"/>
        <v>1.1428571428571428</v>
      </c>
      <c r="AG240" s="11">
        <v>20</v>
      </c>
      <c r="AH240" s="5" t="s">
        <v>362</v>
      </c>
      <c r="AI240" s="5" t="s">
        <v>362</v>
      </c>
      <c r="AJ240" s="5" t="s">
        <v>362</v>
      </c>
      <c r="AK240" s="5" t="s">
        <v>362</v>
      </c>
      <c r="AL240" s="5" t="s">
        <v>362</v>
      </c>
      <c r="AM240" s="5" t="s">
        <v>362</v>
      </c>
      <c r="AN240" s="5" t="s">
        <v>362</v>
      </c>
      <c r="AO240" s="5" t="s">
        <v>362</v>
      </c>
      <c r="AP240" s="44">
        <f t="shared" ref="AP240:AP303" si="73">(D240*E240+P240*Q240+T240*U240+X240*Y240+AF240*AG240)/(E240+Q240+U240+Y240+AG240)</f>
        <v>1.0191695410207524</v>
      </c>
      <c r="AQ240" s="45">
        <v>1413</v>
      </c>
      <c r="AR240" s="35">
        <f t="shared" si="66"/>
        <v>385.36363636363637</v>
      </c>
      <c r="AS240" s="35">
        <f t="shared" si="67"/>
        <v>392.8</v>
      </c>
      <c r="AT240" s="35">
        <f t="shared" si="68"/>
        <v>7.4363636363636374</v>
      </c>
      <c r="AU240" s="35">
        <v>161.80000000000001</v>
      </c>
      <c r="AV240" s="35">
        <v>119.4</v>
      </c>
      <c r="AW240" s="35">
        <f t="shared" si="69"/>
        <v>111.6</v>
      </c>
      <c r="AX240" s="35"/>
      <c r="AY240" s="35">
        <f t="shared" si="70"/>
        <v>111.6</v>
      </c>
      <c r="AZ240" s="35">
        <v>0</v>
      </c>
      <c r="BA240" s="35">
        <f t="shared" si="71"/>
        <v>111.6</v>
      </c>
      <c r="BB240" s="35"/>
      <c r="BC240" s="35">
        <f t="shared" si="72"/>
        <v>111.6</v>
      </c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10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10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10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10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10"/>
      <c r="GZ240" s="9"/>
      <c r="HA240" s="9"/>
    </row>
    <row r="241" spans="1:209" s="2" customFormat="1" ht="17" customHeight="1">
      <c r="A241" s="14" t="s">
        <v>237</v>
      </c>
      <c r="B241" s="35">
        <v>2257</v>
      </c>
      <c r="C241" s="35">
        <v>1762.7</v>
      </c>
      <c r="D241" s="4">
        <f t="shared" si="61"/>
        <v>0.78099246787771381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325.8</v>
      </c>
      <c r="O241" s="35">
        <v>292.7</v>
      </c>
      <c r="P241" s="4">
        <f t="shared" si="62"/>
        <v>0.8984039287906691</v>
      </c>
      <c r="Q241" s="11">
        <v>20</v>
      </c>
      <c r="R241" s="35">
        <v>106.3</v>
      </c>
      <c r="S241" s="35">
        <v>107.1</v>
      </c>
      <c r="T241" s="4">
        <f t="shared" si="63"/>
        <v>1.0075258701787393</v>
      </c>
      <c r="U241" s="11">
        <v>25</v>
      </c>
      <c r="V241" s="35">
        <v>10.199999999999999</v>
      </c>
      <c r="W241" s="35">
        <v>11.1</v>
      </c>
      <c r="X241" s="4">
        <f t="shared" si="64"/>
        <v>1.0882352941176472</v>
      </c>
      <c r="Y241" s="11">
        <v>25</v>
      </c>
      <c r="Z241" s="11" t="s">
        <v>385</v>
      </c>
      <c r="AA241" s="11" t="s">
        <v>385</v>
      </c>
      <c r="AB241" s="11" t="s">
        <v>385</v>
      </c>
      <c r="AC241" s="11" t="s">
        <v>385</v>
      </c>
      <c r="AD241" s="11">
        <v>237</v>
      </c>
      <c r="AE241" s="11">
        <v>237</v>
      </c>
      <c r="AF241" s="4">
        <f t="shared" si="65"/>
        <v>1</v>
      </c>
      <c r="AG241" s="11">
        <v>20</v>
      </c>
      <c r="AH241" s="5" t="s">
        <v>362</v>
      </c>
      <c r="AI241" s="5" t="s">
        <v>362</v>
      </c>
      <c r="AJ241" s="5" t="s">
        <v>362</v>
      </c>
      <c r="AK241" s="5" t="s">
        <v>362</v>
      </c>
      <c r="AL241" s="5" t="s">
        <v>362</v>
      </c>
      <c r="AM241" s="5" t="s">
        <v>362</v>
      </c>
      <c r="AN241" s="5" t="s">
        <v>362</v>
      </c>
      <c r="AO241" s="5" t="s">
        <v>362</v>
      </c>
      <c r="AP241" s="44">
        <f t="shared" si="73"/>
        <v>0.98172032362000183</v>
      </c>
      <c r="AQ241" s="45">
        <v>1091</v>
      </c>
      <c r="AR241" s="35">
        <f t="shared" si="66"/>
        <v>297.54545454545456</v>
      </c>
      <c r="AS241" s="35">
        <f t="shared" si="67"/>
        <v>292.10000000000002</v>
      </c>
      <c r="AT241" s="35">
        <f t="shared" si="68"/>
        <v>-5.4454545454545382</v>
      </c>
      <c r="AU241" s="35">
        <v>102.2</v>
      </c>
      <c r="AV241" s="35">
        <v>86.1</v>
      </c>
      <c r="AW241" s="35">
        <f t="shared" si="69"/>
        <v>103.8</v>
      </c>
      <c r="AX241" s="35"/>
      <c r="AY241" s="35">
        <f t="shared" si="70"/>
        <v>103.8</v>
      </c>
      <c r="AZ241" s="35">
        <v>0</v>
      </c>
      <c r="BA241" s="35">
        <f t="shared" si="71"/>
        <v>103.8</v>
      </c>
      <c r="BB241" s="35">
        <f>MIN(BA241,27.4)</f>
        <v>27.4</v>
      </c>
      <c r="BC241" s="35">
        <f t="shared" si="72"/>
        <v>76.400000000000006</v>
      </c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10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10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10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10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10"/>
      <c r="GZ241" s="9"/>
      <c r="HA241" s="9"/>
    </row>
    <row r="242" spans="1:209" s="2" customFormat="1" ht="17" customHeight="1">
      <c r="A242" s="14" t="s">
        <v>238</v>
      </c>
      <c r="B242" s="35">
        <v>0</v>
      </c>
      <c r="C242" s="35">
        <v>0</v>
      </c>
      <c r="D242" s="4">
        <f t="shared" si="61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265.5</v>
      </c>
      <c r="O242" s="35">
        <v>327.5</v>
      </c>
      <c r="P242" s="4">
        <f t="shared" si="62"/>
        <v>1.203352165725047</v>
      </c>
      <c r="Q242" s="11">
        <v>20</v>
      </c>
      <c r="R242" s="35">
        <v>55.6</v>
      </c>
      <c r="S242" s="35">
        <v>55.8</v>
      </c>
      <c r="T242" s="4">
        <f t="shared" si="63"/>
        <v>1.0035971223021583</v>
      </c>
      <c r="U242" s="11">
        <v>20</v>
      </c>
      <c r="V242" s="35">
        <v>7.4</v>
      </c>
      <c r="W242" s="35">
        <v>9.1999999999999993</v>
      </c>
      <c r="X242" s="4">
        <f t="shared" si="64"/>
        <v>1.2043243243243242</v>
      </c>
      <c r="Y242" s="11">
        <v>30</v>
      </c>
      <c r="Z242" s="11" t="s">
        <v>385</v>
      </c>
      <c r="AA242" s="11" t="s">
        <v>385</v>
      </c>
      <c r="AB242" s="11" t="s">
        <v>385</v>
      </c>
      <c r="AC242" s="11" t="s">
        <v>385</v>
      </c>
      <c r="AD242" s="11">
        <v>336</v>
      </c>
      <c r="AE242" s="11">
        <v>331</v>
      </c>
      <c r="AF242" s="4">
        <f t="shared" si="65"/>
        <v>0.98511904761904767</v>
      </c>
      <c r="AG242" s="11">
        <v>20</v>
      </c>
      <c r="AH242" s="5" t="s">
        <v>362</v>
      </c>
      <c r="AI242" s="5" t="s">
        <v>362</v>
      </c>
      <c r="AJ242" s="5" t="s">
        <v>362</v>
      </c>
      <c r="AK242" s="5" t="s">
        <v>362</v>
      </c>
      <c r="AL242" s="5" t="s">
        <v>362</v>
      </c>
      <c r="AM242" s="5" t="s">
        <v>362</v>
      </c>
      <c r="AN242" s="5" t="s">
        <v>362</v>
      </c>
      <c r="AO242" s="5" t="s">
        <v>362</v>
      </c>
      <c r="AP242" s="44">
        <f t="shared" si="73"/>
        <v>1.110789960473942</v>
      </c>
      <c r="AQ242" s="45">
        <v>1348</v>
      </c>
      <c r="AR242" s="35">
        <f t="shared" si="66"/>
        <v>367.63636363636363</v>
      </c>
      <c r="AS242" s="35">
        <f t="shared" si="67"/>
        <v>408.4</v>
      </c>
      <c r="AT242" s="35">
        <f t="shared" si="68"/>
        <v>40.763636363636351</v>
      </c>
      <c r="AU242" s="35">
        <v>129.9</v>
      </c>
      <c r="AV242" s="35">
        <v>143.80000000000001</v>
      </c>
      <c r="AW242" s="35">
        <f t="shared" si="69"/>
        <v>134.69999999999999</v>
      </c>
      <c r="AX242" s="35"/>
      <c r="AY242" s="35">
        <f t="shared" si="70"/>
        <v>134.69999999999999</v>
      </c>
      <c r="AZ242" s="35">
        <v>0</v>
      </c>
      <c r="BA242" s="35">
        <f t="shared" si="71"/>
        <v>134.69999999999999</v>
      </c>
      <c r="BB242" s="35">
        <f>MIN(BA242,16.6)</f>
        <v>16.600000000000001</v>
      </c>
      <c r="BC242" s="35">
        <f t="shared" si="72"/>
        <v>118.1</v>
      </c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10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10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10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10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10"/>
      <c r="GZ242" s="9"/>
      <c r="HA242" s="9"/>
    </row>
    <row r="243" spans="1:209" s="2" customFormat="1" ht="17" customHeight="1">
      <c r="A243" s="14" t="s">
        <v>239</v>
      </c>
      <c r="B243" s="35">
        <v>0</v>
      </c>
      <c r="C243" s="35">
        <v>0</v>
      </c>
      <c r="D243" s="4">
        <f t="shared" si="61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290.8</v>
      </c>
      <c r="O243" s="35">
        <v>280.2</v>
      </c>
      <c r="P243" s="4">
        <f t="shared" si="62"/>
        <v>0.96354883081155429</v>
      </c>
      <c r="Q243" s="11">
        <v>20</v>
      </c>
      <c r="R243" s="35">
        <v>8.8000000000000007</v>
      </c>
      <c r="S243" s="35">
        <v>9.5</v>
      </c>
      <c r="T243" s="4">
        <f t="shared" si="63"/>
        <v>1.0795454545454544</v>
      </c>
      <c r="U243" s="11">
        <v>25</v>
      </c>
      <c r="V243" s="35">
        <v>0.6</v>
      </c>
      <c r="W243" s="35">
        <v>2.9</v>
      </c>
      <c r="X243" s="4">
        <f t="shared" si="64"/>
        <v>1.3</v>
      </c>
      <c r="Y243" s="11">
        <v>25</v>
      </c>
      <c r="Z243" s="11" t="s">
        <v>385</v>
      </c>
      <c r="AA243" s="11" t="s">
        <v>385</v>
      </c>
      <c r="AB243" s="11" t="s">
        <v>385</v>
      </c>
      <c r="AC243" s="11" t="s">
        <v>385</v>
      </c>
      <c r="AD243" s="11">
        <v>100</v>
      </c>
      <c r="AE243" s="11">
        <v>101</v>
      </c>
      <c r="AF243" s="4">
        <f t="shared" si="65"/>
        <v>1.01</v>
      </c>
      <c r="AG243" s="11">
        <v>20</v>
      </c>
      <c r="AH243" s="5" t="s">
        <v>362</v>
      </c>
      <c r="AI243" s="5" t="s">
        <v>362</v>
      </c>
      <c r="AJ243" s="5" t="s">
        <v>362</v>
      </c>
      <c r="AK243" s="5" t="s">
        <v>362</v>
      </c>
      <c r="AL243" s="5" t="s">
        <v>362</v>
      </c>
      <c r="AM243" s="5" t="s">
        <v>362</v>
      </c>
      <c r="AN243" s="5" t="s">
        <v>362</v>
      </c>
      <c r="AO243" s="5" t="s">
        <v>362</v>
      </c>
      <c r="AP243" s="44">
        <f t="shared" si="73"/>
        <v>1.0995512553318605</v>
      </c>
      <c r="AQ243" s="45">
        <v>819</v>
      </c>
      <c r="AR243" s="35">
        <f t="shared" si="66"/>
        <v>223.36363636363637</v>
      </c>
      <c r="AS243" s="35">
        <f t="shared" si="67"/>
        <v>245.6</v>
      </c>
      <c r="AT243" s="35">
        <f t="shared" si="68"/>
        <v>22.23636363636362</v>
      </c>
      <c r="AU243" s="35">
        <v>89.3</v>
      </c>
      <c r="AV243" s="35">
        <v>91.3</v>
      </c>
      <c r="AW243" s="35">
        <f t="shared" si="69"/>
        <v>65</v>
      </c>
      <c r="AX243" s="35"/>
      <c r="AY243" s="35">
        <f t="shared" si="70"/>
        <v>65</v>
      </c>
      <c r="AZ243" s="35">
        <v>0</v>
      </c>
      <c r="BA243" s="35">
        <f t="shared" si="71"/>
        <v>65</v>
      </c>
      <c r="BB243" s="35">
        <f>MIN(BA243,37.2)</f>
        <v>37.200000000000003</v>
      </c>
      <c r="BC243" s="35">
        <f t="shared" si="72"/>
        <v>27.8</v>
      </c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10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10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10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10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10"/>
      <c r="GZ243" s="9"/>
      <c r="HA243" s="9"/>
    </row>
    <row r="244" spans="1:209" s="2" customFormat="1" ht="17" customHeight="1">
      <c r="A244" s="14" t="s">
        <v>240</v>
      </c>
      <c r="B244" s="35">
        <v>0</v>
      </c>
      <c r="C244" s="35">
        <v>0</v>
      </c>
      <c r="D244" s="4">
        <f t="shared" si="61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197.9</v>
      </c>
      <c r="O244" s="35">
        <v>183.9</v>
      </c>
      <c r="P244" s="4">
        <f t="shared" si="62"/>
        <v>0.92925720060636685</v>
      </c>
      <c r="Q244" s="11">
        <v>20</v>
      </c>
      <c r="R244" s="35">
        <v>95.7</v>
      </c>
      <c r="S244" s="35">
        <v>97</v>
      </c>
      <c r="T244" s="4">
        <f t="shared" si="63"/>
        <v>1.0135841170323929</v>
      </c>
      <c r="U244" s="11">
        <v>40</v>
      </c>
      <c r="V244" s="35">
        <v>2.2999999999999998</v>
      </c>
      <c r="W244" s="35">
        <v>3.6</v>
      </c>
      <c r="X244" s="4">
        <f t="shared" si="64"/>
        <v>1.2365217391304348</v>
      </c>
      <c r="Y244" s="11">
        <v>10</v>
      </c>
      <c r="Z244" s="11" t="s">
        <v>385</v>
      </c>
      <c r="AA244" s="11" t="s">
        <v>385</v>
      </c>
      <c r="AB244" s="11" t="s">
        <v>385</v>
      </c>
      <c r="AC244" s="11" t="s">
        <v>385</v>
      </c>
      <c r="AD244" s="11">
        <v>216</v>
      </c>
      <c r="AE244" s="11">
        <v>206</v>
      </c>
      <c r="AF244" s="4">
        <f t="shared" si="65"/>
        <v>0.95370370370370372</v>
      </c>
      <c r="AG244" s="11">
        <v>20</v>
      </c>
      <c r="AH244" s="5" t="s">
        <v>362</v>
      </c>
      <c r="AI244" s="5" t="s">
        <v>362</v>
      </c>
      <c r="AJ244" s="5" t="s">
        <v>362</v>
      </c>
      <c r="AK244" s="5" t="s">
        <v>362</v>
      </c>
      <c r="AL244" s="5" t="s">
        <v>362</v>
      </c>
      <c r="AM244" s="5" t="s">
        <v>362</v>
      </c>
      <c r="AN244" s="5" t="s">
        <v>362</v>
      </c>
      <c r="AO244" s="5" t="s">
        <v>362</v>
      </c>
      <c r="AP244" s="44">
        <f t="shared" si="73"/>
        <v>1.0063088906533497</v>
      </c>
      <c r="AQ244" s="45">
        <v>1098</v>
      </c>
      <c r="AR244" s="35">
        <f t="shared" si="66"/>
        <v>299.45454545454544</v>
      </c>
      <c r="AS244" s="35">
        <f t="shared" si="67"/>
        <v>301.3</v>
      </c>
      <c r="AT244" s="35">
        <f t="shared" si="68"/>
        <v>1.8454545454545723</v>
      </c>
      <c r="AU244" s="35">
        <v>109.6</v>
      </c>
      <c r="AV244" s="35">
        <v>112</v>
      </c>
      <c r="AW244" s="35">
        <f t="shared" si="69"/>
        <v>79.7</v>
      </c>
      <c r="AX244" s="35"/>
      <c r="AY244" s="35">
        <f t="shared" si="70"/>
        <v>79.7</v>
      </c>
      <c r="AZ244" s="35">
        <v>0</v>
      </c>
      <c r="BA244" s="35">
        <f t="shared" si="71"/>
        <v>79.7</v>
      </c>
      <c r="BB244" s="35">
        <f>MIN(BA244,49.9)</f>
        <v>49.9</v>
      </c>
      <c r="BC244" s="35">
        <f t="shared" si="72"/>
        <v>29.8</v>
      </c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10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10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10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10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10"/>
      <c r="GZ244" s="9"/>
      <c r="HA244" s="9"/>
    </row>
    <row r="245" spans="1:209" s="2" customFormat="1" ht="17" customHeight="1">
      <c r="A245" s="14" t="s">
        <v>241</v>
      </c>
      <c r="B245" s="35">
        <v>0</v>
      </c>
      <c r="C245" s="35">
        <v>0</v>
      </c>
      <c r="D245" s="4">
        <f t="shared" si="61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186.9</v>
      </c>
      <c r="O245" s="35">
        <v>257.60000000000002</v>
      </c>
      <c r="P245" s="4">
        <f t="shared" si="62"/>
        <v>1.2178277153558053</v>
      </c>
      <c r="Q245" s="11">
        <v>20</v>
      </c>
      <c r="R245" s="35">
        <v>60.9</v>
      </c>
      <c r="S245" s="35">
        <v>67.7</v>
      </c>
      <c r="T245" s="4">
        <f t="shared" si="63"/>
        <v>1.1116584564860428</v>
      </c>
      <c r="U245" s="11">
        <v>25</v>
      </c>
      <c r="V245" s="35">
        <v>3</v>
      </c>
      <c r="W245" s="35">
        <v>13.1</v>
      </c>
      <c r="X245" s="4">
        <f t="shared" si="64"/>
        <v>1.3</v>
      </c>
      <c r="Y245" s="11">
        <v>25</v>
      </c>
      <c r="Z245" s="11" t="s">
        <v>385</v>
      </c>
      <c r="AA245" s="11" t="s">
        <v>385</v>
      </c>
      <c r="AB245" s="11" t="s">
        <v>385</v>
      </c>
      <c r="AC245" s="11" t="s">
        <v>385</v>
      </c>
      <c r="AD245" s="11">
        <v>191</v>
      </c>
      <c r="AE245" s="11">
        <v>209</v>
      </c>
      <c r="AF245" s="4">
        <f t="shared" si="65"/>
        <v>1.0942408376963351</v>
      </c>
      <c r="AG245" s="11">
        <v>20</v>
      </c>
      <c r="AH245" s="5" t="s">
        <v>362</v>
      </c>
      <c r="AI245" s="5" t="s">
        <v>362</v>
      </c>
      <c r="AJ245" s="5" t="s">
        <v>362</v>
      </c>
      <c r="AK245" s="5" t="s">
        <v>362</v>
      </c>
      <c r="AL245" s="5" t="s">
        <v>362</v>
      </c>
      <c r="AM245" s="5" t="s">
        <v>362</v>
      </c>
      <c r="AN245" s="5" t="s">
        <v>362</v>
      </c>
      <c r="AO245" s="5" t="s">
        <v>362</v>
      </c>
      <c r="AP245" s="44">
        <f t="shared" si="73"/>
        <v>1.183698138591043</v>
      </c>
      <c r="AQ245" s="45">
        <v>1336</v>
      </c>
      <c r="AR245" s="35">
        <f t="shared" si="66"/>
        <v>364.36363636363637</v>
      </c>
      <c r="AS245" s="35">
        <f t="shared" si="67"/>
        <v>431.3</v>
      </c>
      <c r="AT245" s="35">
        <f t="shared" si="68"/>
        <v>66.936363636363637</v>
      </c>
      <c r="AU245" s="35">
        <v>141.19999999999999</v>
      </c>
      <c r="AV245" s="35">
        <v>147.9</v>
      </c>
      <c r="AW245" s="35">
        <f t="shared" si="69"/>
        <v>142.19999999999999</v>
      </c>
      <c r="AX245" s="35"/>
      <c r="AY245" s="35">
        <f t="shared" si="70"/>
        <v>142.19999999999999</v>
      </c>
      <c r="AZ245" s="35">
        <v>0</v>
      </c>
      <c r="BA245" s="35">
        <f t="shared" si="71"/>
        <v>142.19999999999999</v>
      </c>
      <c r="BB245" s="35">
        <f>MIN(BA245,60.7)</f>
        <v>60.7</v>
      </c>
      <c r="BC245" s="35">
        <f t="shared" si="72"/>
        <v>81.5</v>
      </c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10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10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10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10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10"/>
      <c r="GZ245" s="9"/>
      <c r="HA245" s="9"/>
    </row>
    <row r="246" spans="1:209" s="2" customFormat="1" ht="17" customHeight="1">
      <c r="A246" s="14" t="s">
        <v>242</v>
      </c>
      <c r="B246" s="35">
        <v>0</v>
      </c>
      <c r="C246" s="35">
        <v>0</v>
      </c>
      <c r="D246" s="4">
        <f t="shared" si="61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470.1</v>
      </c>
      <c r="O246" s="35">
        <v>391.5</v>
      </c>
      <c r="P246" s="4">
        <f t="shared" si="62"/>
        <v>0.83280153158902359</v>
      </c>
      <c r="Q246" s="11">
        <v>20</v>
      </c>
      <c r="R246" s="35">
        <v>447</v>
      </c>
      <c r="S246" s="35">
        <v>510.5</v>
      </c>
      <c r="T246" s="4">
        <f t="shared" si="63"/>
        <v>1.1420581655480984</v>
      </c>
      <c r="U246" s="11">
        <v>20</v>
      </c>
      <c r="V246" s="35">
        <v>4.5</v>
      </c>
      <c r="W246" s="35">
        <v>14.1</v>
      </c>
      <c r="X246" s="4">
        <f t="shared" si="64"/>
        <v>1.3</v>
      </c>
      <c r="Y246" s="11">
        <v>30</v>
      </c>
      <c r="Z246" s="11" t="s">
        <v>385</v>
      </c>
      <c r="AA246" s="11" t="s">
        <v>385</v>
      </c>
      <c r="AB246" s="11" t="s">
        <v>385</v>
      </c>
      <c r="AC246" s="11" t="s">
        <v>385</v>
      </c>
      <c r="AD246" s="11">
        <v>577</v>
      </c>
      <c r="AE246" s="11">
        <v>654</v>
      </c>
      <c r="AF246" s="4">
        <f t="shared" si="65"/>
        <v>1.1334488734835355</v>
      </c>
      <c r="AG246" s="11">
        <v>20</v>
      </c>
      <c r="AH246" s="5" t="s">
        <v>362</v>
      </c>
      <c r="AI246" s="5" t="s">
        <v>362</v>
      </c>
      <c r="AJ246" s="5" t="s">
        <v>362</v>
      </c>
      <c r="AK246" s="5" t="s">
        <v>362</v>
      </c>
      <c r="AL246" s="5" t="s">
        <v>362</v>
      </c>
      <c r="AM246" s="5" t="s">
        <v>362</v>
      </c>
      <c r="AN246" s="5" t="s">
        <v>362</v>
      </c>
      <c r="AO246" s="5" t="s">
        <v>362</v>
      </c>
      <c r="AP246" s="44">
        <f t="shared" si="73"/>
        <v>1.124068571249035</v>
      </c>
      <c r="AQ246" s="45">
        <v>1194</v>
      </c>
      <c r="AR246" s="35">
        <f t="shared" si="66"/>
        <v>325.63636363636363</v>
      </c>
      <c r="AS246" s="35">
        <f t="shared" si="67"/>
        <v>366</v>
      </c>
      <c r="AT246" s="35">
        <f t="shared" si="68"/>
        <v>40.363636363636374</v>
      </c>
      <c r="AU246" s="35">
        <v>112.1</v>
      </c>
      <c r="AV246" s="35">
        <v>136.30000000000001</v>
      </c>
      <c r="AW246" s="35">
        <f t="shared" si="69"/>
        <v>117.6</v>
      </c>
      <c r="AX246" s="35"/>
      <c r="AY246" s="35">
        <f t="shared" si="70"/>
        <v>117.6</v>
      </c>
      <c r="AZ246" s="35">
        <v>0</v>
      </c>
      <c r="BA246" s="35">
        <f t="shared" si="71"/>
        <v>117.6</v>
      </c>
      <c r="BB246" s="35"/>
      <c r="BC246" s="35">
        <f t="shared" si="72"/>
        <v>117.6</v>
      </c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10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10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10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10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10"/>
      <c r="GZ246" s="9"/>
      <c r="HA246" s="9"/>
    </row>
    <row r="247" spans="1:209" s="2" customFormat="1" ht="17" customHeight="1">
      <c r="A247" s="14" t="s">
        <v>243</v>
      </c>
      <c r="B247" s="35">
        <v>27936</v>
      </c>
      <c r="C247" s="35">
        <v>30313</v>
      </c>
      <c r="D247" s="4">
        <f t="shared" si="61"/>
        <v>1.0850873424971363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602</v>
      </c>
      <c r="O247" s="35">
        <v>711.8</v>
      </c>
      <c r="P247" s="4">
        <f t="shared" si="62"/>
        <v>1.182392026578073</v>
      </c>
      <c r="Q247" s="11">
        <v>20</v>
      </c>
      <c r="R247" s="35">
        <v>41.6</v>
      </c>
      <c r="S247" s="35">
        <v>41.4</v>
      </c>
      <c r="T247" s="4">
        <f t="shared" si="63"/>
        <v>0.9951923076923076</v>
      </c>
      <c r="U247" s="11">
        <v>25</v>
      </c>
      <c r="V247" s="35">
        <v>1.3</v>
      </c>
      <c r="W247" s="35">
        <v>1.4</v>
      </c>
      <c r="X247" s="4">
        <f t="shared" si="64"/>
        <v>1.0769230769230769</v>
      </c>
      <c r="Y247" s="11">
        <v>25</v>
      </c>
      <c r="Z247" s="11" t="s">
        <v>385</v>
      </c>
      <c r="AA247" s="11" t="s">
        <v>385</v>
      </c>
      <c r="AB247" s="11" t="s">
        <v>385</v>
      </c>
      <c r="AC247" s="11" t="s">
        <v>385</v>
      </c>
      <c r="AD247" s="11">
        <v>135</v>
      </c>
      <c r="AE247" s="11">
        <v>143</v>
      </c>
      <c r="AF247" s="4">
        <f t="shared" si="65"/>
        <v>1.0592592592592593</v>
      </c>
      <c r="AG247" s="11">
        <v>20</v>
      </c>
      <c r="AH247" s="5" t="s">
        <v>362</v>
      </c>
      <c r="AI247" s="5" t="s">
        <v>362</v>
      </c>
      <c r="AJ247" s="5" t="s">
        <v>362</v>
      </c>
      <c r="AK247" s="5" t="s">
        <v>362</v>
      </c>
      <c r="AL247" s="5" t="s">
        <v>362</v>
      </c>
      <c r="AM247" s="5" t="s">
        <v>362</v>
      </c>
      <c r="AN247" s="5" t="s">
        <v>362</v>
      </c>
      <c r="AO247" s="5" t="s">
        <v>362</v>
      </c>
      <c r="AP247" s="44">
        <f t="shared" si="73"/>
        <v>1.0748678375710263</v>
      </c>
      <c r="AQ247" s="45">
        <v>1325</v>
      </c>
      <c r="AR247" s="35">
        <f t="shared" si="66"/>
        <v>361.36363636363637</v>
      </c>
      <c r="AS247" s="35">
        <f t="shared" si="67"/>
        <v>388.4</v>
      </c>
      <c r="AT247" s="35">
        <f t="shared" si="68"/>
        <v>27.036363636363603</v>
      </c>
      <c r="AU247" s="35">
        <v>136.19999999999999</v>
      </c>
      <c r="AV247" s="35">
        <v>112.8</v>
      </c>
      <c r="AW247" s="35">
        <f t="shared" si="69"/>
        <v>139.4</v>
      </c>
      <c r="AX247" s="35"/>
      <c r="AY247" s="35">
        <f t="shared" si="70"/>
        <v>139.4</v>
      </c>
      <c r="AZ247" s="35">
        <v>0</v>
      </c>
      <c r="BA247" s="35">
        <f t="shared" si="71"/>
        <v>139.4</v>
      </c>
      <c r="BB247" s="35"/>
      <c r="BC247" s="35">
        <f t="shared" si="72"/>
        <v>139.4</v>
      </c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10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10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10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10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10"/>
      <c r="GZ247" s="9"/>
      <c r="HA247" s="9"/>
    </row>
    <row r="248" spans="1:209" s="2" customFormat="1" ht="17" customHeight="1">
      <c r="A248" s="14" t="s">
        <v>244</v>
      </c>
      <c r="B248" s="35">
        <v>0</v>
      </c>
      <c r="C248" s="35">
        <v>0</v>
      </c>
      <c r="D248" s="4">
        <f t="shared" si="61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282.7</v>
      </c>
      <c r="O248" s="35">
        <v>140.5</v>
      </c>
      <c r="P248" s="4">
        <f t="shared" si="62"/>
        <v>0.49699327909444641</v>
      </c>
      <c r="Q248" s="11">
        <v>20</v>
      </c>
      <c r="R248" s="35">
        <v>30.9</v>
      </c>
      <c r="S248" s="35">
        <v>31.9</v>
      </c>
      <c r="T248" s="4">
        <f t="shared" si="63"/>
        <v>1.0323624595469256</v>
      </c>
      <c r="U248" s="11">
        <v>20</v>
      </c>
      <c r="V248" s="35">
        <v>3.5</v>
      </c>
      <c r="W248" s="35">
        <v>4</v>
      </c>
      <c r="X248" s="4">
        <f t="shared" si="64"/>
        <v>1.1428571428571428</v>
      </c>
      <c r="Y248" s="11">
        <v>30</v>
      </c>
      <c r="Z248" s="11" t="s">
        <v>385</v>
      </c>
      <c r="AA248" s="11" t="s">
        <v>385</v>
      </c>
      <c r="AB248" s="11" t="s">
        <v>385</v>
      </c>
      <c r="AC248" s="11" t="s">
        <v>385</v>
      </c>
      <c r="AD248" s="11">
        <v>133</v>
      </c>
      <c r="AE248" s="11">
        <v>133</v>
      </c>
      <c r="AF248" s="4">
        <f t="shared" si="65"/>
        <v>1</v>
      </c>
      <c r="AG248" s="11">
        <v>20</v>
      </c>
      <c r="AH248" s="5" t="s">
        <v>362</v>
      </c>
      <c r="AI248" s="5" t="s">
        <v>362</v>
      </c>
      <c r="AJ248" s="5" t="s">
        <v>362</v>
      </c>
      <c r="AK248" s="5" t="s">
        <v>362</v>
      </c>
      <c r="AL248" s="5" t="s">
        <v>362</v>
      </c>
      <c r="AM248" s="5" t="s">
        <v>362</v>
      </c>
      <c r="AN248" s="5" t="s">
        <v>362</v>
      </c>
      <c r="AO248" s="5" t="s">
        <v>362</v>
      </c>
      <c r="AP248" s="44">
        <f t="shared" si="73"/>
        <v>0.94303143398379696</v>
      </c>
      <c r="AQ248" s="45">
        <v>966</v>
      </c>
      <c r="AR248" s="35">
        <f t="shared" si="66"/>
        <v>263.45454545454544</v>
      </c>
      <c r="AS248" s="35">
        <f t="shared" si="67"/>
        <v>248.4</v>
      </c>
      <c r="AT248" s="35">
        <f t="shared" si="68"/>
        <v>-15.054545454545433</v>
      </c>
      <c r="AU248" s="35">
        <v>80.8</v>
      </c>
      <c r="AV248" s="35">
        <v>87.6</v>
      </c>
      <c r="AW248" s="35">
        <f t="shared" si="69"/>
        <v>80</v>
      </c>
      <c r="AX248" s="35"/>
      <c r="AY248" s="35">
        <f t="shared" si="70"/>
        <v>80</v>
      </c>
      <c r="AZ248" s="35">
        <v>0</v>
      </c>
      <c r="BA248" s="35">
        <f t="shared" si="71"/>
        <v>80</v>
      </c>
      <c r="BB248" s="35">
        <f>MIN(BA248,43.9)</f>
        <v>43.9</v>
      </c>
      <c r="BC248" s="35">
        <f t="shared" si="72"/>
        <v>36.1</v>
      </c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10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10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10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10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10"/>
      <c r="GZ248" s="9"/>
      <c r="HA248" s="9"/>
    </row>
    <row r="249" spans="1:209" s="2" customFormat="1" ht="17" customHeight="1">
      <c r="A249" s="14" t="s">
        <v>245</v>
      </c>
      <c r="B249" s="35">
        <v>4481</v>
      </c>
      <c r="C249" s="35">
        <v>4392</v>
      </c>
      <c r="D249" s="4">
        <f t="shared" si="61"/>
        <v>0.98013836197277393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1408.5</v>
      </c>
      <c r="O249" s="35">
        <v>1762.7</v>
      </c>
      <c r="P249" s="4">
        <f t="shared" si="62"/>
        <v>1.2051473198438054</v>
      </c>
      <c r="Q249" s="11">
        <v>20</v>
      </c>
      <c r="R249" s="35">
        <v>1399.7</v>
      </c>
      <c r="S249" s="35">
        <v>1298.9000000000001</v>
      </c>
      <c r="T249" s="4">
        <f t="shared" si="63"/>
        <v>0.92798456812174046</v>
      </c>
      <c r="U249" s="11">
        <v>10</v>
      </c>
      <c r="V249" s="35">
        <v>928.6</v>
      </c>
      <c r="W249" s="35">
        <v>1014.3</v>
      </c>
      <c r="X249" s="4">
        <f t="shared" si="64"/>
        <v>1.0922894680163686</v>
      </c>
      <c r="Y249" s="11">
        <v>40</v>
      </c>
      <c r="Z249" s="11" t="s">
        <v>385</v>
      </c>
      <c r="AA249" s="11" t="s">
        <v>385</v>
      </c>
      <c r="AB249" s="11" t="s">
        <v>385</v>
      </c>
      <c r="AC249" s="11" t="s">
        <v>385</v>
      </c>
      <c r="AD249" s="11">
        <v>1054</v>
      </c>
      <c r="AE249" s="11">
        <v>1054</v>
      </c>
      <c r="AF249" s="4">
        <f t="shared" si="65"/>
        <v>1</v>
      </c>
      <c r="AG249" s="11">
        <v>20</v>
      </c>
      <c r="AH249" s="5" t="s">
        <v>362</v>
      </c>
      <c r="AI249" s="5" t="s">
        <v>362</v>
      </c>
      <c r="AJ249" s="5" t="s">
        <v>362</v>
      </c>
      <c r="AK249" s="5" t="s">
        <v>362</v>
      </c>
      <c r="AL249" s="5" t="s">
        <v>362</v>
      </c>
      <c r="AM249" s="5" t="s">
        <v>362</v>
      </c>
      <c r="AN249" s="5" t="s">
        <v>362</v>
      </c>
      <c r="AO249" s="5" t="s">
        <v>362</v>
      </c>
      <c r="AP249" s="44">
        <f t="shared" si="73"/>
        <v>1.0687575441847599</v>
      </c>
      <c r="AQ249" s="45">
        <v>1522</v>
      </c>
      <c r="AR249" s="35">
        <f t="shared" si="66"/>
        <v>415.09090909090912</v>
      </c>
      <c r="AS249" s="35">
        <f t="shared" si="67"/>
        <v>443.6</v>
      </c>
      <c r="AT249" s="35">
        <f t="shared" si="68"/>
        <v>28.509090909090901</v>
      </c>
      <c r="AU249" s="35">
        <v>138.80000000000001</v>
      </c>
      <c r="AV249" s="35">
        <v>140.5</v>
      </c>
      <c r="AW249" s="35">
        <f t="shared" si="69"/>
        <v>164.3</v>
      </c>
      <c r="AX249" s="35"/>
      <c r="AY249" s="35">
        <f t="shared" si="70"/>
        <v>164.3</v>
      </c>
      <c r="AZ249" s="35">
        <v>0</v>
      </c>
      <c r="BA249" s="35">
        <f t="shared" si="71"/>
        <v>164.3</v>
      </c>
      <c r="BB249" s="35">
        <f>MIN(BA249,30.6)</f>
        <v>30.6</v>
      </c>
      <c r="BC249" s="35">
        <f t="shared" si="72"/>
        <v>133.69999999999999</v>
      </c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10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10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10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10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10"/>
      <c r="GZ249" s="9"/>
      <c r="HA249" s="9"/>
    </row>
    <row r="250" spans="1:209" s="2" customFormat="1" ht="17" customHeight="1">
      <c r="A250" s="14" t="s">
        <v>246</v>
      </c>
      <c r="B250" s="35">
        <v>0</v>
      </c>
      <c r="C250" s="35">
        <v>0</v>
      </c>
      <c r="D250" s="4">
        <f t="shared" si="61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395.7</v>
      </c>
      <c r="O250" s="35">
        <v>596.1</v>
      </c>
      <c r="P250" s="4">
        <f t="shared" si="62"/>
        <v>1.2306444275966641</v>
      </c>
      <c r="Q250" s="11">
        <v>20</v>
      </c>
      <c r="R250" s="35">
        <v>264.60000000000002</v>
      </c>
      <c r="S250" s="35">
        <v>276.7</v>
      </c>
      <c r="T250" s="4">
        <f t="shared" si="63"/>
        <v>1.0457294028722599</v>
      </c>
      <c r="U250" s="11">
        <v>30</v>
      </c>
      <c r="V250" s="35">
        <v>14.6</v>
      </c>
      <c r="W250" s="35">
        <v>14.9</v>
      </c>
      <c r="X250" s="4">
        <f t="shared" si="64"/>
        <v>1.0205479452054795</v>
      </c>
      <c r="Y250" s="11">
        <v>20</v>
      </c>
      <c r="Z250" s="11" t="s">
        <v>385</v>
      </c>
      <c r="AA250" s="11" t="s">
        <v>385</v>
      </c>
      <c r="AB250" s="11" t="s">
        <v>385</v>
      </c>
      <c r="AC250" s="11" t="s">
        <v>385</v>
      </c>
      <c r="AD250" s="11">
        <v>554</v>
      </c>
      <c r="AE250" s="11">
        <v>555</v>
      </c>
      <c r="AF250" s="4">
        <f t="shared" si="65"/>
        <v>1.0018050541516246</v>
      </c>
      <c r="AG250" s="11">
        <v>20</v>
      </c>
      <c r="AH250" s="5" t="s">
        <v>362</v>
      </c>
      <c r="AI250" s="5" t="s">
        <v>362</v>
      </c>
      <c r="AJ250" s="5" t="s">
        <v>362</v>
      </c>
      <c r="AK250" s="5" t="s">
        <v>362</v>
      </c>
      <c r="AL250" s="5" t="s">
        <v>362</v>
      </c>
      <c r="AM250" s="5" t="s">
        <v>362</v>
      </c>
      <c r="AN250" s="5" t="s">
        <v>362</v>
      </c>
      <c r="AO250" s="5" t="s">
        <v>362</v>
      </c>
      <c r="AP250" s="44">
        <f t="shared" si="73"/>
        <v>1.0714647847249241</v>
      </c>
      <c r="AQ250" s="45">
        <v>1776</v>
      </c>
      <c r="AR250" s="35">
        <f t="shared" si="66"/>
        <v>484.36363636363637</v>
      </c>
      <c r="AS250" s="35">
        <f t="shared" si="67"/>
        <v>519</v>
      </c>
      <c r="AT250" s="35">
        <f t="shared" si="68"/>
        <v>34.636363636363626</v>
      </c>
      <c r="AU250" s="35">
        <v>177.2</v>
      </c>
      <c r="AV250" s="35">
        <v>165</v>
      </c>
      <c r="AW250" s="35">
        <f t="shared" si="69"/>
        <v>176.8</v>
      </c>
      <c r="AX250" s="35"/>
      <c r="AY250" s="35">
        <f t="shared" si="70"/>
        <v>176.8</v>
      </c>
      <c r="AZ250" s="35">
        <v>0</v>
      </c>
      <c r="BA250" s="35">
        <f t="shared" si="71"/>
        <v>176.8</v>
      </c>
      <c r="BB250" s="35">
        <f>MIN(BA250,51.3)</f>
        <v>51.3</v>
      </c>
      <c r="BC250" s="35">
        <f t="shared" si="72"/>
        <v>125.5</v>
      </c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10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10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10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10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10"/>
      <c r="GZ250" s="9"/>
      <c r="HA250" s="9"/>
    </row>
    <row r="251" spans="1:209" s="2" customFormat="1" ht="17" customHeight="1">
      <c r="A251" s="14" t="s">
        <v>247</v>
      </c>
      <c r="B251" s="35">
        <v>0</v>
      </c>
      <c r="C251" s="35">
        <v>0</v>
      </c>
      <c r="D251" s="4">
        <f t="shared" si="61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298.89999999999998</v>
      </c>
      <c r="O251" s="35">
        <v>473</v>
      </c>
      <c r="P251" s="4">
        <f t="shared" si="62"/>
        <v>1.2382469053195049</v>
      </c>
      <c r="Q251" s="11">
        <v>20</v>
      </c>
      <c r="R251" s="35">
        <v>40.200000000000003</v>
      </c>
      <c r="S251" s="35">
        <v>52.1</v>
      </c>
      <c r="T251" s="4">
        <f t="shared" si="63"/>
        <v>1.2096019900497512</v>
      </c>
      <c r="U251" s="11">
        <v>20</v>
      </c>
      <c r="V251" s="35">
        <v>1.5</v>
      </c>
      <c r="W251" s="35">
        <v>2.4</v>
      </c>
      <c r="X251" s="4">
        <f t="shared" si="64"/>
        <v>1.24</v>
      </c>
      <c r="Y251" s="11">
        <v>30</v>
      </c>
      <c r="Z251" s="11" t="s">
        <v>385</v>
      </c>
      <c r="AA251" s="11" t="s">
        <v>385</v>
      </c>
      <c r="AB251" s="11" t="s">
        <v>385</v>
      </c>
      <c r="AC251" s="11" t="s">
        <v>385</v>
      </c>
      <c r="AD251" s="11">
        <v>138</v>
      </c>
      <c r="AE251" s="11">
        <v>150</v>
      </c>
      <c r="AF251" s="4">
        <f t="shared" si="65"/>
        <v>1.0869565217391304</v>
      </c>
      <c r="AG251" s="11">
        <v>20</v>
      </c>
      <c r="AH251" s="5" t="s">
        <v>362</v>
      </c>
      <c r="AI251" s="5" t="s">
        <v>362</v>
      </c>
      <c r="AJ251" s="5" t="s">
        <v>362</v>
      </c>
      <c r="AK251" s="5" t="s">
        <v>362</v>
      </c>
      <c r="AL251" s="5" t="s">
        <v>362</v>
      </c>
      <c r="AM251" s="5" t="s">
        <v>362</v>
      </c>
      <c r="AN251" s="5" t="s">
        <v>362</v>
      </c>
      <c r="AO251" s="5" t="s">
        <v>362</v>
      </c>
      <c r="AP251" s="44">
        <f t="shared" si="73"/>
        <v>1.1988456482463081</v>
      </c>
      <c r="AQ251" s="45">
        <v>869</v>
      </c>
      <c r="AR251" s="35">
        <f t="shared" si="66"/>
        <v>237</v>
      </c>
      <c r="AS251" s="35">
        <f t="shared" si="67"/>
        <v>284.10000000000002</v>
      </c>
      <c r="AT251" s="35">
        <f t="shared" si="68"/>
        <v>47.100000000000023</v>
      </c>
      <c r="AU251" s="35">
        <v>73.7</v>
      </c>
      <c r="AV251" s="35">
        <v>76.099999999999994</v>
      </c>
      <c r="AW251" s="35">
        <f t="shared" si="69"/>
        <v>134.30000000000001</v>
      </c>
      <c r="AX251" s="35"/>
      <c r="AY251" s="35">
        <f t="shared" si="70"/>
        <v>134.30000000000001</v>
      </c>
      <c r="AZ251" s="35">
        <v>0</v>
      </c>
      <c r="BA251" s="35">
        <f t="shared" si="71"/>
        <v>134.30000000000001</v>
      </c>
      <c r="BB251" s="35">
        <f>MIN(BA251,39.5)</f>
        <v>39.5</v>
      </c>
      <c r="BC251" s="35">
        <f t="shared" si="72"/>
        <v>94.8</v>
      </c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10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10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10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10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10"/>
      <c r="GZ251" s="9"/>
      <c r="HA251" s="9"/>
    </row>
    <row r="252" spans="1:209" s="2" customFormat="1" ht="17" customHeight="1">
      <c r="A252" s="14" t="s">
        <v>248</v>
      </c>
      <c r="B252" s="35">
        <v>0</v>
      </c>
      <c r="C252" s="35">
        <v>0</v>
      </c>
      <c r="D252" s="4">
        <f t="shared" si="61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298.7</v>
      </c>
      <c r="O252" s="35">
        <v>398.7</v>
      </c>
      <c r="P252" s="4">
        <f t="shared" si="62"/>
        <v>1.2134784064278541</v>
      </c>
      <c r="Q252" s="11">
        <v>20</v>
      </c>
      <c r="R252" s="35">
        <v>10.3</v>
      </c>
      <c r="S252" s="35">
        <v>10.9</v>
      </c>
      <c r="T252" s="4">
        <f t="shared" si="63"/>
        <v>1.058252427184466</v>
      </c>
      <c r="U252" s="11">
        <v>25</v>
      </c>
      <c r="V252" s="35">
        <v>0.9</v>
      </c>
      <c r="W252" s="35">
        <v>4.5</v>
      </c>
      <c r="X252" s="4">
        <f t="shared" si="64"/>
        <v>1.3</v>
      </c>
      <c r="Y252" s="11">
        <v>25</v>
      </c>
      <c r="Z252" s="11" t="s">
        <v>385</v>
      </c>
      <c r="AA252" s="11" t="s">
        <v>385</v>
      </c>
      <c r="AB252" s="11" t="s">
        <v>385</v>
      </c>
      <c r="AC252" s="11" t="s">
        <v>385</v>
      </c>
      <c r="AD252" s="11">
        <v>35</v>
      </c>
      <c r="AE252" s="11">
        <v>35</v>
      </c>
      <c r="AF252" s="4">
        <f t="shared" si="65"/>
        <v>1</v>
      </c>
      <c r="AG252" s="11">
        <v>20</v>
      </c>
      <c r="AH252" s="5" t="s">
        <v>362</v>
      </c>
      <c r="AI252" s="5" t="s">
        <v>362</v>
      </c>
      <c r="AJ252" s="5" t="s">
        <v>362</v>
      </c>
      <c r="AK252" s="5" t="s">
        <v>362</v>
      </c>
      <c r="AL252" s="5" t="s">
        <v>362</v>
      </c>
      <c r="AM252" s="5" t="s">
        <v>362</v>
      </c>
      <c r="AN252" s="5" t="s">
        <v>362</v>
      </c>
      <c r="AO252" s="5" t="s">
        <v>362</v>
      </c>
      <c r="AP252" s="44">
        <f t="shared" si="73"/>
        <v>1.1469542089796525</v>
      </c>
      <c r="AQ252" s="45">
        <v>863</v>
      </c>
      <c r="AR252" s="35">
        <f t="shared" si="66"/>
        <v>235.36363636363637</v>
      </c>
      <c r="AS252" s="35">
        <f t="shared" si="67"/>
        <v>270</v>
      </c>
      <c r="AT252" s="35">
        <f t="shared" si="68"/>
        <v>34.636363636363626</v>
      </c>
      <c r="AU252" s="35">
        <v>93.4</v>
      </c>
      <c r="AV252" s="35">
        <v>94.9</v>
      </c>
      <c r="AW252" s="35">
        <f t="shared" si="69"/>
        <v>81.7</v>
      </c>
      <c r="AX252" s="35"/>
      <c r="AY252" s="35">
        <f t="shared" si="70"/>
        <v>81.7</v>
      </c>
      <c r="AZ252" s="35">
        <v>0</v>
      </c>
      <c r="BA252" s="35">
        <f t="shared" si="71"/>
        <v>81.7</v>
      </c>
      <c r="BB252" s="35">
        <f>MIN(BA252,31.1)</f>
        <v>31.1</v>
      </c>
      <c r="BC252" s="35">
        <f t="shared" si="72"/>
        <v>50.6</v>
      </c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10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10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10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10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10"/>
      <c r="GZ252" s="9"/>
      <c r="HA252" s="9"/>
    </row>
    <row r="253" spans="1:209" s="2" customFormat="1" ht="17" customHeight="1">
      <c r="A253" s="14" t="s">
        <v>249</v>
      </c>
      <c r="B253" s="35">
        <v>4115</v>
      </c>
      <c r="C253" s="35">
        <v>3719.7</v>
      </c>
      <c r="D253" s="4">
        <f t="shared" si="61"/>
        <v>0.90393681652490887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527.20000000000005</v>
      </c>
      <c r="O253" s="35">
        <v>500.3</v>
      </c>
      <c r="P253" s="4">
        <f t="shared" si="62"/>
        <v>0.94897572078907433</v>
      </c>
      <c r="Q253" s="11">
        <v>20</v>
      </c>
      <c r="R253" s="35">
        <v>203.5</v>
      </c>
      <c r="S253" s="35">
        <v>279.8</v>
      </c>
      <c r="T253" s="4">
        <f t="shared" si="63"/>
        <v>1.2174938574938574</v>
      </c>
      <c r="U253" s="11">
        <v>30</v>
      </c>
      <c r="V253" s="35">
        <v>3.6</v>
      </c>
      <c r="W253" s="35">
        <v>8.4</v>
      </c>
      <c r="X253" s="4">
        <f t="shared" si="64"/>
        <v>1.3</v>
      </c>
      <c r="Y253" s="11">
        <v>20</v>
      </c>
      <c r="Z253" s="11" t="s">
        <v>385</v>
      </c>
      <c r="AA253" s="11" t="s">
        <v>385</v>
      </c>
      <c r="AB253" s="11" t="s">
        <v>385</v>
      </c>
      <c r="AC253" s="11" t="s">
        <v>385</v>
      </c>
      <c r="AD253" s="11">
        <v>312</v>
      </c>
      <c r="AE253" s="11">
        <v>332</v>
      </c>
      <c r="AF253" s="4">
        <f t="shared" si="65"/>
        <v>1.0641025641025641</v>
      </c>
      <c r="AG253" s="11">
        <v>20</v>
      </c>
      <c r="AH253" s="5" t="s">
        <v>362</v>
      </c>
      <c r="AI253" s="5" t="s">
        <v>362</v>
      </c>
      <c r="AJ253" s="5" t="s">
        <v>362</v>
      </c>
      <c r="AK253" s="5" t="s">
        <v>362</v>
      </c>
      <c r="AL253" s="5" t="s">
        <v>362</v>
      </c>
      <c r="AM253" s="5" t="s">
        <v>362</v>
      </c>
      <c r="AN253" s="5" t="s">
        <v>362</v>
      </c>
      <c r="AO253" s="5" t="s">
        <v>362</v>
      </c>
      <c r="AP253" s="44">
        <f t="shared" si="73"/>
        <v>1.1182574958789759</v>
      </c>
      <c r="AQ253" s="45">
        <v>1147</v>
      </c>
      <c r="AR253" s="35">
        <f t="shared" si="66"/>
        <v>312.81818181818181</v>
      </c>
      <c r="AS253" s="35">
        <f t="shared" si="67"/>
        <v>349.8</v>
      </c>
      <c r="AT253" s="35">
        <f t="shared" si="68"/>
        <v>36.981818181818198</v>
      </c>
      <c r="AU253" s="35">
        <v>101</v>
      </c>
      <c r="AV253" s="35">
        <v>124.3</v>
      </c>
      <c r="AW253" s="35">
        <f t="shared" si="69"/>
        <v>124.5</v>
      </c>
      <c r="AX253" s="35"/>
      <c r="AY253" s="35">
        <f t="shared" si="70"/>
        <v>124.5</v>
      </c>
      <c r="AZ253" s="35">
        <v>0</v>
      </c>
      <c r="BA253" s="35">
        <f t="shared" si="71"/>
        <v>124.5</v>
      </c>
      <c r="BB253" s="35"/>
      <c r="BC253" s="35">
        <f t="shared" si="72"/>
        <v>124.5</v>
      </c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10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10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10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10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10"/>
      <c r="GZ253" s="9"/>
      <c r="HA253" s="9"/>
    </row>
    <row r="254" spans="1:209" s="2" customFormat="1" ht="17" customHeight="1">
      <c r="A254" s="18" t="s">
        <v>250</v>
      </c>
      <c r="B254" s="6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35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10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10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10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10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10"/>
      <c r="GZ254" s="9"/>
      <c r="HA254" s="9"/>
    </row>
    <row r="255" spans="1:209" s="2" customFormat="1" ht="16.7" customHeight="1">
      <c r="A255" s="14" t="s">
        <v>251</v>
      </c>
      <c r="B255" s="35">
        <v>0</v>
      </c>
      <c r="C255" s="35">
        <v>0</v>
      </c>
      <c r="D255" s="4">
        <f t="shared" si="61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322.5</v>
      </c>
      <c r="O255" s="35">
        <v>203.6</v>
      </c>
      <c r="P255" s="4">
        <f t="shared" si="62"/>
        <v>0.63131782945736437</v>
      </c>
      <c r="Q255" s="11">
        <v>20</v>
      </c>
      <c r="R255" s="35">
        <v>37</v>
      </c>
      <c r="S255" s="35">
        <v>38.799999999999997</v>
      </c>
      <c r="T255" s="4">
        <f t="shared" si="63"/>
        <v>1.0486486486486486</v>
      </c>
      <c r="U255" s="11">
        <v>25</v>
      </c>
      <c r="V255" s="35">
        <v>6</v>
      </c>
      <c r="W255" s="35">
        <v>6.3</v>
      </c>
      <c r="X255" s="4">
        <f t="shared" si="64"/>
        <v>1.05</v>
      </c>
      <c r="Y255" s="11">
        <v>25</v>
      </c>
      <c r="Z255" s="11" t="s">
        <v>385</v>
      </c>
      <c r="AA255" s="11" t="s">
        <v>385</v>
      </c>
      <c r="AB255" s="11" t="s">
        <v>385</v>
      </c>
      <c r="AC255" s="11" t="s">
        <v>385</v>
      </c>
      <c r="AD255" s="11">
        <v>397</v>
      </c>
      <c r="AE255" s="11">
        <v>397</v>
      </c>
      <c r="AF255" s="4">
        <f t="shared" si="65"/>
        <v>1</v>
      </c>
      <c r="AG255" s="11">
        <v>20</v>
      </c>
      <c r="AH255" s="5" t="s">
        <v>362</v>
      </c>
      <c r="AI255" s="5" t="s">
        <v>362</v>
      </c>
      <c r="AJ255" s="5" t="s">
        <v>362</v>
      </c>
      <c r="AK255" s="5" t="s">
        <v>362</v>
      </c>
      <c r="AL255" s="5" t="s">
        <v>362</v>
      </c>
      <c r="AM255" s="5" t="s">
        <v>362</v>
      </c>
      <c r="AN255" s="5" t="s">
        <v>362</v>
      </c>
      <c r="AO255" s="5" t="s">
        <v>362</v>
      </c>
      <c r="AP255" s="44">
        <f t="shared" si="73"/>
        <v>0.94547303117070558</v>
      </c>
      <c r="AQ255" s="45">
        <v>1304</v>
      </c>
      <c r="AR255" s="35">
        <f t="shared" si="66"/>
        <v>355.63636363636363</v>
      </c>
      <c r="AS255" s="35">
        <f t="shared" si="67"/>
        <v>336.2</v>
      </c>
      <c r="AT255" s="35">
        <f t="shared" si="68"/>
        <v>-19.436363636363637</v>
      </c>
      <c r="AU255" s="35">
        <v>97.9</v>
      </c>
      <c r="AV255" s="35">
        <v>109.5</v>
      </c>
      <c r="AW255" s="35">
        <f t="shared" si="69"/>
        <v>128.80000000000001</v>
      </c>
      <c r="AX255" s="35"/>
      <c r="AY255" s="35">
        <f t="shared" si="70"/>
        <v>128.80000000000001</v>
      </c>
      <c r="AZ255" s="35">
        <v>0</v>
      </c>
      <c r="BA255" s="35">
        <f t="shared" si="71"/>
        <v>128.80000000000001</v>
      </c>
      <c r="BB255" s="35"/>
      <c r="BC255" s="35">
        <f t="shared" si="72"/>
        <v>128.80000000000001</v>
      </c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10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10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10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10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10"/>
      <c r="GZ255" s="9"/>
      <c r="HA255" s="9"/>
    </row>
    <row r="256" spans="1:209" s="2" customFormat="1" ht="17" customHeight="1">
      <c r="A256" s="14" t="s">
        <v>252</v>
      </c>
      <c r="B256" s="35">
        <v>0</v>
      </c>
      <c r="C256" s="35">
        <v>0</v>
      </c>
      <c r="D256" s="4">
        <f t="shared" si="61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210.5</v>
      </c>
      <c r="O256" s="35">
        <v>108.8</v>
      </c>
      <c r="P256" s="4">
        <f t="shared" si="62"/>
        <v>0.51686460807600954</v>
      </c>
      <c r="Q256" s="11">
        <v>20</v>
      </c>
      <c r="R256" s="35">
        <v>4.5</v>
      </c>
      <c r="S256" s="35">
        <v>4.5</v>
      </c>
      <c r="T256" s="4">
        <f t="shared" si="63"/>
        <v>1</v>
      </c>
      <c r="U256" s="11">
        <v>15</v>
      </c>
      <c r="V256" s="35">
        <v>3</v>
      </c>
      <c r="W256" s="35">
        <v>3</v>
      </c>
      <c r="X256" s="4">
        <f t="shared" si="64"/>
        <v>1</v>
      </c>
      <c r="Y256" s="11">
        <v>35</v>
      </c>
      <c r="Z256" s="11" t="s">
        <v>385</v>
      </c>
      <c r="AA256" s="11" t="s">
        <v>385</v>
      </c>
      <c r="AB256" s="11" t="s">
        <v>385</v>
      </c>
      <c r="AC256" s="11" t="s">
        <v>385</v>
      </c>
      <c r="AD256" s="11">
        <v>44</v>
      </c>
      <c r="AE256" s="11">
        <v>44</v>
      </c>
      <c r="AF256" s="4">
        <f t="shared" si="65"/>
        <v>1</v>
      </c>
      <c r="AG256" s="11">
        <v>20</v>
      </c>
      <c r="AH256" s="5" t="s">
        <v>362</v>
      </c>
      <c r="AI256" s="5" t="s">
        <v>362</v>
      </c>
      <c r="AJ256" s="5" t="s">
        <v>362</v>
      </c>
      <c r="AK256" s="5" t="s">
        <v>362</v>
      </c>
      <c r="AL256" s="5" t="s">
        <v>362</v>
      </c>
      <c r="AM256" s="5" t="s">
        <v>362</v>
      </c>
      <c r="AN256" s="5" t="s">
        <v>362</v>
      </c>
      <c r="AO256" s="5" t="s">
        <v>362</v>
      </c>
      <c r="AP256" s="44">
        <f t="shared" si="73"/>
        <v>0.89263657957244658</v>
      </c>
      <c r="AQ256" s="45">
        <v>645</v>
      </c>
      <c r="AR256" s="35">
        <f t="shared" si="66"/>
        <v>175.90909090909091</v>
      </c>
      <c r="AS256" s="35">
        <f t="shared" si="67"/>
        <v>157</v>
      </c>
      <c r="AT256" s="35">
        <f t="shared" si="68"/>
        <v>-18.909090909090907</v>
      </c>
      <c r="AU256" s="35">
        <v>44.2</v>
      </c>
      <c r="AV256" s="35">
        <v>57.8</v>
      </c>
      <c r="AW256" s="35">
        <f t="shared" si="69"/>
        <v>55</v>
      </c>
      <c r="AX256" s="35"/>
      <c r="AY256" s="35">
        <f t="shared" si="70"/>
        <v>55</v>
      </c>
      <c r="AZ256" s="35">
        <v>0</v>
      </c>
      <c r="BA256" s="35">
        <f t="shared" si="71"/>
        <v>55</v>
      </c>
      <c r="BB256" s="35"/>
      <c r="BC256" s="35">
        <f t="shared" si="72"/>
        <v>55</v>
      </c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10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10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10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10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10"/>
      <c r="GZ256" s="9"/>
      <c r="HA256" s="9"/>
    </row>
    <row r="257" spans="1:209" s="2" customFormat="1" ht="17" customHeight="1">
      <c r="A257" s="14" t="s">
        <v>253</v>
      </c>
      <c r="B257" s="35">
        <v>0</v>
      </c>
      <c r="C257" s="35">
        <v>0</v>
      </c>
      <c r="D257" s="4">
        <f t="shared" si="61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306.60000000000002</v>
      </c>
      <c r="O257" s="35">
        <v>463.1</v>
      </c>
      <c r="P257" s="4">
        <f t="shared" si="62"/>
        <v>1.2310437051532941</v>
      </c>
      <c r="Q257" s="11">
        <v>20</v>
      </c>
      <c r="R257" s="35">
        <v>23.5</v>
      </c>
      <c r="S257" s="35">
        <v>26.7</v>
      </c>
      <c r="T257" s="4">
        <f t="shared" si="63"/>
        <v>1.1361702127659574</v>
      </c>
      <c r="U257" s="11">
        <v>25</v>
      </c>
      <c r="V257" s="35">
        <v>9</v>
      </c>
      <c r="W257" s="35">
        <v>9.1999999999999993</v>
      </c>
      <c r="X257" s="4">
        <f t="shared" si="64"/>
        <v>1.0222222222222221</v>
      </c>
      <c r="Y257" s="11">
        <v>25</v>
      </c>
      <c r="Z257" s="11" t="s">
        <v>385</v>
      </c>
      <c r="AA257" s="11" t="s">
        <v>385</v>
      </c>
      <c r="AB257" s="11" t="s">
        <v>385</v>
      </c>
      <c r="AC257" s="11" t="s">
        <v>385</v>
      </c>
      <c r="AD257" s="11">
        <v>454</v>
      </c>
      <c r="AE257" s="11">
        <v>454</v>
      </c>
      <c r="AF257" s="4">
        <f t="shared" si="65"/>
        <v>1</v>
      </c>
      <c r="AG257" s="11">
        <v>20</v>
      </c>
      <c r="AH257" s="5" t="s">
        <v>362</v>
      </c>
      <c r="AI257" s="5" t="s">
        <v>362</v>
      </c>
      <c r="AJ257" s="5" t="s">
        <v>362</v>
      </c>
      <c r="AK257" s="5" t="s">
        <v>362</v>
      </c>
      <c r="AL257" s="5" t="s">
        <v>362</v>
      </c>
      <c r="AM257" s="5" t="s">
        <v>362</v>
      </c>
      <c r="AN257" s="5" t="s">
        <v>362</v>
      </c>
      <c r="AO257" s="5" t="s">
        <v>362</v>
      </c>
      <c r="AP257" s="44">
        <f t="shared" si="73"/>
        <v>1.0953409441974487</v>
      </c>
      <c r="AQ257" s="45">
        <v>1203</v>
      </c>
      <c r="AR257" s="35">
        <f t="shared" si="66"/>
        <v>328.09090909090907</v>
      </c>
      <c r="AS257" s="35">
        <f t="shared" si="67"/>
        <v>359.4</v>
      </c>
      <c r="AT257" s="35">
        <f t="shared" si="68"/>
        <v>31.309090909090912</v>
      </c>
      <c r="AU257" s="35">
        <v>95</v>
      </c>
      <c r="AV257" s="35">
        <v>116.2</v>
      </c>
      <c r="AW257" s="35">
        <f t="shared" si="69"/>
        <v>148.19999999999999</v>
      </c>
      <c r="AX257" s="35"/>
      <c r="AY257" s="35">
        <f t="shared" si="70"/>
        <v>148.19999999999999</v>
      </c>
      <c r="AZ257" s="35">
        <v>0</v>
      </c>
      <c r="BA257" s="35">
        <f t="shared" si="71"/>
        <v>148.19999999999999</v>
      </c>
      <c r="BB257" s="35">
        <f>MIN(BA257,54.7)</f>
        <v>54.7</v>
      </c>
      <c r="BC257" s="35">
        <f t="shared" si="72"/>
        <v>93.5</v>
      </c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10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10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10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10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10"/>
      <c r="GZ257" s="9"/>
      <c r="HA257" s="9"/>
    </row>
    <row r="258" spans="1:209" s="2" customFormat="1" ht="17" customHeight="1">
      <c r="A258" s="14" t="s">
        <v>254</v>
      </c>
      <c r="B258" s="35">
        <v>11365</v>
      </c>
      <c r="C258" s="35">
        <v>499.9</v>
      </c>
      <c r="D258" s="4">
        <f t="shared" si="61"/>
        <v>4.3985921689397273E-2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809.2</v>
      </c>
      <c r="O258" s="35">
        <v>413.1</v>
      </c>
      <c r="P258" s="4">
        <f t="shared" si="62"/>
        <v>0.51050420168067223</v>
      </c>
      <c r="Q258" s="11">
        <v>20</v>
      </c>
      <c r="R258" s="35">
        <v>49</v>
      </c>
      <c r="S258" s="35">
        <v>58.7</v>
      </c>
      <c r="T258" s="4">
        <f t="shared" si="63"/>
        <v>1.1979591836734695</v>
      </c>
      <c r="U258" s="11">
        <v>10</v>
      </c>
      <c r="V258" s="35">
        <v>27</v>
      </c>
      <c r="W258" s="35">
        <v>31.9</v>
      </c>
      <c r="X258" s="4">
        <f t="shared" si="64"/>
        <v>1.1814814814814814</v>
      </c>
      <c r="Y258" s="11">
        <v>40</v>
      </c>
      <c r="Z258" s="11" t="s">
        <v>385</v>
      </c>
      <c r="AA258" s="11" t="s">
        <v>385</v>
      </c>
      <c r="AB258" s="11" t="s">
        <v>385</v>
      </c>
      <c r="AC258" s="11" t="s">
        <v>385</v>
      </c>
      <c r="AD258" s="11">
        <v>789</v>
      </c>
      <c r="AE258" s="11">
        <v>1005</v>
      </c>
      <c r="AF258" s="4">
        <f t="shared" si="65"/>
        <v>1.2073764258555133</v>
      </c>
      <c r="AG258" s="11">
        <v>20</v>
      </c>
      <c r="AH258" s="5" t="s">
        <v>362</v>
      </c>
      <c r="AI258" s="5" t="s">
        <v>362</v>
      </c>
      <c r="AJ258" s="5" t="s">
        <v>362</v>
      </c>
      <c r="AK258" s="5" t="s">
        <v>362</v>
      </c>
      <c r="AL258" s="5" t="s">
        <v>362</v>
      </c>
      <c r="AM258" s="5" t="s">
        <v>362</v>
      </c>
      <c r="AN258" s="5" t="s">
        <v>362</v>
      </c>
      <c r="AO258" s="5" t="s">
        <v>362</v>
      </c>
      <c r="AP258" s="44">
        <f t="shared" si="73"/>
        <v>0.94036322863611621</v>
      </c>
      <c r="AQ258" s="45">
        <v>338</v>
      </c>
      <c r="AR258" s="35">
        <f t="shared" si="66"/>
        <v>92.181818181818187</v>
      </c>
      <c r="AS258" s="35">
        <f t="shared" si="67"/>
        <v>86.7</v>
      </c>
      <c r="AT258" s="35">
        <f t="shared" si="68"/>
        <v>-5.4818181818181841</v>
      </c>
      <c r="AU258" s="35">
        <v>25.5</v>
      </c>
      <c r="AV258" s="35">
        <v>28.9</v>
      </c>
      <c r="AW258" s="35">
        <f t="shared" si="69"/>
        <v>32.299999999999997</v>
      </c>
      <c r="AX258" s="35"/>
      <c r="AY258" s="35">
        <f t="shared" si="70"/>
        <v>32.299999999999997</v>
      </c>
      <c r="AZ258" s="35">
        <v>0</v>
      </c>
      <c r="BA258" s="35">
        <f t="shared" si="71"/>
        <v>32.299999999999997</v>
      </c>
      <c r="BB258" s="35">
        <f>MIN(BA258,15.4)</f>
        <v>15.4</v>
      </c>
      <c r="BC258" s="35">
        <f t="shared" si="72"/>
        <v>16.899999999999999</v>
      </c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10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10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10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10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10"/>
      <c r="GZ258" s="9"/>
      <c r="HA258" s="9"/>
    </row>
    <row r="259" spans="1:209" s="2" customFormat="1" ht="17" customHeight="1">
      <c r="A259" s="14" t="s">
        <v>255</v>
      </c>
      <c r="B259" s="35">
        <v>2274</v>
      </c>
      <c r="C259" s="35">
        <v>3064.8</v>
      </c>
      <c r="D259" s="4">
        <f t="shared" si="61"/>
        <v>1.2147757255936675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440.8</v>
      </c>
      <c r="O259" s="35">
        <v>596.1</v>
      </c>
      <c r="P259" s="4">
        <f t="shared" si="62"/>
        <v>1.2152313974591651</v>
      </c>
      <c r="Q259" s="11">
        <v>20</v>
      </c>
      <c r="R259" s="35">
        <v>87</v>
      </c>
      <c r="S259" s="35">
        <v>102.9</v>
      </c>
      <c r="T259" s="4">
        <f t="shared" si="63"/>
        <v>1.1827586206896552</v>
      </c>
      <c r="U259" s="11">
        <v>10</v>
      </c>
      <c r="V259" s="35">
        <v>27</v>
      </c>
      <c r="W259" s="35">
        <v>27.1</v>
      </c>
      <c r="X259" s="4">
        <f t="shared" si="64"/>
        <v>1.0037037037037038</v>
      </c>
      <c r="Y259" s="11">
        <v>40</v>
      </c>
      <c r="Z259" s="11" t="s">
        <v>385</v>
      </c>
      <c r="AA259" s="11" t="s">
        <v>385</v>
      </c>
      <c r="AB259" s="11" t="s">
        <v>385</v>
      </c>
      <c r="AC259" s="11" t="s">
        <v>385</v>
      </c>
      <c r="AD259" s="11">
        <v>681</v>
      </c>
      <c r="AE259" s="11">
        <v>755</v>
      </c>
      <c r="AF259" s="4">
        <f t="shared" si="65"/>
        <v>1.1086637298091042</v>
      </c>
      <c r="AG259" s="11">
        <v>20</v>
      </c>
      <c r="AH259" s="5" t="s">
        <v>362</v>
      </c>
      <c r="AI259" s="5" t="s">
        <v>362</v>
      </c>
      <c r="AJ259" s="5" t="s">
        <v>362</v>
      </c>
      <c r="AK259" s="5" t="s">
        <v>362</v>
      </c>
      <c r="AL259" s="5" t="s">
        <v>362</v>
      </c>
      <c r="AM259" s="5" t="s">
        <v>362</v>
      </c>
      <c r="AN259" s="5" t="s">
        <v>362</v>
      </c>
      <c r="AO259" s="5" t="s">
        <v>362</v>
      </c>
      <c r="AP259" s="44">
        <f t="shared" si="73"/>
        <v>1.1060139415634678</v>
      </c>
      <c r="AQ259" s="45">
        <v>2247</v>
      </c>
      <c r="AR259" s="35">
        <f t="shared" si="66"/>
        <v>612.81818181818187</v>
      </c>
      <c r="AS259" s="35">
        <f t="shared" si="67"/>
        <v>677.8</v>
      </c>
      <c r="AT259" s="35">
        <f t="shared" si="68"/>
        <v>64.981818181818085</v>
      </c>
      <c r="AU259" s="35">
        <v>211.9</v>
      </c>
      <c r="AV259" s="35">
        <v>229.5</v>
      </c>
      <c r="AW259" s="35">
        <f t="shared" si="69"/>
        <v>236.4</v>
      </c>
      <c r="AX259" s="35"/>
      <c r="AY259" s="35">
        <f t="shared" si="70"/>
        <v>236.4</v>
      </c>
      <c r="AZ259" s="35">
        <v>0</v>
      </c>
      <c r="BA259" s="35">
        <f t="shared" si="71"/>
        <v>236.4</v>
      </c>
      <c r="BB259" s="35"/>
      <c r="BC259" s="35">
        <f t="shared" si="72"/>
        <v>236.4</v>
      </c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10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10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10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10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10"/>
      <c r="GZ259" s="9"/>
      <c r="HA259" s="9"/>
    </row>
    <row r="260" spans="1:209" s="2" customFormat="1" ht="17" customHeight="1">
      <c r="A260" s="14" t="s">
        <v>256</v>
      </c>
      <c r="B260" s="35">
        <v>35198</v>
      </c>
      <c r="C260" s="35">
        <v>34458.9</v>
      </c>
      <c r="D260" s="4">
        <f t="shared" si="61"/>
        <v>0.97900164782089893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2769.6</v>
      </c>
      <c r="O260" s="35">
        <v>2850.4</v>
      </c>
      <c r="P260" s="4">
        <f t="shared" si="62"/>
        <v>1.0291738879260544</v>
      </c>
      <c r="Q260" s="11">
        <v>20</v>
      </c>
      <c r="R260" s="35">
        <v>29.5</v>
      </c>
      <c r="S260" s="35">
        <v>30.5</v>
      </c>
      <c r="T260" s="4">
        <f t="shared" si="63"/>
        <v>1.0338983050847457</v>
      </c>
      <c r="U260" s="11">
        <v>25</v>
      </c>
      <c r="V260" s="35">
        <v>32</v>
      </c>
      <c r="W260" s="35">
        <v>34.700000000000003</v>
      </c>
      <c r="X260" s="4">
        <f t="shared" si="64"/>
        <v>1.0843750000000001</v>
      </c>
      <c r="Y260" s="11">
        <v>25</v>
      </c>
      <c r="Z260" s="11" t="s">
        <v>385</v>
      </c>
      <c r="AA260" s="11" t="s">
        <v>385</v>
      </c>
      <c r="AB260" s="11" t="s">
        <v>385</v>
      </c>
      <c r="AC260" s="11" t="s">
        <v>385</v>
      </c>
      <c r="AD260" s="11">
        <v>593</v>
      </c>
      <c r="AE260" s="11">
        <v>584</v>
      </c>
      <c r="AF260" s="4">
        <f t="shared" si="65"/>
        <v>0.98482293423271505</v>
      </c>
      <c r="AG260" s="11">
        <v>20</v>
      </c>
      <c r="AH260" s="5" t="s">
        <v>362</v>
      </c>
      <c r="AI260" s="5" t="s">
        <v>362</v>
      </c>
      <c r="AJ260" s="5" t="s">
        <v>362</v>
      </c>
      <c r="AK260" s="5" t="s">
        <v>362</v>
      </c>
      <c r="AL260" s="5" t="s">
        <v>362</v>
      </c>
      <c r="AM260" s="5" t="s">
        <v>362</v>
      </c>
      <c r="AN260" s="5" t="s">
        <v>362</v>
      </c>
      <c r="AO260" s="5" t="s">
        <v>362</v>
      </c>
      <c r="AP260" s="44">
        <f t="shared" si="73"/>
        <v>1.0302678554850302</v>
      </c>
      <c r="AQ260" s="45">
        <v>1553</v>
      </c>
      <c r="AR260" s="35">
        <f t="shared" si="66"/>
        <v>423.54545454545456</v>
      </c>
      <c r="AS260" s="35">
        <f t="shared" si="67"/>
        <v>436.4</v>
      </c>
      <c r="AT260" s="35">
        <f t="shared" si="68"/>
        <v>12.854545454545416</v>
      </c>
      <c r="AU260" s="35">
        <v>142.4</v>
      </c>
      <c r="AV260" s="35">
        <v>147.6</v>
      </c>
      <c r="AW260" s="35">
        <f t="shared" si="69"/>
        <v>146.4</v>
      </c>
      <c r="AX260" s="35"/>
      <c r="AY260" s="35">
        <f t="shared" si="70"/>
        <v>146.4</v>
      </c>
      <c r="AZ260" s="35">
        <v>0</v>
      </c>
      <c r="BA260" s="35">
        <f t="shared" si="71"/>
        <v>146.4</v>
      </c>
      <c r="BB260" s="35">
        <f>MIN(BA260,58.8)</f>
        <v>58.8</v>
      </c>
      <c r="BC260" s="35">
        <f t="shared" si="72"/>
        <v>87.6</v>
      </c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10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10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10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10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10"/>
      <c r="GZ260" s="9"/>
      <c r="HA260" s="9"/>
    </row>
    <row r="261" spans="1:209" s="2" customFormat="1" ht="17" customHeight="1">
      <c r="A261" s="14" t="s">
        <v>257</v>
      </c>
      <c r="B261" s="35">
        <v>7756</v>
      </c>
      <c r="C261" s="35">
        <v>6483</v>
      </c>
      <c r="D261" s="4">
        <f t="shared" si="61"/>
        <v>0.83586900464156777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1064.0999999999999</v>
      </c>
      <c r="O261" s="35">
        <v>1205.5</v>
      </c>
      <c r="P261" s="4">
        <f t="shared" si="62"/>
        <v>1.1328822479090312</v>
      </c>
      <c r="Q261" s="11">
        <v>20</v>
      </c>
      <c r="R261" s="35">
        <v>8</v>
      </c>
      <c r="S261" s="35">
        <v>8.6999999999999993</v>
      </c>
      <c r="T261" s="4">
        <f t="shared" si="63"/>
        <v>1.0874999999999999</v>
      </c>
      <c r="U261" s="11">
        <v>15</v>
      </c>
      <c r="V261" s="35">
        <v>11.5</v>
      </c>
      <c r="W261" s="35">
        <v>11.4</v>
      </c>
      <c r="X261" s="4">
        <f t="shared" si="64"/>
        <v>0.99130434782608701</v>
      </c>
      <c r="Y261" s="11">
        <v>35</v>
      </c>
      <c r="Z261" s="11" t="s">
        <v>385</v>
      </c>
      <c r="AA261" s="11" t="s">
        <v>385</v>
      </c>
      <c r="AB261" s="11" t="s">
        <v>385</v>
      </c>
      <c r="AC261" s="11" t="s">
        <v>385</v>
      </c>
      <c r="AD261" s="11">
        <v>142</v>
      </c>
      <c r="AE261" s="11">
        <v>142</v>
      </c>
      <c r="AF261" s="4">
        <f t="shared" si="65"/>
        <v>1</v>
      </c>
      <c r="AG261" s="11">
        <v>20</v>
      </c>
      <c r="AH261" s="5" t="s">
        <v>362</v>
      </c>
      <c r="AI261" s="5" t="s">
        <v>362</v>
      </c>
      <c r="AJ261" s="5" t="s">
        <v>362</v>
      </c>
      <c r="AK261" s="5" t="s">
        <v>362</v>
      </c>
      <c r="AL261" s="5" t="s">
        <v>362</v>
      </c>
      <c r="AM261" s="5" t="s">
        <v>362</v>
      </c>
      <c r="AN261" s="5" t="s">
        <v>362</v>
      </c>
      <c r="AO261" s="5" t="s">
        <v>362</v>
      </c>
      <c r="AP261" s="44">
        <f t="shared" si="73"/>
        <v>1.0202448717850934</v>
      </c>
      <c r="AQ261" s="45">
        <v>375</v>
      </c>
      <c r="AR261" s="35">
        <f t="shared" si="66"/>
        <v>102.27272727272728</v>
      </c>
      <c r="AS261" s="35">
        <f t="shared" si="67"/>
        <v>104.3</v>
      </c>
      <c r="AT261" s="35">
        <f t="shared" si="68"/>
        <v>2.0272727272727167</v>
      </c>
      <c r="AU261" s="35">
        <v>27.5</v>
      </c>
      <c r="AV261" s="35">
        <v>33.5</v>
      </c>
      <c r="AW261" s="35">
        <f t="shared" si="69"/>
        <v>43.3</v>
      </c>
      <c r="AX261" s="35"/>
      <c r="AY261" s="35">
        <f t="shared" si="70"/>
        <v>43.3</v>
      </c>
      <c r="AZ261" s="35">
        <v>0</v>
      </c>
      <c r="BA261" s="35">
        <f t="shared" si="71"/>
        <v>43.3</v>
      </c>
      <c r="BB261" s="35"/>
      <c r="BC261" s="35">
        <f t="shared" si="72"/>
        <v>43.3</v>
      </c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10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10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10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10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10"/>
      <c r="GZ261" s="9"/>
      <c r="HA261" s="9"/>
    </row>
    <row r="262" spans="1:209" s="2" customFormat="1" ht="17" customHeight="1">
      <c r="A262" s="18" t="s">
        <v>258</v>
      </c>
      <c r="B262" s="6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35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10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10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10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10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10"/>
      <c r="GZ262" s="9"/>
      <c r="HA262" s="9"/>
    </row>
    <row r="263" spans="1:209" s="2" customFormat="1" ht="17" customHeight="1">
      <c r="A263" s="14" t="s">
        <v>259</v>
      </c>
      <c r="B263" s="35">
        <v>0</v>
      </c>
      <c r="C263" s="35">
        <v>768.4</v>
      </c>
      <c r="D263" s="4">
        <f t="shared" si="61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310.7</v>
      </c>
      <c r="O263" s="35">
        <v>1302.2</v>
      </c>
      <c r="P263" s="4">
        <f t="shared" si="62"/>
        <v>1.3</v>
      </c>
      <c r="Q263" s="11">
        <v>20</v>
      </c>
      <c r="R263" s="35">
        <v>0</v>
      </c>
      <c r="S263" s="35">
        <v>0</v>
      </c>
      <c r="T263" s="4">
        <f t="shared" si="63"/>
        <v>1</v>
      </c>
      <c r="U263" s="11">
        <v>10</v>
      </c>
      <c r="V263" s="35">
        <v>0.2</v>
      </c>
      <c r="W263" s="35">
        <v>0.2</v>
      </c>
      <c r="X263" s="4">
        <f t="shared" si="64"/>
        <v>1</v>
      </c>
      <c r="Y263" s="11">
        <v>40</v>
      </c>
      <c r="Z263" s="11" t="s">
        <v>385</v>
      </c>
      <c r="AA263" s="11" t="s">
        <v>385</v>
      </c>
      <c r="AB263" s="11" t="s">
        <v>385</v>
      </c>
      <c r="AC263" s="11" t="s">
        <v>385</v>
      </c>
      <c r="AD263" s="11">
        <v>3</v>
      </c>
      <c r="AE263" s="11">
        <v>5</v>
      </c>
      <c r="AF263" s="4">
        <f t="shared" si="65"/>
        <v>1.2466666666666666</v>
      </c>
      <c r="AG263" s="11">
        <v>20</v>
      </c>
      <c r="AH263" s="5" t="s">
        <v>362</v>
      </c>
      <c r="AI263" s="5" t="s">
        <v>362</v>
      </c>
      <c r="AJ263" s="5" t="s">
        <v>362</v>
      </c>
      <c r="AK263" s="5" t="s">
        <v>362</v>
      </c>
      <c r="AL263" s="5" t="s">
        <v>362</v>
      </c>
      <c r="AM263" s="5" t="s">
        <v>362</v>
      </c>
      <c r="AN263" s="5" t="s">
        <v>362</v>
      </c>
      <c r="AO263" s="5" t="s">
        <v>362</v>
      </c>
      <c r="AP263" s="44">
        <f t="shared" si="73"/>
        <v>1.1214814814814815</v>
      </c>
      <c r="AQ263" s="45">
        <v>317</v>
      </c>
      <c r="AR263" s="35">
        <f t="shared" si="66"/>
        <v>86.454545454545453</v>
      </c>
      <c r="AS263" s="35">
        <f t="shared" si="67"/>
        <v>97</v>
      </c>
      <c r="AT263" s="35">
        <f t="shared" si="68"/>
        <v>10.545454545454547</v>
      </c>
      <c r="AU263" s="35">
        <v>31.3</v>
      </c>
      <c r="AV263" s="35">
        <v>31.3</v>
      </c>
      <c r="AW263" s="35">
        <f t="shared" si="69"/>
        <v>34.4</v>
      </c>
      <c r="AX263" s="35"/>
      <c r="AY263" s="35">
        <f t="shared" si="70"/>
        <v>34.4</v>
      </c>
      <c r="AZ263" s="35">
        <v>0</v>
      </c>
      <c r="BA263" s="35">
        <f t="shared" si="71"/>
        <v>34.4</v>
      </c>
      <c r="BB263" s="35">
        <f>MIN(BA263,14.4)</f>
        <v>14.4</v>
      </c>
      <c r="BC263" s="35">
        <f t="shared" si="72"/>
        <v>20</v>
      </c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10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10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10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10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10"/>
      <c r="GZ263" s="9"/>
      <c r="HA263" s="9"/>
    </row>
    <row r="264" spans="1:209" s="2" customFormat="1" ht="17" customHeight="1">
      <c r="A264" s="14" t="s">
        <v>260</v>
      </c>
      <c r="B264" s="35">
        <v>0</v>
      </c>
      <c r="C264" s="35">
        <v>0</v>
      </c>
      <c r="D264" s="4">
        <f t="shared" si="61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352.4</v>
      </c>
      <c r="O264" s="35">
        <v>411</v>
      </c>
      <c r="P264" s="4">
        <f t="shared" si="62"/>
        <v>1.1662883087400682</v>
      </c>
      <c r="Q264" s="11">
        <v>20</v>
      </c>
      <c r="R264" s="35">
        <v>0</v>
      </c>
      <c r="S264" s="35">
        <v>0</v>
      </c>
      <c r="T264" s="4">
        <f t="shared" si="63"/>
        <v>1</v>
      </c>
      <c r="U264" s="11">
        <v>20</v>
      </c>
      <c r="V264" s="35">
        <v>0.3</v>
      </c>
      <c r="W264" s="35">
        <v>0.4</v>
      </c>
      <c r="X264" s="4">
        <f t="shared" si="64"/>
        <v>1.2133333333333334</v>
      </c>
      <c r="Y264" s="11">
        <v>30</v>
      </c>
      <c r="Z264" s="11" t="s">
        <v>385</v>
      </c>
      <c r="AA264" s="11" t="s">
        <v>385</v>
      </c>
      <c r="AB264" s="11" t="s">
        <v>385</v>
      </c>
      <c r="AC264" s="11" t="s">
        <v>385</v>
      </c>
      <c r="AD264" s="11">
        <v>63</v>
      </c>
      <c r="AE264" s="11">
        <v>63</v>
      </c>
      <c r="AF264" s="4">
        <f t="shared" si="65"/>
        <v>1</v>
      </c>
      <c r="AG264" s="11">
        <v>20</v>
      </c>
      <c r="AH264" s="5" t="s">
        <v>362</v>
      </c>
      <c r="AI264" s="5" t="s">
        <v>362</v>
      </c>
      <c r="AJ264" s="5" t="s">
        <v>362</v>
      </c>
      <c r="AK264" s="5" t="s">
        <v>362</v>
      </c>
      <c r="AL264" s="5" t="s">
        <v>362</v>
      </c>
      <c r="AM264" s="5" t="s">
        <v>362</v>
      </c>
      <c r="AN264" s="5" t="s">
        <v>362</v>
      </c>
      <c r="AO264" s="5" t="s">
        <v>362</v>
      </c>
      <c r="AP264" s="44">
        <f t="shared" si="73"/>
        <v>1.1080640686089038</v>
      </c>
      <c r="AQ264" s="45">
        <v>518</v>
      </c>
      <c r="AR264" s="35">
        <f t="shared" si="66"/>
        <v>141.27272727272728</v>
      </c>
      <c r="AS264" s="35">
        <f t="shared" si="67"/>
        <v>156.5</v>
      </c>
      <c r="AT264" s="35">
        <f t="shared" si="68"/>
        <v>15.22727272727272</v>
      </c>
      <c r="AU264" s="35">
        <v>50</v>
      </c>
      <c r="AV264" s="35">
        <v>47.6</v>
      </c>
      <c r="AW264" s="35">
        <f t="shared" si="69"/>
        <v>58.9</v>
      </c>
      <c r="AX264" s="35"/>
      <c r="AY264" s="35">
        <f t="shared" si="70"/>
        <v>58.9</v>
      </c>
      <c r="AZ264" s="35">
        <v>0</v>
      </c>
      <c r="BA264" s="35">
        <f t="shared" si="71"/>
        <v>58.9</v>
      </c>
      <c r="BB264" s="35">
        <f>MIN(BA264,23.5)</f>
        <v>23.5</v>
      </c>
      <c r="BC264" s="35">
        <f t="shared" si="72"/>
        <v>35.4</v>
      </c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10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10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10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10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10"/>
      <c r="GZ264" s="9"/>
      <c r="HA264" s="9"/>
    </row>
    <row r="265" spans="1:209" s="2" customFormat="1" ht="17" customHeight="1">
      <c r="A265" s="14" t="s">
        <v>261</v>
      </c>
      <c r="B265" s="35">
        <v>0</v>
      </c>
      <c r="C265" s="35">
        <v>0</v>
      </c>
      <c r="D265" s="4">
        <f t="shared" si="61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1190.9000000000001</v>
      </c>
      <c r="O265" s="35">
        <v>1069.5</v>
      </c>
      <c r="P265" s="4">
        <f t="shared" si="62"/>
        <v>0.89806029053656888</v>
      </c>
      <c r="Q265" s="11">
        <v>20</v>
      </c>
      <c r="R265" s="35">
        <v>0</v>
      </c>
      <c r="S265" s="35">
        <v>0</v>
      </c>
      <c r="T265" s="4">
        <f t="shared" si="63"/>
        <v>1</v>
      </c>
      <c r="U265" s="11">
        <v>10</v>
      </c>
      <c r="V265" s="35">
        <v>8.5</v>
      </c>
      <c r="W265" s="35">
        <v>8.5</v>
      </c>
      <c r="X265" s="4">
        <f t="shared" si="64"/>
        <v>1</v>
      </c>
      <c r="Y265" s="11">
        <v>40</v>
      </c>
      <c r="Z265" s="11" t="s">
        <v>385</v>
      </c>
      <c r="AA265" s="11" t="s">
        <v>385</v>
      </c>
      <c r="AB265" s="11" t="s">
        <v>385</v>
      </c>
      <c r="AC265" s="11" t="s">
        <v>385</v>
      </c>
      <c r="AD265" s="11">
        <v>194</v>
      </c>
      <c r="AE265" s="11">
        <v>201</v>
      </c>
      <c r="AF265" s="4">
        <f t="shared" si="65"/>
        <v>1.0360824742268042</v>
      </c>
      <c r="AG265" s="11">
        <v>20</v>
      </c>
      <c r="AH265" s="5" t="s">
        <v>362</v>
      </c>
      <c r="AI265" s="5" t="s">
        <v>362</v>
      </c>
      <c r="AJ265" s="5" t="s">
        <v>362</v>
      </c>
      <c r="AK265" s="5" t="s">
        <v>362</v>
      </c>
      <c r="AL265" s="5" t="s">
        <v>362</v>
      </c>
      <c r="AM265" s="5" t="s">
        <v>362</v>
      </c>
      <c r="AN265" s="5" t="s">
        <v>362</v>
      </c>
      <c r="AO265" s="5" t="s">
        <v>362</v>
      </c>
      <c r="AP265" s="44">
        <f t="shared" si="73"/>
        <v>0.9853650588363051</v>
      </c>
      <c r="AQ265" s="45">
        <v>424</v>
      </c>
      <c r="AR265" s="35">
        <f t="shared" si="66"/>
        <v>115.63636363636364</v>
      </c>
      <c r="AS265" s="35">
        <f t="shared" si="67"/>
        <v>113.9</v>
      </c>
      <c r="AT265" s="35">
        <f t="shared" si="68"/>
        <v>-1.7363636363636346</v>
      </c>
      <c r="AU265" s="35">
        <v>41.1</v>
      </c>
      <c r="AV265" s="35">
        <v>30.6</v>
      </c>
      <c r="AW265" s="35">
        <f t="shared" si="69"/>
        <v>42.2</v>
      </c>
      <c r="AX265" s="35"/>
      <c r="AY265" s="35">
        <f t="shared" si="70"/>
        <v>42.2</v>
      </c>
      <c r="AZ265" s="35">
        <v>0</v>
      </c>
      <c r="BA265" s="35">
        <f t="shared" si="71"/>
        <v>42.2</v>
      </c>
      <c r="BB265" s="35">
        <f>MIN(BA265,19.3)</f>
        <v>19.3</v>
      </c>
      <c r="BC265" s="35">
        <f t="shared" si="72"/>
        <v>22.9</v>
      </c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10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10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10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10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10"/>
      <c r="GZ265" s="9"/>
      <c r="HA265" s="9"/>
    </row>
    <row r="266" spans="1:209" s="2" customFormat="1" ht="17" customHeight="1">
      <c r="A266" s="14" t="s">
        <v>262</v>
      </c>
      <c r="B266" s="35">
        <v>0</v>
      </c>
      <c r="C266" s="35">
        <v>0</v>
      </c>
      <c r="D266" s="4">
        <f t="shared" si="61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353.6</v>
      </c>
      <c r="O266" s="35">
        <v>294.2</v>
      </c>
      <c r="P266" s="4">
        <f t="shared" si="62"/>
        <v>0.83201357466063341</v>
      </c>
      <c r="Q266" s="11">
        <v>20</v>
      </c>
      <c r="R266" s="35">
        <v>10</v>
      </c>
      <c r="S266" s="35">
        <v>10.4</v>
      </c>
      <c r="T266" s="4">
        <f t="shared" si="63"/>
        <v>1.04</v>
      </c>
      <c r="U266" s="11">
        <v>20</v>
      </c>
      <c r="V266" s="35">
        <v>3</v>
      </c>
      <c r="W266" s="35">
        <v>3</v>
      </c>
      <c r="X266" s="4">
        <f t="shared" si="64"/>
        <v>1</v>
      </c>
      <c r="Y266" s="11">
        <v>30</v>
      </c>
      <c r="Z266" s="11" t="s">
        <v>385</v>
      </c>
      <c r="AA266" s="11" t="s">
        <v>385</v>
      </c>
      <c r="AB266" s="11" t="s">
        <v>385</v>
      </c>
      <c r="AC266" s="11" t="s">
        <v>385</v>
      </c>
      <c r="AD266" s="11">
        <v>186</v>
      </c>
      <c r="AE266" s="11">
        <v>182</v>
      </c>
      <c r="AF266" s="4">
        <f t="shared" si="65"/>
        <v>0.978494623655914</v>
      </c>
      <c r="AG266" s="11">
        <v>20</v>
      </c>
      <c r="AH266" s="5" t="s">
        <v>362</v>
      </c>
      <c r="AI266" s="5" t="s">
        <v>362</v>
      </c>
      <c r="AJ266" s="5" t="s">
        <v>362</v>
      </c>
      <c r="AK266" s="5" t="s">
        <v>362</v>
      </c>
      <c r="AL266" s="5" t="s">
        <v>362</v>
      </c>
      <c r="AM266" s="5" t="s">
        <v>362</v>
      </c>
      <c r="AN266" s="5" t="s">
        <v>362</v>
      </c>
      <c r="AO266" s="5" t="s">
        <v>362</v>
      </c>
      <c r="AP266" s="44">
        <f t="shared" si="73"/>
        <v>0.96677959962589932</v>
      </c>
      <c r="AQ266" s="45">
        <v>1106</v>
      </c>
      <c r="AR266" s="35">
        <f t="shared" si="66"/>
        <v>301.63636363636363</v>
      </c>
      <c r="AS266" s="35">
        <f t="shared" si="67"/>
        <v>291.60000000000002</v>
      </c>
      <c r="AT266" s="35">
        <f t="shared" si="68"/>
        <v>-10.036363636363603</v>
      </c>
      <c r="AU266" s="35">
        <v>97.8</v>
      </c>
      <c r="AV266" s="35">
        <v>98.5</v>
      </c>
      <c r="AW266" s="35">
        <f t="shared" si="69"/>
        <v>95.3</v>
      </c>
      <c r="AX266" s="35"/>
      <c r="AY266" s="35">
        <f t="shared" si="70"/>
        <v>95.3</v>
      </c>
      <c r="AZ266" s="35">
        <v>0</v>
      </c>
      <c r="BA266" s="35">
        <f t="shared" si="71"/>
        <v>95.3</v>
      </c>
      <c r="BB266" s="35">
        <f>MIN(BA266,15.7)</f>
        <v>15.7</v>
      </c>
      <c r="BC266" s="35">
        <f t="shared" si="72"/>
        <v>79.599999999999994</v>
      </c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10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10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10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10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10"/>
      <c r="GZ266" s="9"/>
      <c r="HA266" s="9"/>
    </row>
    <row r="267" spans="1:209" s="2" customFormat="1" ht="17" customHeight="1">
      <c r="A267" s="14" t="s">
        <v>263</v>
      </c>
      <c r="B267" s="35">
        <v>542</v>
      </c>
      <c r="C267" s="35">
        <v>507</v>
      </c>
      <c r="D267" s="4">
        <f t="shared" si="61"/>
        <v>0.93542435424354242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587.9</v>
      </c>
      <c r="O267" s="35">
        <v>336</v>
      </c>
      <c r="P267" s="4">
        <f t="shared" si="62"/>
        <v>0.5715257696887226</v>
      </c>
      <c r="Q267" s="11">
        <v>20</v>
      </c>
      <c r="R267" s="35">
        <v>0</v>
      </c>
      <c r="S267" s="35">
        <v>0</v>
      </c>
      <c r="T267" s="4">
        <f t="shared" si="63"/>
        <v>1</v>
      </c>
      <c r="U267" s="11">
        <v>20</v>
      </c>
      <c r="V267" s="35">
        <v>1.5</v>
      </c>
      <c r="W267" s="35">
        <v>1.6</v>
      </c>
      <c r="X267" s="4">
        <f t="shared" si="64"/>
        <v>1.0666666666666667</v>
      </c>
      <c r="Y267" s="11">
        <v>30</v>
      </c>
      <c r="Z267" s="11" t="s">
        <v>385</v>
      </c>
      <c r="AA267" s="11" t="s">
        <v>385</v>
      </c>
      <c r="AB267" s="11" t="s">
        <v>385</v>
      </c>
      <c r="AC267" s="11" t="s">
        <v>385</v>
      </c>
      <c r="AD267" s="11">
        <v>81</v>
      </c>
      <c r="AE267" s="11">
        <v>81</v>
      </c>
      <c r="AF267" s="4">
        <f t="shared" si="65"/>
        <v>1</v>
      </c>
      <c r="AG267" s="11">
        <v>20</v>
      </c>
      <c r="AH267" s="5" t="s">
        <v>362</v>
      </c>
      <c r="AI267" s="5" t="s">
        <v>362</v>
      </c>
      <c r="AJ267" s="5" t="s">
        <v>362</v>
      </c>
      <c r="AK267" s="5" t="s">
        <v>362</v>
      </c>
      <c r="AL267" s="5" t="s">
        <v>362</v>
      </c>
      <c r="AM267" s="5" t="s">
        <v>362</v>
      </c>
      <c r="AN267" s="5" t="s">
        <v>362</v>
      </c>
      <c r="AO267" s="5" t="s">
        <v>362</v>
      </c>
      <c r="AP267" s="44">
        <f t="shared" si="73"/>
        <v>0.92784758936209866</v>
      </c>
      <c r="AQ267" s="45">
        <v>595</v>
      </c>
      <c r="AR267" s="35">
        <f t="shared" si="66"/>
        <v>162.27272727272728</v>
      </c>
      <c r="AS267" s="35">
        <f t="shared" si="67"/>
        <v>150.6</v>
      </c>
      <c r="AT267" s="35">
        <f t="shared" si="68"/>
        <v>-11.672727272727286</v>
      </c>
      <c r="AU267" s="35">
        <v>55.5</v>
      </c>
      <c r="AV267" s="35">
        <v>50.7</v>
      </c>
      <c r="AW267" s="35">
        <f t="shared" si="69"/>
        <v>44.4</v>
      </c>
      <c r="AX267" s="35"/>
      <c r="AY267" s="35">
        <f t="shared" si="70"/>
        <v>44.4</v>
      </c>
      <c r="AZ267" s="35">
        <v>0</v>
      </c>
      <c r="BA267" s="35">
        <f t="shared" si="71"/>
        <v>44.4</v>
      </c>
      <c r="BB267" s="35">
        <f>MIN(BA267,1.3)</f>
        <v>1.3</v>
      </c>
      <c r="BC267" s="35">
        <f t="shared" si="72"/>
        <v>43.1</v>
      </c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10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10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10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10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10"/>
      <c r="GZ267" s="9"/>
      <c r="HA267" s="9"/>
    </row>
    <row r="268" spans="1:209" s="2" customFormat="1" ht="17" customHeight="1">
      <c r="A268" s="14" t="s">
        <v>264</v>
      </c>
      <c r="B268" s="35">
        <v>0</v>
      </c>
      <c r="C268" s="35">
        <v>0</v>
      </c>
      <c r="D268" s="4">
        <f t="shared" si="61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510.5</v>
      </c>
      <c r="O268" s="35">
        <v>448.5</v>
      </c>
      <c r="P268" s="4">
        <f t="shared" si="62"/>
        <v>0.87855044074436828</v>
      </c>
      <c r="Q268" s="11">
        <v>20</v>
      </c>
      <c r="R268" s="35">
        <v>6</v>
      </c>
      <c r="S268" s="35">
        <v>6.3</v>
      </c>
      <c r="T268" s="4">
        <f t="shared" si="63"/>
        <v>1.05</v>
      </c>
      <c r="U268" s="11">
        <v>15</v>
      </c>
      <c r="V268" s="35">
        <v>6</v>
      </c>
      <c r="W268" s="35">
        <v>7.8</v>
      </c>
      <c r="X268" s="4">
        <f t="shared" si="64"/>
        <v>1.21</v>
      </c>
      <c r="Y268" s="11">
        <v>35</v>
      </c>
      <c r="Z268" s="11" t="s">
        <v>385</v>
      </c>
      <c r="AA268" s="11" t="s">
        <v>385</v>
      </c>
      <c r="AB268" s="11" t="s">
        <v>385</v>
      </c>
      <c r="AC268" s="11" t="s">
        <v>385</v>
      </c>
      <c r="AD268" s="11">
        <v>111</v>
      </c>
      <c r="AE268" s="11">
        <v>112</v>
      </c>
      <c r="AF268" s="4">
        <f t="shared" si="65"/>
        <v>1.0090090090090089</v>
      </c>
      <c r="AG268" s="11">
        <v>20</v>
      </c>
      <c r="AH268" s="5" t="s">
        <v>362</v>
      </c>
      <c r="AI268" s="5" t="s">
        <v>362</v>
      </c>
      <c r="AJ268" s="5" t="s">
        <v>362</v>
      </c>
      <c r="AK268" s="5" t="s">
        <v>362</v>
      </c>
      <c r="AL268" s="5" t="s">
        <v>362</v>
      </c>
      <c r="AM268" s="5" t="s">
        <v>362</v>
      </c>
      <c r="AN268" s="5" t="s">
        <v>362</v>
      </c>
      <c r="AO268" s="5" t="s">
        <v>362</v>
      </c>
      <c r="AP268" s="44">
        <f t="shared" si="73"/>
        <v>1.065013211056306</v>
      </c>
      <c r="AQ268" s="45">
        <v>684</v>
      </c>
      <c r="AR268" s="35">
        <f t="shared" si="66"/>
        <v>186.54545454545453</v>
      </c>
      <c r="AS268" s="35">
        <f t="shared" si="67"/>
        <v>198.7</v>
      </c>
      <c r="AT268" s="35">
        <f t="shared" si="68"/>
        <v>12.154545454545456</v>
      </c>
      <c r="AU268" s="35">
        <v>59.2</v>
      </c>
      <c r="AV268" s="35">
        <v>75.5</v>
      </c>
      <c r="AW268" s="35">
        <f t="shared" si="69"/>
        <v>64</v>
      </c>
      <c r="AX268" s="35"/>
      <c r="AY268" s="35">
        <f t="shared" si="70"/>
        <v>64</v>
      </c>
      <c r="AZ268" s="35">
        <v>0</v>
      </c>
      <c r="BA268" s="35">
        <f t="shared" si="71"/>
        <v>64</v>
      </c>
      <c r="BB268" s="35"/>
      <c r="BC268" s="35">
        <f t="shared" si="72"/>
        <v>64</v>
      </c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10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10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10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10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10"/>
      <c r="GZ268" s="9"/>
      <c r="HA268" s="9"/>
    </row>
    <row r="269" spans="1:209" s="2" customFormat="1" ht="17" customHeight="1">
      <c r="A269" s="14" t="s">
        <v>265</v>
      </c>
      <c r="B269" s="35">
        <v>0</v>
      </c>
      <c r="C269" s="35">
        <v>0</v>
      </c>
      <c r="D269" s="4">
        <f t="shared" si="61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296.89999999999998</v>
      </c>
      <c r="O269" s="35">
        <v>253.1</v>
      </c>
      <c r="P269" s="4">
        <f t="shared" si="62"/>
        <v>0.85247558100370502</v>
      </c>
      <c r="Q269" s="11">
        <v>20</v>
      </c>
      <c r="R269" s="35">
        <v>5</v>
      </c>
      <c r="S269" s="35">
        <v>6.7</v>
      </c>
      <c r="T269" s="4">
        <f t="shared" si="63"/>
        <v>1.214</v>
      </c>
      <c r="U269" s="11">
        <v>20</v>
      </c>
      <c r="V269" s="35">
        <v>3.6</v>
      </c>
      <c r="W269" s="35">
        <v>3.6</v>
      </c>
      <c r="X269" s="4">
        <f t="shared" si="64"/>
        <v>1</v>
      </c>
      <c r="Y269" s="11">
        <v>30</v>
      </c>
      <c r="Z269" s="11" t="s">
        <v>385</v>
      </c>
      <c r="AA269" s="11" t="s">
        <v>385</v>
      </c>
      <c r="AB269" s="11" t="s">
        <v>385</v>
      </c>
      <c r="AC269" s="11" t="s">
        <v>385</v>
      </c>
      <c r="AD269" s="11">
        <v>155</v>
      </c>
      <c r="AE269" s="11">
        <v>159</v>
      </c>
      <c r="AF269" s="4">
        <f t="shared" si="65"/>
        <v>1.0258064516129033</v>
      </c>
      <c r="AG269" s="11">
        <v>20</v>
      </c>
      <c r="AH269" s="5" t="s">
        <v>362</v>
      </c>
      <c r="AI269" s="5" t="s">
        <v>362</v>
      </c>
      <c r="AJ269" s="5" t="s">
        <v>362</v>
      </c>
      <c r="AK269" s="5" t="s">
        <v>362</v>
      </c>
      <c r="AL269" s="5" t="s">
        <v>362</v>
      </c>
      <c r="AM269" s="5" t="s">
        <v>362</v>
      </c>
      <c r="AN269" s="5" t="s">
        <v>362</v>
      </c>
      <c r="AO269" s="5" t="s">
        <v>362</v>
      </c>
      <c r="AP269" s="44">
        <f t="shared" si="73"/>
        <v>1.0205071183592462</v>
      </c>
      <c r="AQ269" s="45">
        <v>799</v>
      </c>
      <c r="AR269" s="35">
        <f t="shared" si="66"/>
        <v>217.90909090909093</v>
      </c>
      <c r="AS269" s="35">
        <f t="shared" si="67"/>
        <v>222.4</v>
      </c>
      <c r="AT269" s="35">
        <f t="shared" si="68"/>
        <v>4.4909090909090708</v>
      </c>
      <c r="AU269" s="35">
        <v>71.099999999999994</v>
      </c>
      <c r="AV269" s="35">
        <v>64</v>
      </c>
      <c r="AW269" s="35">
        <f t="shared" si="69"/>
        <v>87.3</v>
      </c>
      <c r="AX269" s="35"/>
      <c r="AY269" s="35">
        <f t="shared" si="70"/>
        <v>87.3</v>
      </c>
      <c r="AZ269" s="35">
        <v>0</v>
      </c>
      <c r="BA269" s="35">
        <f t="shared" si="71"/>
        <v>87.3</v>
      </c>
      <c r="BB269" s="35">
        <f>MIN(BA269,10.9)</f>
        <v>10.9</v>
      </c>
      <c r="BC269" s="35">
        <f t="shared" si="72"/>
        <v>76.400000000000006</v>
      </c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10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10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10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10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10"/>
      <c r="GZ269" s="9"/>
      <c r="HA269" s="9"/>
    </row>
    <row r="270" spans="1:209" s="2" customFormat="1" ht="17" customHeight="1">
      <c r="A270" s="14" t="s">
        <v>266</v>
      </c>
      <c r="B270" s="35">
        <v>0</v>
      </c>
      <c r="C270" s="35">
        <v>0</v>
      </c>
      <c r="D270" s="4">
        <f t="shared" si="61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226.5</v>
      </c>
      <c r="O270" s="35">
        <v>121.7</v>
      </c>
      <c r="P270" s="4">
        <f t="shared" si="62"/>
        <v>0.5373068432671082</v>
      </c>
      <c r="Q270" s="11">
        <v>20</v>
      </c>
      <c r="R270" s="35">
        <v>0</v>
      </c>
      <c r="S270" s="35">
        <v>0</v>
      </c>
      <c r="T270" s="4">
        <f t="shared" si="63"/>
        <v>1</v>
      </c>
      <c r="U270" s="11">
        <v>30</v>
      </c>
      <c r="V270" s="35">
        <v>3</v>
      </c>
      <c r="W270" s="35">
        <v>3.1</v>
      </c>
      <c r="X270" s="4">
        <f t="shared" si="64"/>
        <v>1.0333333333333334</v>
      </c>
      <c r="Y270" s="11">
        <v>20</v>
      </c>
      <c r="Z270" s="11" t="s">
        <v>385</v>
      </c>
      <c r="AA270" s="11" t="s">
        <v>385</v>
      </c>
      <c r="AB270" s="11" t="s">
        <v>385</v>
      </c>
      <c r="AC270" s="11" t="s">
        <v>385</v>
      </c>
      <c r="AD270" s="11">
        <v>250</v>
      </c>
      <c r="AE270" s="11">
        <v>250</v>
      </c>
      <c r="AF270" s="4">
        <f t="shared" si="65"/>
        <v>1</v>
      </c>
      <c r="AG270" s="11">
        <v>20</v>
      </c>
      <c r="AH270" s="5" t="s">
        <v>362</v>
      </c>
      <c r="AI270" s="5" t="s">
        <v>362</v>
      </c>
      <c r="AJ270" s="5" t="s">
        <v>362</v>
      </c>
      <c r="AK270" s="5" t="s">
        <v>362</v>
      </c>
      <c r="AL270" s="5" t="s">
        <v>362</v>
      </c>
      <c r="AM270" s="5" t="s">
        <v>362</v>
      </c>
      <c r="AN270" s="5" t="s">
        <v>362</v>
      </c>
      <c r="AO270" s="5" t="s">
        <v>362</v>
      </c>
      <c r="AP270" s="44">
        <f t="shared" si="73"/>
        <v>0.90458670591120927</v>
      </c>
      <c r="AQ270" s="45">
        <v>836</v>
      </c>
      <c r="AR270" s="35">
        <f t="shared" si="66"/>
        <v>228</v>
      </c>
      <c r="AS270" s="35">
        <f t="shared" si="67"/>
        <v>206.2</v>
      </c>
      <c r="AT270" s="35">
        <f t="shared" si="68"/>
        <v>-21.800000000000011</v>
      </c>
      <c r="AU270" s="35">
        <v>71.5</v>
      </c>
      <c r="AV270" s="35">
        <v>61</v>
      </c>
      <c r="AW270" s="35">
        <f t="shared" si="69"/>
        <v>73.7</v>
      </c>
      <c r="AX270" s="35"/>
      <c r="AY270" s="35">
        <f t="shared" si="70"/>
        <v>73.7</v>
      </c>
      <c r="AZ270" s="35">
        <v>0</v>
      </c>
      <c r="BA270" s="35">
        <f t="shared" si="71"/>
        <v>73.7</v>
      </c>
      <c r="BB270" s="35">
        <f>MIN(BA270,16.8)</f>
        <v>16.8</v>
      </c>
      <c r="BC270" s="35">
        <f t="shared" si="72"/>
        <v>56.9</v>
      </c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10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10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10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10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10"/>
      <c r="GZ270" s="9"/>
      <c r="HA270" s="9"/>
    </row>
    <row r="271" spans="1:209" s="2" customFormat="1" ht="17" customHeight="1">
      <c r="A271" s="14" t="s">
        <v>267</v>
      </c>
      <c r="B271" s="35">
        <v>0</v>
      </c>
      <c r="C271" s="35">
        <v>0</v>
      </c>
      <c r="D271" s="4">
        <f t="shared" si="61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196</v>
      </c>
      <c r="O271" s="35">
        <v>172.1</v>
      </c>
      <c r="P271" s="4">
        <f t="shared" si="62"/>
        <v>0.87806122448979584</v>
      </c>
      <c r="Q271" s="11">
        <v>20</v>
      </c>
      <c r="R271" s="35">
        <v>0</v>
      </c>
      <c r="S271" s="35">
        <v>1.7</v>
      </c>
      <c r="T271" s="4">
        <f t="shared" si="63"/>
        <v>1</v>
      </c>
      <c r="U271" s="11">
        <v>20</v>
      </c>
      <c r="V271" s="35">
        <v>3</v>
      </c>
      <c r="W271" s="35">
        <v>0</v>
      </c>
      <c r="X271" s="4">
        <f t="shared" si="64"/>
        <v>0</v>
      </c>
      <c r="Y271" s="11">
        <v>30</v>
      </c>
      <c r="Z271" s="11" t="s">
        <v>385</v>
      </c>
      <c r="AA271" s="11" t="s">
        <v>385</v>
      </c>
      <c r="AB271" s="11" t="s">
        <v>385</v>
      </c>
      <c r="AC271" s="11" t="s">
        <v>385</v>
      </c>
      <c r="AD271" s="11">
        <v>94</v>
      </c>
      <c r="AE271" s="11">
        <v>94</v>
      </c>
      <c r="AF271" s="4">
        <f t="shared" si="65"/>
        <v>1</v>
      </c>
      <c r="AG271" s="11">
        <v>20</v>
      </c>
      <c r="AH271" s="5" t="s">
        <v>362</v>
      </c>
      <c r="AI271" s="5" t="s">
        <v>362</v>
      </c>
      <c r="AJ271" s="5" t="s">
        <v>362</v>
      </c>
      <c r="AK271" s="5" t="s">
        <v>362</v>
      </c>
      <c r="AL271" s="5" t="s">
        <v>362</v>
      </c>
      <c r="AM271" s="5" t="s">
        <v>362</v>
      </c>
      <c r="AN271" s="5" t="s">
        <v>362</v>
      </c>
      <c r="AO271" s="5" t="s">
        <v>362</v>
      </c>
      <c r="AP271" s="44">
        <f t="shared" si="73"/>
        <v>0.63956916099773242</v>
      </c>
      <c r="AQ271" s="45">
        <v>627</v>
      </c>
      <c r="AR271" s="35">
        <f t="shared" si="66"/>
        <v>171</v>
      </c>
      <c r="AS271" s="35">
        <f t="shared" si="67"/>
        <v>109.4</v>
      </c>
      <c r="AT271" s="35">
        <f t="shared" si="68"/>
        <v>-61.599999999999994</v>
      </c>
      <c r="AU271" s="35">
        <v>32.200000000000003</v>
      </c>
      <c r="AV271" s="35">
        <v>27.9</v>
      </c>
      <c r="AW271" s="35">
        <f t="shared" si="69"/>
        <v>49.3</v>
      </c>
      <c r="AX271" s="35"/>
      <c r="AY271" s="35">
        <f t="shared" si="70"/>
        <v>49.3</v>
      </c>
      <c r="AZ271" s="35">
        <v>0</v>
      </c>
      <c r="BA271" s="35">
        <f t="shared" si="71"/>
        <v>49.3</v>
      </c>
      <c r="BB271" s="35"/>
      <c r="BC271" s="35">
        <f t="shared" si="72"/>
        <v>49.3</v>
      </c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10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10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10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10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10"/>
      <c r="GZ271" s="9"/>
      <c r="HA271" s="9"/>
    </row>
    <row r="272" spans="1:209" s="2" customFormat="1" ht="17" customHeight="1">
      <c r="A272" s="14" t="s">
        <v>268</v>
      </c>
      <c r="B272" s="35">
        <v>0</v>
      </c>
      <c r="C272" s="35">
        <v>0</v>
      </c>
      <c r="D272" s="4">
        <f t="shared" si="61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388.7</v>
      </c>
      <c r="O272" s="35">
        <v>379.8</v>
      </c>
      <c r="P272" s="4">
        <f t="shared" si="62"/>
        <v>0.97710316439413436</v>
      </c>
      <c r="Q272" s="11">
        <v>20</v>
      </c>
      <c r="R272" s="35">
        <v>6</v>
      </c>
      <c r="S272" s="35">
        <v>6.1</v>
      </c>
      <c r="T272" s="4">
        <f t="shared" si="63"/>
        <v>1.0166666666666666</v>
      </c>
      <c r="U272" s="11">
        <v>15</v>
      </c>
      <c r="V272" s="35">
        <v>4</v>
      </c>
      <c r="W272" s="35">
        <v>4.3</v>
      </c>
      <c r="X272" s="4">
        <f t="shared" si="64"/>
        <v>1.075</v>
      </c>
      <c r="Y272" s="11">
        <v>35</v>
      </c>
      <c r="Z272" s="11" t="s">
        <v>385</v>
      </c>
      <c r="AA272" s="11" t="s">
        <v>385</v>
      </c>
      <c r="AB272" s="11" t="s">
        <v>385</v>
      </c>
      <c r="AC272" s="11" t="s">
        <v>385</v>
      </c>
      <c r="AD272" s="11">
        <v>196</v>
      </c>
      <c r="AE272" s="11">
        <v>270</v>
      </c>
      <c r="AF272" s="4">
        <f t="shared" si="65"/>
        <v>1.2177551020408164</v>
      </c>
      <c r="AG272" s="11">
        <v>20</v>
      </c>
      <c r="AH272" s="5" t="s">
        <v>362</v>
      </c>
      <c r="AI272" s="5" t="s">
        <v>362</v>
      </c>
      <c r="AJ272" s="5" t="s">
        <v>362</v>
      </c>
      <c r="AK272" s="5" t="s">
        <v>362</v>
      </c>
      <c r="AL272" s="5" t="s">
        <v>362</v>
      </c>
      <c r="AM272" s="5" t="s">
        <v>362</v>
      </c>
      <c r="AN272" s="5" t="s">
        <v>362</v>
      </c>
      <c r="AO272" s="5" t="s">
        <v>362</v>
      </c>
      <c r="AP272" s="44">
        <f t="shared" si="73"/>
        <v>1.075246281429989</v>
      </c>
      <c r="AQ272" s="45">
        <v>743</v>
      </c>
      <c r="AR272" s="35">
        <f t="shared" si="66"/>
        <v>202.63636363636363</v>
      </c>
      <c r="AS272" s="35">
        <f t="shared" si="67"/>
        <v>217.9</v>
      </c>
      <c r="AT272" s="35">
        <f t="shared" si="68"/>
        <v>15.26363636363638</v>
      </c>
      <c r="AU272" s="35">
        <v>63</v>
      </c>
      <c r="AV272" s="35">
        <v>74.3</v>
      </c>
      <c r="AW272" s="35">
        <f t="shared" si="69"/>
        <v>80.599999999999994</v>
      </c>
      <c r="AX272" s="35"/>
      <c r="AY272" s="35">
        <f t="shared" si="70"/>
        <v>80.599999999999994</v>
      </c>
      <c r="AZ272" s="35">
        <v>0</v>
      </c>
      <c r="BA272" s="35">
        <f t="shared" si="71"/>
        <v>80.599999999999994</v>
      </c>
      <c r="BB272" s="35"/>
      <c r="BC272" s="35">
        <f t="shared" si="72"/>
        <v>80.599999999999994</v>
      </c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10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10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10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10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10"/>
      <c r="GZ272" s="9"/>
      <c r="HA272" s="9"/>
    </row>
    <row r="273" spans="1:209" s="2" customFormat="1" ht="17" customHeight="1">
      <c r="A273" s="14" t="s">
        <v>269</v>
      </c>
      <c r="B273" s="35">
        <v>0</v>
      </c>
      <c r="C273" s="35">
        <v>0</v>
      </c>
      <c r="D273" s="4">
        <f t="shared" si="61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177.9</v>
      </c>
      <c r="O273" s="35">
        <v>103.8</v>
      </c>
      <c r="P273" s="4">
        <f t="shared" si="62"/>
        <v>0.58347386172006743</v>
      </c>
      <c r="Q273" s="11">
        <v>20</v>
      </c>
      <c r="R273" s="35">
        <v>28</v>
      </c>
      <c r="S273" s="35">
        <v>28.4</v>
      </c>
      <c r="T273" s="4">
        <f t="shared" si="63"/>
        <v>1.0142857142857142</v>
      </c>
      <c r="U273" s="11">
        <v>25</v>
      </c>
      <c r="V273" s="35">
        <v>3.6</v>
      </c>
      <c r="W273" s="35">
        <v>3.7</v>
      </c>
      <c r="X273" s="4">
        <f t="shared" si="64"/>
        <v>1.0277777777777779</v>
      </c>
      <c r="Y273" s="11">
        <v>25</v>
      </c>
      <c r="Z273" s="11" t="s">
        <v>385</v>
      </c>
      <c r="AA273" s="11" t="s">
        <v>385</v>
      </c>
      <c r="AB273" s="11" t="s">
        <v>385</v>
      </c>
      <c r="AC273" s="11" t="s">
        <v>385</v>
      </c>
      <c r="AD273" s="11">
        <v>244</v>
      </c>
      <c r="AE273" s="11">
        <v>245</v>
      </c>
      <c r="AF273" s="4">
        <f t="shared" si="65"/>
        <v>1.0040983606557377</v>
      </c>
      <c r="AG273" s="11">
        <v>20</v>
      </c>
      <c r="AH273" s="5" t="s">
        <v>362</v>
      </c>
      <c r="AI273" s="5" t="s">
        <v>362</v>
      </c>
      <c r="AJ273" s="5" t="s">
        <v>362</v>
      </c>
      <c r="AK273" s="5" t="s">
        <v>362</v>
      </c>
      <c r="AL273" s="5" t="s">
        <v>362</v>
      </c>
      <c r="AM273" s="5" t="s">
        <v>362</v>
      </c>
      <c r="AN273" s="5" t="s">
        <v>362</v>
      </c>
      <c r="AO273" s="5" t="s">
        <v>362</v>
      </c>
      <c r="AP273" s="44">
        <f t="shared" si="73"/>
        <v>0.92003368610114888</v>
      </c>
      <c r="AQ273" s="45">
        <v>740</v>
      </c>
      <c r="AR273" s="35">
        <f t="shared" si="66"/>
        <v>201.81818181818181</v>
      </c>
      <c r="AS273" s="35">
        <f t="shared" si="67"/>
        <v>185.7</v>
      </c>
      <c r="AT273" s="35">
        <f t="shared" si="68"/>
        <v>-16.118181818181824</v>
      </c>
      <c r="AU273" s="35">
        <v>55.6</v>
      </c>
      <c r="AV273" s="35">
        <v>71.599999999999994</v>
      </c>
      <c r="AW273" s="35">
        <f t="shared" si="69"/>
        <v>58.5</v>
      </c>
      <c r="AX273" s="35"/>
      <c r="AY273" s="35">
        <f t="shared" si="70"/>
        <v>58.5</v>
      </c>
      <c r="AZ273" s="35">
        <v>0</v>
      </c>
      <c r="BA273" s="35">
        <f t="shared" si="71"/>
        <v>58.5</v>
      </c>
      <c r="BB273" s="35"/>
      <c r="BC273" s="35">
        <f t="shared" si="72"/>
        <v>58.5</v>
      </c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10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10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10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10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10"/>
      <c r="GZ273" s="9"/>
      <c r="HA273" s="9"/>
    </row>
    <row r="274" spans="1:209" s="2" customFormat="1" ht="17" customHeight="1">
      <c r="A274" s="14" t="s">
        <v>270</v>
      </c>
      <c r="B274" s="35">
        <v>0</v>
      </c>
      <c r="C274" s="35">
        <v>0</v>
      </c>
      <c r="D274" s="4">
        <f t="shared" si="61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728.5</v>
      </c>
      <c r="O274" s="35">
        <v>318.7</v>
      </c>
      <c r="P274" s="4">
        <f t="shared" si="62"/>
        <v>0.43747426218256691</v>
      </c>
      <c r="Q274" s="11">
        <v>20</v>
      </c>
      <c r="R274" s="35">
        <v>12</v>
      </c>
      <c r="S274" s="35">
        <v>12</v>
      </c>
      <c r="T274" s="4">
        <f t="shared" si="63"/>
        <v>1</v>
      </c>
      <c r="U274" s="11">
        <v>20</v>
      </c>
      <c r="V274" s="35">
        <v>5.5</v>
      </c>
      <c r="W274" s="35">
        <v>5.9</v>
      </c>
      <c r="X274" s="4">
        <f t="shared" si="64"/>
        <v>1.0727272727272728</v>
      </c>
      <c r="Y274" s="11">
        <v>30</v>
      </c>
      <c r="Z274" s="11" t="s">
        <v>385</v>
      </c>
      <c r="AA274" s="11" t="s">
        <v>385</v>
      </c>
      <c r="AB274" s="11" t="s">
        <v>385</v>
      </c>
      <c r="AC274" s="11" t="s">
        <v>385</v>
      </c>
      <c r="AD274" s="11">
        <v>104</v>
      </c>
      <c r="AE274" s="11">
        <v>104</v>
      </c>
      <c r="AF274" s="4">
        <f t="shared" si="65"/>
        <v>1</v>
      </c>
      <c r="AG274" s="11">
        <v>20</v>
      </c>
      <c r="AH274" s="5" t="s">
        <v>362</v>
      </c>
      <c r="AI274" s="5" t="s">
        <v>362</v>
      </c>
      <c r="AJ274" s="5" t="s">
        <v>362</v>
      </c>
      <c r="AK274" s="5" t="s">
        <v>362</v>
      </c>
      <c r="AL274" s="5" t="s">
        <v>362</v>
      </c>
      <c r="AM274" s="5" t="s">
        <v>362</v>
      </c>
      <c r="AN274" s="5" t="s">
        <v>362</v>
      </c>
      <c r="AO274" s="5" t="s">
        <v>362</v>
      </c>
      <c r="AP274" s="44">
        <f t="shared" si="73"/>
        <v>0.89923670472743911</v>
      </c>
      <c r="AQ274" s="45">
        <v>891</v>
      </c>
      <c r="AR274" s="35">
        <f t="shared" si="66"/>
        <v>243</v>
      </c>
      <c r="AS274" s="35">
        <f t="shared" si="67"/>
        <v>218.5</v>
      </c>
      <c r="AT274" s="35">
        <f t="shared" si="68"/>
        <v>-24.5</v>
      </c>
      <c r="AU274" s="35">
        <v>72.3</v>
      </c>
      <c r="AV274" s="35">
        <v>71.8</v>
      </c>
      <c r="AW274" s="35">
        <f t="shared" si="69"/>
        <v>74.400000000000006</v>
      </c>
      <c r="AX274" s="35"/>
      <c r="AY274" s="35">
        <f t="shared" si="70"/>
        <v>74.400000000000006</v>
      </c>
      <c r="AZ274" s="35">
        <v>0</v>
      </c>
      <c r="BA274" s="35">
        <f t="shared" si="71"/>
        <v>74.400000000000006</v>
      </c>
      <c r="BB274" s="35"/>
      <c r="BC274" s="35">
        <f t="shared" si="72"/>
        <v>74.400000000000006</v>
      </c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10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10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10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10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10"/>
      <c r="GZ274" s="9"/>
      <c r="HA274" s="9"/>
    </row>
    <row r="275" spans="1:209" s="2" customFormat="1" ht="17" customHeight="1">
      <c r="A275" s="14" t="s">
        <v>271</v>
      </c>
      <c r="B275" s="35">
        <v>24283</v>
      </c>
      <c r="C275" s="35">
        <v>26544.1</v>
      </c>
      <c r="D275" s="4">
        <f t="shared" si="61"/>
        <v>1.0931145245645102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4387.8999999999996</v>
      </c>
      <c r="O275" s="35">
        <v>4611.3</v>
      </c>
      <c r="P275" s="4">
        <f t="shared" si="62"/>
        <v>1.0509127373003033</v>
      </c>
      <c r="Q275" s="11">
        <v>20</v>
      </c>
      <c r="R275" s="35">
        <v>6</v>
      </c>
      <c r="S275" s="35">
        <v>6.2</v>
      </c>
      <c r="T275" s="4">
        <f t="shared" si="63"/>
        <v>1.0333333333333334</v>
      </c>
      <c r="U275" s="11">
        <v>15</v>
      </c>
      <c r="V275" s="35">
        <v>1.5</v>
      </c>
      <c r="W275" s="35">
        <v>1.6</v>
      </c>
      <c r="X275" s="4">
        <f t="shared" si="64"/>
        <v>1.0666666666666667</v>
      </c>
      <c r="Y275" s="11">
        <v>35</v>
      </c>
      <c r="Z275" s="11" t="s">
        <v>385</v>
      </c>
      <c r="AA275" s="11" t="s">
        <v>385</v>
      </c>
      <c r="AB275" s="11" t="s">
        <v>385</v>
      </c>
      <c r="AC275" s="11" t="s">
        <v>385</v>
      </c>
      <c r="AD275" s="11">
        <v>135</v>
      </c>
      <c r="AE275" s="11">
        <v>134</v>
      </c>
      <c r="AF275" s="4">
        <f t="shared" si="65"/>
        <v>0.99259259259259258</v>
      </c>
      <c r="AG275" s="11">
        <v>20</v>
      </c>
      <c r="AH275" s="5" t="s">
        <v>362</v>
      </c>
      <c r="AI275" s="5" t="s">
        <v>362</v>
      </c>
      <c r="AJ275" s="5" t="s">
        <v>362</v>
      </c>
      <c r="AK275" s="5" t="s">
        <v>362</v>
      </c>
      <c r="AL275" s="5" t="s">
        <v>362</v>
      </c>
      <c r="AM275" s="5" t="s">
        <v>362</v>
      </c>
      <c r="AN275" s="5" t="s">
        <v>362</v>
      </c>
      <c r="AO275" s="5" t="s">
        <v>362</v>
      </c>
      <c r="AP275" s="44">
        <f t="shared" si="73"/>
        <v>1.0463458517683635</v>
      </c>
      <c r="AQ275" s="45">
        <v>947</v>
      </c>
      <c r="AR275" s="35">
        <f t="shared" si="66"/>
        <v>258.27272727272725</v>
      </c>
      <c r="AS275" s="35">
        <f t="shared" si="67"/>
        <v>270.2</v>
      </c>
      <c r="AT275" s="35">
        <f t="shared" si="68"/>
        <v>11.927272727272737</v>
      </c>
      <c r="AU275" s="35">
        <v>83</v>
      </c>
      <c r="AV275" s="35">
        <v>93.1</v>
      </c>
      <c r="AW275" s="35">
        <f t="shared" si="69"/>
        <v>94.1</v>
      </c>
      <c r="AX275" s="35"/>
      <c r="AY275" s="35">
        <f t="shared" si="70"/>
        <v>94.1</v>
      </c>
      <c r="AZ275" s="35">
        <v>0</v>
      </c>
      <c r="BA275" s="35">
        <f t="shared" si="71"/>
        <v>94.1</v>
      </c>
      <c r="BB275" s="35">
        <f>MIN(BA275,43)</f>
        <v>43</v>
      </c>
      <c r="BC275" s="35">
        <f t="shared" si="72"/>
        <v>51.1</v>
      </c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10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10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10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10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10"/>
      <c r="GZ275" s="9"/>
      <c r="HA275" s="9"/>
    </row>
    <row r="276" spans="1:209" s="2" customFormat="1" ht="17" customHeight="1">
      <c r="A276" s="14" t="s">
        <v>272</v>
      </c>
      <c r="B276" s="35">
        <v>10625</v>
      </c>
      <c r="C276" s="35">
        <v>6687</v>
      </c>
      <c r="D276" s="4">
        <f t="shared" si="61"/>
        <v>0.62936470588235294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647.9</v>
      </c>
      <c r="O276" s="35">
        <v>576</v>
      </c>
      <c r="P276" s="4">
        <f t="shared" si="62"/>
        <v>0.88902608427226426</v>
      </c>
      <c r="Q276" s="11">
        <v>20</v>
      </c>
      <c r="R276" s="35">
        <v>0</v>
      </c>
      <c r="S276" s="35">
        <v>0</v>
      </c>
      <c r="T276" s="4">
        <f t="shared" si="63"/>
        <v>1</v>
      </c>
      <c r="U276" s="11">
        <v>25</v>
      </c>
      <c r="V276" s="35">
        <v>0.3</v>
      </c>
      <c r="W276" s="35">
        <v>0.3</v>
      </c>
      <c r="X276" s="4">
        <f t="shared" si="64"/>
        <v>1</v>
      </c>
      <c r="Y276" s="11">
        <v>25</v>
      </c>
      <c r="Z276" s="11" t="s">
        <v>385</v>
      </c>
      <c r="AA276" s="11" t="s">
        <v>385</v>
      </c>
      <c r="AB276" s="11" t="s">
        <v>385</v>
      </c>
      <c r="AC276" s="11" t="s">
        <v>385</v>
      </c>
      <c r="AD276" s="11">
        <v>45</v>
      </c>
      <c r="AE276" s="11">
        <v>45</v>
      </c>
      <c r="AF276" s="4">
        <f t="shared" si="65"/>
        <v>1</v>
      </c>
      <c r="AG276" s="11">
        <v>20</v>
      </c>
      <c r="AH276" s="5" t="s">
        <v>362</v>
      </c>
      <c r="AI276" s="5" t="s">
        <v>362</v>
      </c>
      <c r="AJ276" s="5" t="s">
        <v>362</v>
      </c>
      <c r="AK276" s="5" t="s">
        <v>362</v>
      </c>
      <c r="AL276" s="5" t="s">
        <v>362</v>
      </c>
      <c r="AM276" s="5" t="s">
        <v>362</v>
      </c>
      <c r="AN276" s="5" t="s">
        <v>362</v>
      </c>
      <c r="AO276" s="5" t="s">
        <v>362</v>
      </c>
      <c r="AP276" s="44">
        <f t="shared" si="73"/>
        <v>0.94074168744268816</v>
      </c>
      <c r="AQ276" s="45">
        <v>570</v>
      </c>
      <c r="AR276" s="35">
        <f t="shared" si="66"/>
        <v>155.45454545454547</v>
      </c>
      <c r="AS276" s="35">
        <f t="shared" si="67"/>
        <v>146.19999999999999</v>
      </c>
      <c r="AT276" s="35">
        <f t="shared" si="68"/>
        <v>-9.2545454545454788</v>
      </c>
      <c r="AU276" s="35">
        <v>38.1</v>
      </c>
      <c r="AV276" s="35">
        <v>30.8</v>
      </c>
      <c r="AW276" s="35">
        <f t="shared" si="69"/>
        <v>77.3</v>
      </c>
      <c r="AX276" s="35"/>
      <c r="AY276" s="35">
        <f t="shared" si="70"/>
        <v>77.3</v>
      </c>
      <c r="AZ276" s="35">
        <v>0</v>
      </c>
      <c r="BA276" s="35">
        <f t="shared" si="71"/>
        <v>77.3</v>
      </c>
      <c r="BB276" s="35">
        <f>MIN(BA276,25.9)</f>
        <v>25.9</v>
      </c>
      <c r="BC276" s="35">
        <f t="shared" si="72"/>
        <v>51.4</v>
      </c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10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10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10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10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10"/>
      <c r="GZ276" s="9"/>
      <c r="HA276" s="9"/>
    </row>
    <row r="277" spans="1:209" s="2" customFormat="1" ht="17" customHeight="1">
      <c r="A277" s="14" t="s">
        <v>273</v>
      </c>
      <c r="B277" s="35">
        <v>139059</v>
      </c>
      <c r="C277" s="35">
        <v>132713.9</v>
      </c>
      <c r="D277" s="4">
        <f t="shared" si="61"/>
        <v>0.95437116619564355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2135.6</v>
      </c>
      <c r="O277" s="35">
        <v>1743</v>
      </c>
      <c r="P277" s="4">
        <f t="shared" si="62"/>
        <v>0.81616407566960103</v>
      </c>
      <c r="Q277" s="11">
        <v>20</v>
      </c>
      <c r="R277" s="35">
        <v>10</v>
      </c>
      <c r="S277" s="35">
        <v>9.8000000000000007</v>
      </c>
      <c r="T277" s="4">
        <f t="shared" si="63"/>
        <v>0.98000000000000009</v>
      </c>
      <c r="U277" s="11">
        <v>5</v>
      </c>
      <c r="V277" s="35">
        <v>4.5</v>
      </c>
      <c r="W277" s="35">
        <v>5.8</v>
      </c>
      <c r="X277" s="4">
        <f t="shared" si="64"/>
        <v>1.2088888888888889</v>
      </c>
      <c r="Y277" s="11">
        <v>45</v>
      </c>
      <c r="Z277" s="11" t="s">
        <v>385</v>
      </c>
      <c r="AA277" s="11" t="s">
        <v>385</v>
      </c>
      <c r="AB277" s="11" t="s">
        <v>385</v>
      </c>
      <c r="AC277" s="11" t="s">
        <v>385</v>
      </c>
      <c r="AD277" s="11">
        <v>287</v>
      </c>
      <c r="AE277" s="11">
        <v>233</v>
      </c>
      <c r="AF277" s="4">
        <f t="shared" si="65"/>
        <v>0.81184668989547037</v>
      </c>
      <c r="AG277" s="11">
        <v>20</v>
      </c>
      <c r="AH277" s="5" t="s">
        <v>362</v>
      </c>
      <c r="AI277" s="5" t="s">
        <v>362</v>
      </c>
      <c r="AJ277" s="5" t="s">
        <v>362</v>
      </c>
      <c r="AK277" s="5" t="s">
        <v>362</v>
      </c>
      <c r="AL277" s="5" t="s">
        <v>362</v>
      </c>
      <c r="AM277" s="5" t="s">
        <v>362</v>
      </c>
      <c r="AN277" s="5" t="s">
        <v>362</v>
      </c>
      <c r="AO277" s="5" t="s">
        <v>362</v>
      </c>
      <c r="AP277" s="44">
        <f t="shared" si="73"/>
        <v>1.0140392697325789</v>
      </c>
      <c r="AQ277" s="45">
        <v>878</v>
      </c>
      <c r="AR277" s="35">
        <f t="shared" si="66"/>
        <v>239.45454545454544</v>
      </c>
      <c r="AS277" s="35">
        <f t="shared" si="67"/>
        <v>242.8</v>
      </c>
      <c r="AT277" s="35">
        <f t="shared" si="68"/>
        <v>3.3454545454545723</v>
      </c>
      <c r="AU277" s="35">
        <v>91.2</v>
      </c>
      <c r="AV277" s="35">
        <v>81.2</v>
      </c>
      <c r="AW277" s="35">
        <f t="shared" si="69"/>
        <v>70.400000000000006</v>
      </c>
      <c r="AX277" s="35"/>
      <c r="AY277" s="35">
        <f t="shared" si="70"/>
        <v>70.400000000000006</v>
      </c>
      <c r="AZ277" s="35">
        <v>0</v>
      </c>
      <c r="BA277" s="35">
        <f t="shared" si="71"/>
        <v>70.400000000000006</v>
      </c>
      <c r="BB277" s="35">
        <f>MIN(BA277,39.9)</f>
        <v>39.9</v>
      </c>
      <c r="BC277" s="35">
        <f t="shared" si="72"/>
        <v>30.5</v>
      </c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10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10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10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10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10"/>
      <c r="GZ277" s="9"/>
      <c r="HA277" s="9"/>
    </row>
    <row r="278" spans="1:209" s="2" customFormat="1" ht="17" customHeight="1">
      <c r="A278" s="14" t="s">
        <v>274</v>
      </c>
      <c r="B278" s="35">
        <v>171941</v>
      </c>
      <c r="C278" s="35">
        <v>176588.7</v>
      </c>
      <c r="D278" s="4">
        <f t="shared" si="61"/>
        <v>1.0270307838153785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8671.1</v>
      </c>
      <c r="O278" s="35">
        <v>10604.6</v>
      </c>
      <c r="P278" s="4">
        <f t="shared" si="62"/>
        <v>1.202298208993092</v>
      </c>
      <c r="Q278" s="11">
        <v>20</v>
      </c>
      <c r="R278" s="35">
        <v>0</v>
      </c>
      <c r="S278" s="35">
        <v>0</v>
      </c>
      <c r="T278" s="4">
        <f t="shared" si="63"/>
        <v>1</v>
      </c>
      <c r="U278" s="11">
        <v>10</v>
      </c>
      <c r="V278" s="35">
        <v>0.3</v>
      </c>
      <c r="W278" s="35">
        <v>0.4</v>
      </c>
      <c r="X278" s="4">
        <f t="shared" si="64"/>
        <v>1.2133333333333334</v>
      </c>
      <c r="Y278" s="11">
        <v>40</v>
      </c>
      <c r="Z278" s="11" t="s">
        <v>385</v>
      </c>
      <c r="AA278" s="11" t="s">
        <v>385</v>
      </c>
      <c r="AB278" s="11" t="s">
        <v>385</v>
      </c>
      <c r="AC278" s="11" t="s">
        <v>385</v>
      </c>
      <c r="AD278" s="11">
        <v>31</v>
      </c>
      <c r="AE278" s="11">
        <v>25</v>
      </c>
      <c r="AF278" s="4">
        <f t="shared" si="65"/>
        <v>0.80645161290322576</v>
      </c>
      <c r="AG278" s="11">
        <v>20</v>
      </c>
      <c r="AH278" s="5" t="s">
        <v>362</v>
      </c>
      <c r="AI278" s="5" t="s">
        <v>362</v>
      </c>
      <c r="AJ278" s="5" t="s">
        <v>362</v>
      </c>
      <c r="AK278" s="5" t="s">
        <v>362</v>
      </c>
      <c r="AL278" s="5" t="s">
        <v>362</v>
      </c>
      <c r="AM278" s="5" t="s">
        <v>362</v>
      </c>
      <c r="AN278" s="5" t="s">
        <v>362</v>
      </c>
      <c r="AO278" s="5" t="s">
        <v>362</v>
      </c>
      <c r="AP278" s="44">
        <f t="shared" si="73"/>
        <v>1.0897863760941346</v>
      </c>
      <c r="AQ278" s="45">
        <v>0</v>
      </c>
      <c r="AR278" s="35">
        <f t="shared" si="66"/>
        <v>0</v>
      </c>
      <c r="AS278" s="35">
        <f t="shared" si="67"/>
        <v>0</v>
      </c>
      <c r="AT278" s="35">
        <f t="shared" si="68"/>
        <v>0</v>
      </c>
      <c r="AU278" s="35">
        <v>0</v>
      </c>
      <c r="AV278" s="35">
        <v>0</v>
      </c>
      <c r="AW278" s="35">
        <f t="shared" si="69"/>
        <v>0</v>
      </c>
      <c r="AX278" s="35"/>
      <c r="AY278" s="35">
        <f t="shared" si="70"/>
        <v>0</v>
      </c>
      <c r="AZ278" s="35">
        <v>0</v>
      </c>
      <c r="BA278" s="35">
        <f t="shared" si="71"/>
        <v>0</v>
      </c>
      <c r="BB278" s="35"/>
      <c r="BC278" s="35">
        <f t="shared" si="72"/>
        <v>0</v>
      </c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10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10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10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10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10"/>
      <c r="GZ278" s="9"/>
      <c r="HA278" s="9"/>
    </row>
    <row r="279" spans="1:209" s="2" customFormat="1" ht="17" customHeight="1">
      <c r="A279" s="14" t="s">
        <v>167</v>
      </c>
      <c r="B279" s="35">
        <v>0</v>
      </c>
      <c r="C279" s="35">
        <v>0</v>
      </c>
      <c r="D279" s="4">
        <f t="shared" si="61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376</v>
      </c>
      <c r="O279" s="35">
        <v>543</v>
      </c>
      <c r="P279" s="4">
        <f t="shared" si="62"/>
        <v>1.2244148936170212</v>
      </c>
      <c r="Q279" s="11">
        <v>20</v>
      </c>
      <c r="R279" s="35">
        <v>218</v>
      </c>
      <c r="S279" s="35">
        <v>221.3</v>
      </c>
      <c r="T279" s="4">
        <f t="shared" si="63"/>
        <v>1.0151376146788991</v>
      </c>
      <c r="U279" s="11">
        <v>25</v>
      </c>
      <c r="V279" s="35">
        <v>10</v>
      </c>
      <c r="W279" s="35">
        <v>10.1</v>
      </c>
      <c r="X279" s="4">
        <f t="shared" si="64"/>
        <v>1.01</v>
      </c>
      <c r="Y279" s="11">
        <v>25</v>
      </c>
      <c r="Z279" s="11" t="s">
        <v>385</v>
      </c>
      <c r="AA279" s="11" t="s">
        <v>385</v>
      </c>
      <c r="AB279" s="11" t="s">
        <v>385</v>
      </c>
      <c r="AC279" s="11" t="s">
        <v>385</v>
      </c>
      <c r="AD279" s="11">
        <v>510</v>
      </c>
      <c r="AE279" s="11">
        <v>526</v>
      </c>
      <c r="AF279" s="4">
        <f t="shared" si="65"/>
        <v>1.031372549019608</v>
      </c>
      <c r="AG279" s="11">
        <v>20</v>
      </c>
      <c r="AH279" s="5" t="s">
        <v>362</v>
      </c>
      <c r="AI279" s="5" t="s">
        <v>362</v>
      </c>
      <c r="AJ279" s="5" t="s">
        <v>362</v>
      </c>
      <c r="AK279" s="5" t="s">
        <v>362</v>
      </c>
      <c r="AL279" s="5" t="s">
        <v>362</v>
      </c>
      <c r="AM279" s="5" t="s">
        <v>362</v>
      </c>
      <c r="AN279" s="5" t="s">
        <v>362</v>
      </c>
      <c r="AO279" s="5" t="s">
        <v>362</v>
      </c>
      <c r="AP279" s="44">
        <f t="shared" si="73"/>
        <v>1.0638243246633894</v>
      </c>
      <c r="AQ279" s="45">
        <v>857</v>
      </c>
      <c r="AR279" s="35">
        <f t="shared" si="66"/>
        <v>233.72727272727272</v>
      </c>
      <c r="AS279" s="35">
        <f t="shared" si="67"/>
        <v>248.6</v>
      </c>
      <c r="AT279" s="35">
        <f t="shared" si="68"/>
        <v>14.872727272727275</v>
      </c>
      <c r="AU279" s="35">
        <v>85.7</v>
      </c>
      <c r="AV279" s="35">
        <v>62.6</v>
      </c>
      <c r="AW279" s="35">
        <f t="shared" si="69"/>
        <v>100.3</v>
      </c>
      <c r="AX279" s="35"/>
      <c r="AY279" s="35">
        <f t="shared" si="70"/>
        <v>100.3</v>
      </c>
      <c r="AZ279" s="35">
        <v>0</v>
      </c>
      <c r="BA279" s="35">
        <f t="shared" si="71"/>
        <v>100.3</v>
      </c>
      <c r="BB279" s="35">
        <f>MIN(BA279,3.5)</f>
        <v>3.5</v>
      </c>
      <c r="BC279" s="35">
        <f t="shared" si="72"/>
        <v>96.8</v>
      </c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10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10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10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10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10"/>
      <c r="GZ279" s="9"/>
      <c r="HA279" s="9"/>
    </row>
    <row r="280" spans="1:209" s="2" customFormat="1" ht="17" customHeight="1">
      <c r="A280" s="18" t="s">
        <v>275</v>
      </c>
      <c r="B280" s="6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35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10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10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10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10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10"/>
      <c r="GZ280" s="9"/>
      <c r="HA280" s="9"/>
    </row>
    <row r="281" spans="1:209" s="2" customFormat="1" ht="17" customHeight="1">
      <c r="A281" s="46" t="s">
        <v>71</v>
      </c>
      <c r="B281" s="35">
        <v>286134</v>
      </c>
      <c r="C281" s="35">
        <v>255562</v>
      </c>
      <c r="D281" s="4">
        <f t="shared" si="61"/>
        <v>0.89315495537056067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953.5</v>
      </c>
      <c r="O281" s="35">
        <v>592.5</v>
      </c>
      <c r="P281" s="4">
        <f t="shared" si="62"/>
        <v>0.62139486103828001</v>
      </c>
      <c r="Q281" s="11">
        <v>20</v>
      </c>
      <c r="R281" s="35">
        <v>0</v>
      </c>
      <c r="S281" s="35">
        <v>0</v>
      </c>
      <c r="T281" s="4">
        <f t="shared" si="63"/>
        <v>1</v>
      </c>
      <c r="U281" s="11">
        <v>5</v>
      </c>
      <c r="V281" s="35">
        <v>3150</v>
      </c>
      <c r="W281" s="35">
        <v>3458.3</v>
      </c>
      <c r="X281" s="4">
        <f t="shared" si="64"/>
        <v>1.0978730158730159</v>
      </c>
      <c r="Y281" s="11">
        <v>45</v>
      </c>
      <c r="Z281" s="11" t="s">
        <v>385</v>
      </c>
      <c r="AA281" s="11" t="s">
        <v>385</v>
      </c>
      <c r="AB281" s="11" t="s">
        <v>385</v>
      </c>
      <c r="AC281" s="11" t="s">
        <v>385</v>
      </c>
      <c r="AD281" s="11">
        <v>51</v>
      </c>
      <c r="AE281" s="11">
        <v>26</v>
      </c>
      <c r="AF281" s="4">
        <f t="shared" si="65"/>
        <v>0.50980392156862742</v>
      </c>
      <c r="AG281" s="11">
        <v>20</v>
      </c>
      <c r="AH281" s="5" t="s">
        <v>362</v>
      </c>
      <c r="AI281" s="5" t="s">
        <v>362</v>
      </c>
      <c r="AJ281" s="5" t="s">
        <v>362</v>
      </c>
      <c r="AK281" s="5" t="s">
        <v>362</v>
      </c>
      <c r="AL281" s="5" t="s">
        <v>362</v>
      </c>
      <c r="AM281" s="5" t="s">
        <v>362</v>
      </c>
      <c r="AN281" s="5" t="s">
        <v>362</v>
      </c>
      <c r="AO281" s="5" t="s">
        <v>362</v>
      </c>
      <c r="AP281" s="44">
        <f t="shared" si="73"/>
        <v>0.85959810920129454</v>
      </c>
      <c r="AQ281" s="45">
        <v>579</v>
      </c>
      <c r="AR281" s="35">
        <f t="shared" si="66"/>
        <v>157.90909090909091</v>
      </c>
      <c r="AS281" s="35">
        <f t="shared" si="67"/>
        <v>135.69999999999999</v>
      </c>
      <c r="AT281" s="35">
        <f t="shared" si="68"/>
        <v>-22.209090909090918</v>
      </c>
      <c r="AU281" s="35">
        <v>53.4</v>
      </c>
      <c r="AV281" s="35">
        <v>56.7</v>
      </c>
      <c r="AW281" s="35">
        <f t="shared" si="69"/>
        <v>25.6</v>
      </c>
      <c r="AX281" s="35"/>
      <c r="AY281" s="35">
        <f t="shared" si="70"/>
        <v>25.6</v>
      </c>
      <c r="AZ281" s="35">
        <v>0</v>
      </c>
      <c r="BA281" s="35">
        <f t="shared" si="71"/>
        <v>25.6</v>
      </c>
      <c r="BB281" s="35">
        <f>MIN(BA281,2.3)</f>
        <v>2.2999999999999998</v>
      </c>
      <c r="BC281" s="35">
        <f t="shared" si="72"/>
        <v>23.3</v>
      </c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10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10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10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10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10"/>
      <c r="GZ281" s="9"/>
      <c r="HA281" s="9"/>
    </row>
    <row r="282" spans="1:209" s="2" customFormat="1" ht="17" customHeight="1">
      <c r="A282" s="46" t="s">
        <v>276</v>
      </c>
      <c r="B282" s="35">
        <v>0</v>
      </c>
      <c r="C282" s="35">
        <v>366</v>
      </c>
      <c r="D282" s="4">
        <f t="shared" si="61"/>
        <v>1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82.1</v>
      </c>
      <c r="O282" s="35">
        <v>127.1</v>
      </c>
      <c r="P282" s="4">
        <f t="shared" si="62"/>
        <v>1.2348112058465286</v>
      </c>
      <c r="Q282" s="11">
        <v>20</v>
      </c>
      <c r="R282" s="35">
        <v>0</v>
      </c>
      <c r="S282" s="35">
        <v>0</v>
      </c>
      <c r="T282" s="4">
        <f t="shared" si="63"/>
        <v>1</v>
      </c>
      <c r="U282" s="11">
        <v>20</v>
      </c>
      <c r="V282" s="35">
        <v>0</v>
      </c>
      <c r="W282" s="35">
        <v>0</v>
      </c>
      <c r="X282" s="4">
        <f t="shared" si="64"/>
        <v>1</v>
      </c>
      <c r="Y282" s="11">
        <v>30</v>
      </c>
      <c r="Z282" s="11" t="s">
        <v>385</v>
      </c>
      <c r="AA282" s="11" t="s">
        <v>385</v>
      </c>
      <c r="AB282" s="11" t="s">
        <v>385</v>
      </c>
      <c r="AC282" s="11" t="s">
        <v>385</v>
      </c>
      <c r="AD282" s="11">
        <v>44</v>
      </c>
      <c r="AE282" s="11">
        <v>50</v>
      </c>
      <c r="AF282" s="4">
        <f t="shared" si="65"/>
        <v>1.1363636363636365</v>
      </c>
      <c r="AG282" s="11">
        <v>20</v>
      </c>
      <c r="AH282" s="5" t="s">
        <v>362</v>
      </c>
      <c r="AI282" s="5" t="s">
        <v>362</v>
      </c>
      <c r="AJ282" s="5" t="s">
        <v>362</v>
      </c>
      <c r="AK282" s="5" t="s">
        <v>362</v>
      </c>
      <c r="AL282" s="5" t="s">
        <v>362</v>
      </c>
      <c r="AM282" s="5" t="s">
        <v>362</v>
      </c>
      <c r="AN282" s="5" t="s">
        <v>362</v>
      </c>
      <c r="AO282" s="5" t="s">
        <v>362</v>
      </c>
      <c r="AP282" s="44">
        <f t="shared" si="73"/>
        <v>1.0742349684420331</v>
      </c>
      <c r="AQ282" s="45">
        <v>561</v>
      </c>
      <c r="AR282" s="35">
        <f t="shared" si="66"/>
        <v>153</v>
      </c>
      <c r="AS282" s="35">
        <f t="shared" si="67"/>
        <v>164.4</v>
      </c>
      <c r="AT282" s="35">
        <f t="shared" si="68"/>
        <v>11.400000000000006</v>
      </c>
      <c r="AU282" s="35">
        <v>45.9</v>
      </c>
      <c r="AV282" s="35">
        <v>54.8</v>
      </c>
      <c r="AW282" s="35">
        <f t="shared" si="69"/>
        <v>63.7</v>
      </c>
      <c r="AX282" s="35"/>
      <c r="AY282" s="35">
        <f t="shared" si="70"/>
        <v>63.7</v>
      </c>
      <c r="AZ282" s="35">
        <v>0</v>
      </c>
      <c r="BA282" s="35">
        <f t="shared" si="71"/>
        <v>63.7</v>
      </c>
      <c r="BB282" s="35"/>
      <c r="BC282" s="35">
        <f t="shared" si="72"/>
        <v>63.7</v>
      </c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10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10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10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10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10"/>
      <c r="GZ282" s="9"/>
      <c r="HA282" s="9"/>
    </row>
    <row r="283" spans="1:209" s="2" customFormat="1" ht="17" customHeight="1">
      <c r="A283" s="46" t="s">
        <v>277</v>
      </c>
      <c r="B283" s="35">
        <v>0</v>
      </c>
      <c r="C283" s="35">
        <v>0</v>
      </c>
      <c r="D283" s="4">
        <f t="shared" si="61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946.1</v>
      </c>
      <c r="O283" s="35">
        <v>586.1</v>
      </c>
      <c r="P283" s="4">
        <f t="shared" si="62"/>
        <v>0.61949054011203886</v>
      </c>
      <c r="Q283" s="11">
        <v>20</v>
      </c>
      <c r="R283" s="35">
        <v>0</v>
      </c>
      <c r="S283" s="35">
        <v>0</v>
      </c>
      <c r="T283" s="4">
        <f t="shared" si="63"/>
        <v>1</v>
      </c>
      <c r="U283" s="11">
        <v>25</v>
      </c>
      <c r="V283" s="35">
        <v>0</v>
      </c>
      <c r="W283" s="35">
        <v>0</v>
      </c>
      <c r="X283" s="4">
        <f t="shared" si="64"/>
        <v>1</v>
      </c>
      <c r="Y283" s="11">
        <v>25</v>
      </c>
      <c r="Z283" s="11" t="s">
        <v>385</v>
      </c>
      <c r="AA283" s="11" t="s">
        <v>385</v>
      </c>
      <c r="AB283" s="11" t="s">
        <v>385</v>
      </c>
      <c r="AC283" s="11" t="s">
        <v>385</v>
      </c>
      <c r="AD283" s="11">
        <v>111</v>
      </c>
      <c r="AE283" s="11">
        <v>115</v>
      </c>
      <c r="AF283" s="4">
        <f t="shared" si="65"/>
        <v>1.0360360360360361</v>
      </c>
      <c r="AG283" s="11">
        <v>20</v>
      </c>
      <c r="AH283" s="5" t="s">
        <v>362</v>
      </c>
      <c r="AI283" s="5" t="s">
        <v>362</v>
      </c>
      <c r="AJ283" s="5" t="s">
        <v>362</v>
      </c>
      <c r="AK283" s="5" t="s">
        <v>362</v>
      </c>
      <c r="AL283" s="5" t="s">
        <v>362</v>
      </c>
      <c r="AM283" s="5" t="s">
        <v>362</v>
      </c>
      <c r="AN283" s="5" t="s">
        <v>362</v>
      </c>
      <c r="AO283" s="5" t="s">
        <v>362</v>
      </c>
      <c r="AP283" s="44">
        <f t="shared" si="73"/>
        <v>0.92345035025512767</v>
      </c>
      <c r="AQ283" s="45">
        <v>477</v>
      </c>
      <c r="AR283" s="35">
        <f t="shared" si="66"/>
        <v>130.09090909090909</v>
      </c>
      <c r="AS283" s="35">
        <f t="shared" si="67"/>
        <v>120.1</v>
      </c>
      <c r="AT283" s="35">
        <f t="shared" si="68"/>
        <v>-9.9909090909090992</v>
      </c>
      <c r="AU283" s="35">
        <v>47.1</v>
      </c>
      <c r="AV283" s="35">
        <v>31.9</v>
      </c>
      <c r="AW283" s="35">
        <f t="shared" si="69"/>
        <v>41.1</v>
      </c>
      <c r="AX283" s="35"/>
      <c r="AY283" s="35">
        <f t="shared" si="70"/>
        <v>41.1</v>
      </c>
      <c r="AZ283" s="35">
        <v>0</v>
      </c>
      <c r="BA283" s="35">
        <f t="shared" si="71"/>
        <v>41.1</v>
      </c>
      <c r="BB283" s="35"/>
      <c r="BC283" s="35">
        <f t="shared" si="72"/>
        <v>41.1</v>
      </c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10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10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10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10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10"/>
      <c r="GZ283" s="9"/>
      <c r="HA283" s="9"/>
    </row>
    <row r="284" spans="1:209" s="2" customFormat="1" ht="17" customHeight="1">
      <c r="A284" s="46" t="s">
        <v>53</v>
      </c>
      <c r="B284" s="35">
        <v>3479238</v>
      </c>
      <c r="C284" s="35">
        <v>2192537.4</v>
      </c>
      <c r="D284" s="4">
        <f t="shared" si="61"/>
        <v>0.63017746989426993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9035.2999999999993</v>
      </c>
      <c r="O284" s="35">
        <v>7011.1</v>
      </c>
      <c r="P284" s="4">
        <f t="shared" si="62"/>
        <v>0.77596759377109792</v>
      </c>
      <c r="Q284" s="11">
        <v>20</v>
      </c>
      <c r="R284" s="35">
        <v>880</v>
      </c>
      <c r="S284" s="35">
        <v>802.9</v>
      </c>
      <c r="T284" s="4">
        <f t="shared" si="63"/>
        <v>0.91238636363636361</v>
      </c>
      <c r="U284" s="11">
        <v>35</v>
      </c>
      <c r="V284" s="35">
        <v>0</v>
      </c>
      <c r="W284" s="35">
        <v>0</v>
      </c>
      <c r="X284" s="4">
        <f t="shared" si="64"/>
        <v>1</v>
      </c>
      <c r="Y284" s="11">
        <v>15</v>
      </c>
      <c r="Z284" s="11" t="s">
        <v>385</v>
      </c>
      <c r="AA284" s="11" t="s">
        <v>385</v>
      </c>
      <c r="AB284" s="11" t="s">
        <v>385</v>
      </c>
      <c r="AC284" s="11" t="s">
        <v>385</v>
      </c>
      <c r="AD284" s="11">
        <v>753</v>
      </c>
      <c r="AE284" s="11">
        <v>789</v>
      </c>
      <c r="AF284" s="4">
        <f t="shared" si="65"/>
        <v>1.047808764940239</v>
      </c>
      <c r="AG284" s="11">
        <v>20</v>
      </c>
      <c r="AH284" s="5" t="s">
        <v>362</v>
      </c>
      <c r="AI284" s="5" t="s">
        <v>362</v>
      </c>
      <c r="AJ284" s="5" t="s">
        <v>362</v>
      </c>
      <c r="AK284" s="5" t="s">
        <v>362</v>
      </c>
      <c r="AL284" s="5" t="s">
        <v>362</v>
      </c>
      <c r="AM284" s="5" t="s">
        <v>362</v>
      </c>
      <c r="AN284" s="5" t="s">
        <v>362</v>
      </c>
      <c r="AO284" s="5" t="s">
        <v>362</v>
      </c>
      <c r="AP284" s="44">
        <f t="shared" si="73"/>
        <v>0.89710824600442163</v>
      </c>
      <c r="AQ284" s="45">
        <v>62</v>
      </c>
      <c r="AR284" s="35">
        <f t="shared" si="66"/>
        <v>16.90909090909091</v>
      </c>
      <c r="AS284" s="35">
        <f t="shared" si="67"/>
        <v>15.2</v>
      </c>
      <c r="AT284" s="35">
        <f t="shared" si="68"/>
        <v>-1.7090909090909108</v>
      </c>
      <c r="AU284" s="35">
        <v>5.0999999999999996</v>
      </c>
      <c r="AV284" s="35">
        <v>4.5</v>
      </c>
      <c r="AW284" s="35">
        <f t="shared" si="69"/>
        <v>5.6</v>
      </c>
      <c r="AX284" s="35"/>
      <c r="AY284" s="35">
        <f t="shared" si="70"/>
        <v>5.6</v>
      </c>
      <c r="AZ284" s="35">
        <v>0</v>
      </c>
      <c r="BA284" s="35">
        <f t="shared" si="71"/>
        <v>5.6</v>
      </c>
      <c r="BB284" s="35"/>
      <c r="BC284" s="35">
        <f t="shared" si="72"/>
        <v>5.6</v>
      </c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10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10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10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10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10"/>
      <c r="GZ284" s="9"/>
      <c r="HA284" s="9"/>
    </row>
    <row r="285" spans="1:209" s="2" customFormat="1" ht="17" customHeight="1">
      <c r="A285" s="46" t="s">
        <v>278</v>
      </c>
      <c r="B285" s="35">
        <v>824</v>
      </c>
      <c r="C285" s="35">
        <v>842.3</v>
      </c>
      <c r="D285" s="4">
        <f t="shared" si="61"/>
        <v>1.0222087378640776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501.4</v>
      </c>
      <c r="O285" s="35">
        <v>338.2</v>
      </c>
      <c r="P285" s="4">
        <f t="shared" si="62"/>
        <v>0.67451136816912649</v>
      </c>
      <c r="Q285" s="11">
        <v>20</v>
      </c>
      <c r="R285" s="35">
        <v>8</v>
      </c>
      <c r="S285" s="35">
        <v>0</v>
      </c>
      <c r="T285" s="4">
        <f t="shared" si="63"/>
        <v>0</v>
      </c>
      <c r="U285" s="11">
        <v>35</v>
      </c>
      <c r="V285" s="35">
        <v>0</v>
      </c>
      <c r="W285" s="35">
        <v>0</v>
      </c>
      <c r="X285" s="4">
        <f t="shared" si="64"/>
        <v>1</v>
      </c>
      <c r="Y285" s="11">
        <v>15</v>
      </c>
      <c r="Z285" s="11" t="s">
        <v>385</v>
      </c>
      <c r="AA285" s="11" t="s">
        <v>385</v>
      </c>
      <c r="AB285" s="11" t="s">
        <v>385</v>
      </c>
      <c r="AC285" s="11" t="s">
        <v>385</v>
      </c>
      <c r="AD285" s="11">
        <v>426</v>
      </c>
      <c r="AE285" s="11">
        <v>190</v>
      </c>
      <c r="AF285" s="4">
        <f t="shared" si="65"/>
        <v>0.4460093896713615</v>
      </c>
      <c r="AG285" s="11">
        <v>20</v>
      </c>
      <c r="AH285" s="5" t="s">
        <v>362</v>
      </c>
      <c r="AI285" s="5" t="s">
        <v>362</v>
      </c>
      <c r="AJ285" s="5" t="s">
        <v>362</v>
      </c>
      <c r="AK285" s="5" t="s">
        <v>362</v>
      </c>
      <c r="AL285" s="5" t="s">
        <v>362</v>
      </c>
      <c r="AM285" s="5" t="s">
        <v>362</v>
      </c>
      <c r="AN285" s="5" t="s">
        <v>362</v>
      </c>
      <c r="AO285" s="5" t="s">
        <v>362</v>
      </c>
      <c r="AP285" s="44">
        <f t="shared" si="73"/>
        <v>0.47632502535450544</v>
      </c>
      <c r="AQ285" s="45">
        <v>581</v>
      </c>
      <c r="AR285" s="35">
        <f t="shared" si="66"/>
        <v>158.45454545454547</v>
      </c>
      <c r="AS285" s="35">
        <f t="shared" si="67"/>
        <v>75.5</v>
      </c>
      <c r="AT285" s="35">
        <f t="shared" si="68"/>
        <v>-82.954545454545467</v>
      </c>
      <c r="AU285" s="35">
        <v>24</v>
      </c>
      <c r="AV285" s="35">
        <v>27.7</v>
      </c>
      <c r="AW285" s="35">
        <f t="shared" si="69"/>
        <v>23.8</v>
      </c>
      <c r="AX285" s="35"/>
      <c r="AY285" s="35">
        <f t="shared" si="70"/>
        <v>23.8</v>
      </c>
      <c r="AZ285" s="35">
        <v>0</v>
      </c>
      <c r="BA285" s="35">
        <f t="shared" si="71"/>
        <v>23.8</v>
      </c>
      <c r="BB285" s="35"/>
      <c r="BC285" s="35">
        <f t="shared" si="72"/>
        <v>23.8</v>
      </c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10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10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10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10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10"/>
      <c r="GZ285" s="9"/>
      <c r="HA285" s="9"/>
    </row>
    <row r="286" spans="1:209" s="2" customFormat="1" ht="17" customHeight="1">
      <c r="A286" s="46" t="s">
        <v>279</v>
      </c>
      <c r="B286" s="35">
        <v>0</v>
      </c>
      <c r="C286" s="35">
        <v>840</v>
      </c>
      <c r="D286" s="4">
        <f t="shared" si="61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1200</v>
      </c>
      <c r="O286" s="35">
        <v>450.9</v>
      </c>
      <c r="P286" s="4">
        <f t="shared" si="62"/>
        <v>0.37574999999999997</v>
      </c>
      <c r="Q286" s="11">
        <v>20</v>
      </c>
      <c r="R286" s="35">
        <v>390</v>
      </c>
      <c r="S286" s="35">
        <v>242.9</v>
      </c>
      <c r="T286" s="4">
        <f t="shared" si="63"/>
        <v>0.62282051282051287</v>
      </c>
      <c r="U286" s="11">
        <v>30</v>
      </c>
      <c r="V286" s="35">
        <v>0</v>
      </c>
      <c r="W286" s="35">
        <v>0</v>
      </c>
      <c r="X286" s="4">
        <f t="shared" si="64"/>
        <v>1</v>
      </c>
      <c r="Y286" s="11">
        <v>20</v>
      </c>
      <c r="Z286" s="11" t="s">
        <v>385</v>
      </c>
      <c r="AA286" s="11" t="s">
        <v>385</v>
      </c>
      <c r="AB286" s="11" t="s">
        <v>385</v>
      </c>
      <c r="AC286" s="11" t="s">
        <v>385</v>
      </c>
      <c r="AD286" s="11">
        <v>185</v>
      </c>
      <c r="AE286" s="11">
        <v>431</v>
      </c>
      <c r="AF286" s="4">
        <f t="shared" si="65"/>
        <v>1.3</v>
      </c>
      <c r="AG286" s="11">
        <v>20</v>
      </c>
      <c r="AH286" s="5" t="s">
        <v>362</v>
      </c>
      <c r="AI286" s="5" t="s">
        <v>362</v>
      </c>
      <c r="AJ286" s="5" t="s">
        <v>362</v>
      </c>
      <c r="AK286" s="5" t="s">
        <v>362</v>
      </c>
      <c r="AL286" s="5" t="s">
        <v>362</v>
      </c>
      <c r="AM286" s="5" t="s">
        <v>362</v>
      </c>
      <c r="AN286" s="5" t="s">
        <v>362</v>
      </c>
      <c r="AO286" s="5" t="s">
        <v>362</v>
      </c>
      <c r="AP286" s="44">
        <f t="shared" si="73"/>
        <v>0.80221794871794871</v>
      </c>
      <c r="AQ286" s="45">
        <v>926</v>
      </c>
      <c r="AR286" s="35">
        <f t="shared" si="66"/>
        <v>252.54545454545456</v>
      </c>
      <c r="AS286" s="35">
        <f t="shared" si="67"/>
        <v>202.6</v>
      </c>
      <c r="AT286" s="35">
        <f t="shared" si="68"/>
        <v>-49.945454545454567</v>
      </c>
      <c r="AU286" s="35">
        <v>64.099999999999994</v>
      </c>
      <c r="AV286" s="35">
        <v>57.6</v>
      </c>
      <c r="AW286" s="35">
        <f t="shared" si="69"/>
        <v>80.900000000000006</v>
      </c>
      <c r="AX286" s="35"/>
      <c r="AY286" s="35">
        <f t="shared" si="70"/>
        <v>80.900000000000006</v>
      </c>
      <c r="AZ286" s="35">
        <v>0</v>
      </c>
      <c r="BA286" s="35">
        <f t="shared" si="71"/>
        <v>80.900000000000006</v>
      </c>
      <c r="BB286" s="35">
        <f>MIN(BA286,42.1)</f>
        <v>42.1</v>
      </c>
      <c r="BC286" s="35">
        <f t="shared" si="72"/>
        <v>38.799999999999997</v>
      </c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10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10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10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10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10"/>
      <c r="GZ286" s="9"/>
      <c r="HA286" s="9"/>
    </row>
    <row r="287" spans="1:209" s="2" customFormat="1" ht="17" customHeight="1">
      <c r="A287" s="46" t="s">
        <v>280</v>
      </c>
      <c r="B287" s="35">
        <v>407</v>
      </c>
      <c r="C287" s="35">
        <v>180.1</v>
      </c>
      <c r="D287" s="4">
        <f t="shared" si="61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3245.1</v>
      </c>
      <c r="O287" s="35">
        <v>2217.9</v>
      </c>
      <c r="P287" s="4">
        <f t="shared" si="62"/>
        <v>0.68346121845243601</v>
      </c>
      <c r="Q287" s="11">
        <v>20</v>
      </c>
      <c r="R287" s="35">
        <v>0</v>
      </c>
      <c r="S287" s="35">
        <v>0</v>
      </c>
      <c r="T287" s="4">
        <f t="shared" si="63"/>
        <v>1</v>
      </c>
      <c r="U287" s="11">
        <v>35</v>
      </c>
      <c r="V287" s="35">
        <v>0</v>
      </c>
      <c r="W287" s="35">
        <v>0</v>
      </c>
      <c r="X287" s="4">
        <f t="shared" si="64"/>
        <v>1</v>
      </c>
      <c r="Y287" s="11">
        <v>15</v>
      </c>
      <c r="Z287" s="11" t="s">
        <v>385</v>
      </c>
      <c r="AA287" s="11" t="s">
        <v>385</v>
      </c>
      <c r="AB287" s="11" t="s">
        <v>385</v>
      </c>
      <c r="AC287" s="11" t="s">
        <v>385</v>
      </c>
      <c r="AD287" s="11">
        <v>121</v>
      </c>
      <c r="AE287" s="11">
        <v>109</v>
      </c>
      <c r="AF287" s="4">
        <f t="shared" si="65"/>
        <v>0.90082644628099173</v>
      </c>
      <c r="AG287" s="11">
        <v>20</v>
      </c>
      <c r="AH287" s="5" t="s">
        <v>362</v>
      </c>
      <c r="AI287" s="5" t="s">
        <v>362</v>
      </c>
      <c r="AJ287" s="5" t="s">
        <v>362</v>
      </c>
      <c r="AK287" s="5" t="s">
        <v>362</v>
      </c>
      <c r="AL287" s="5" t="s">
        <v>362</v>
      </c>
      <c r="AM287" s="5" t="s">
        <v>362</v>
      </c>
      <c r="AN287" s="5" t="s">
        <v>362</v>
      </c>
      <c r="AO287" s="5" t="s">
        <v>362</v>
      </c>
      <c r="AP287" s="44">
        <f t="shared" si="73"/>
        <v>0.90761948105187285</v>
      </c>
      <c r="AQ287" s="45">
        <v>118</v>
      </c>
      <c r="AR287" s="35">
        <f t="shared" si="66"/>
        <v>32.18181818181818</v>
      </c>
      <c r="AS287" s="35">
        <f t="shared" si="67"/>
        <v>29.2</v>
      </c>
      <c r="AT287" s="35">
        <f t="shared" si="68"/>
        <v>-2.9818181818181806</v>
      </c>
      <c r="AU287" s="35">
        <v>10</v>
      </c>
      <c r="AV287" s="35">
        <v>9.8000000000000007</v>
      </c>
      <c r="AW287" s="35">
        <f t="shared" si="69"/>
        <v>9.4</v>
      </c>
      <c r="AX287" s="35"/>
      <c r="AY287" s="35">
        <f t="shared" si="70"/>
        <v>9.4</v>
      </c>
      <c r="AZ287" s="35">
        <v>0</v>
      </c>
      <c r="BA287" s="35">
        <f t="shared" si="71"/>
        <v>9.4</v>
      </c>
      <c r="BB287" s="35"/>
      <c r="BC287" s="35">
        <f t="shared" si="72"/>
        <v>9.4</v>
      </c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10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10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10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10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10"/>
      <c r="GZ287" s="9"/>
      <c r="HA287" s="9"/>
    </row>
    <row r="288" spans="1:209" s="2" customFormat="1" ht="17" customHeight="1">
      <c r="A288" s="46" t="s">
        <v>281</v>
      </c>
      <c r="B288" s="35">
        <v>0</v>
      </c>
      <c r="C288" s="35">
        <v>0</v>
      </c>
      <c r="D288" s="4">
        <f t="shared" si="61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416</v>
      </c>
      <c r="O288" s="35">
        <v>658.5</v>
      </c>
      <c r="P288" s="4">
        <f t="shared" si="62"/>
        <v>1.2382932692307691</v>
      </c>
      <c r="Q288" s="11">
        <v>20</v>
      </c>
      <c r="R288" s="35">
        <v>360</v>
      </c>
      <c r="S288" s="35">
        <v>395.5</v>
      </c>
      <c r="T288" s="4">
        <f t="shared" si="63"/>
        <v>1.0986111111111112</v>
      </c>
      <c r="U288" s="11">
        <v>40</v>
      </c>
      <c r="V288" s="35">
        <v>0</v>
      </c>
      <c r="W288" s="35">
        <v>0</v>
      </c>
      <c r="X288" s="4">
        <f t="shared" si="64"/>
        <v>1</v>
      </c>
      <c r="Y288" s="11">
        <v>10</v>
      </c>
      <c r="Z288" s="11" t="s">
        <v>385</v>
      </c>
      <c r="AA288" s="11" t="s">
        <v>385</v>
      </c>
      <c r="AB288" s="11" t="s">
        <v>385</v>
      </c>
      <c r="AC288" s="11" t="s">
        <v>385</v>
      </c>
      <c r="AD288" s="11">
        <v>518</v>
      </c>
      <c r="AE288" s="11">
        <v>534</v>
      </c>
      <c r="AF288" s="4">
        <f t="shared" si="65"/>
        <v>1.0308880308880308</v>
      </c>
      <c r="AG288" s="11">
        <v>20</v>
      </c>
      <c r="AH288" s="5" t="s">
        <v>362</v>
      </c>
      <c r="AI288" s="5" t="s">
        <v>362</v>
      </c>
      <c r="AJ288" s="5" t="s">
        <v>362</v>
      </c>
      <c r="AK288" s="5" t="s">
        <v>362</v>
      </c>
      <c r="AL288" s="5" t="s">
        <v>362</v>
      </c>
      <c r="AM288" s="5" t="s">
        <v>362</v>
      </c>
      <c r="AN288" s="5" t="s">
        <v>362</v>
      </c>
      <c r="AO288" s="5" t="s">
        <v>362</v>
      </c>
      <c r="AP288" s="44">
        <f t="shared" si="73"/>
        <v>1.103645227186894</v>
      </c>
      <c r="AQ288" s="45">
        <v>1173</v>
      </c>
      <c r="AR288" s="35">
        <f t="shared" si="66"/>
        <v>319.90909090909093</v>
      </c>
      <c r="AS288" s="35">
        <f t="shared" si="67"/>
        <v>353.1</v>
      </c>
      <c r="AT288" s="35">
        <f t="shared" si="68"/>
        <v>33.190909090909088</v>
      </c>
      <c r="AU288" s="35">
        <v>118.3</v>
      </c>
      <c r="AV288" s="35">
        <v>121.5</v>
      </c>
      <c r="AW288" s="35">
        <f t="shared" si="69"/>
        <v>113.3</v>
      </c>
      <c r="AX288" s="35"/>
      <c r="AY288" s="35">
        <f t="shared" si="70"/>
        <v>113.3</v>
      </c>
      <c r="AZ288" s="35">
        <v>0</v>
      </c>
      <c r="BA288" s="35">
        <f t="shared" si="71"/>
        <v>113.3</v>
      </c>
      <c r="BB288" s="35">
        <f>MIN(BA288,17.1)</f>
        <v>17.100000000000001</v>
      </c>
      <c r="BC288" s="35">
        <f t="shared" si="72"/>
        <v>96.2</v>
      </c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10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10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10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10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10"/>
      <c r="GZ288" s="9"/>
      <c r="HA288" s="9"/>
    </row>
    <row r="289" spans="1:209" s="2" customFormat="1" ht="17" customHeight="1">
      <c r="A289" s="46" t="s">
        <v>282</v>
      </c>
      <c r="B289" s="35">
        <v>0</v>
      </c>
      <c r="C289" s="35">
        <v>0</v>
      </c>
      <c r="D289" s="4">
        <f t="shared" si="61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356.2</v>
      </c>
      <c r="O289" s="35">
        <v>458.4</v>
      </c>
      <c r="P289" s="4">
        <f t="shared" si="62"/>
        <v>1.2086917462099944</v>
      </c>
      <c r="Q289" s="11">
        <v>20</v>
      </c>
      <c r="R289" s="35">
        <v>0</v>
      </c>
      <c r="S289" s="35">
        <v>0</v>
      </c>
      <c r="T289" s="4">
        <f t="shared" si="63"/>
        <v>1</v>
      </c>
      <c r="U289" s="11">
        <v>40</v>
      </c>
      <c r="V289" s="35">
        <v>0</v>
      </c>
      <c r="W289" s="35">
        <v>0</v>
      </c>
      <c r="X289" s="4">
        <f t="shared" si="64"/>
        <v>1</v>
      </c>
      <c r="Y289" s="11">
        <v>10</v>
      </c>
      <c r="Z289" s="11" t="s">
        <v>385</v>
      </c>
      <c r="AA289" s="11" t="s">
        <v>385</v>
      </c>
      <c r="AB289" s="11" t="s">
        <v>385</v>
      </c>
      <c r="AC289" s="11" t="s">
        <v>385</v>
      </c>
      <c r="AD289" s="11">
        <v>110</v>
      </c>
      <c r="AE289" s="11">
        <v>105</v>
      </c>
      <c r="AF289" s="4">
        <f t="shared" si="65"/>
        <v>0.95454545454545459</v>
      </c>
      <c r="AG289" s="11">
        <v>20</v>
      </c>
      <c r="AH289" s="5" t="s">
        <v>362</v>
      </c>
      <c r="AI289" s="5" t="s">
        <v>362</v>
      </c>
      <c r="AJ289" s="5" t="s">
        <v>362</v>
      </c>
      <c r="AK289" s="5" t="s">
        <v>362</v>
      </c>
      <c r="AL289" s="5" t="s">
        <v>362</v>
      </c>
      <c r="AM289" s="5" t="s">
        <v>362</v>
      </c>
      <c r="AN289" s="5" t="s">
        <v>362</v>
      </c>
      <c r="AO289" s="5" t="s">
        <v>362</v>
      </c>
      <c r="AP289" s="44">
        <f t="shared" si="73"/>
        <v>1.0362749335012109</v>
      </c>
      <c r="AQ289" s="45">
        <v>519</v>
      </c>
      <c r="AR289" s="35">
        <f t="shared" si="66"/>
        <v>141.54545454545453</v>
      </c>
      <c r="AS289" s="35">
        <f t="shared" si="67"/>
        <v>146.69999999999999</v>
      </c>
      <c r="AT289" s="35">
        <f t="shared" si="68"/>
        <v>5.1545454545454561</v>
      </c>
      <c r="AU289" s="35">
        <v>38</v>
      </c>
      <c r="AV289" s="35">
        <v>35.9</v>
      </c>
      <c r="AW289" s="35">
        <f t="shared" si="69"/>
        <v>72.8</v>
      </c>
      <c r="AX289" s="35"/>
      <c r="AY289" s="35">
        <f t="shared" si="70"/>
        <v>72.8</v>
      </c>
      <c r="AZ289" s="35">
        <v>0</v>
      </c>
      <c r="BA289" s="35">
        <f t="shared" si="71"/>
        <v>72.8</v>
      </c>
      <c r="BB289" s="35"/>
      <c r="BC289" s="35">
        <f t="shared" si="72"/>
        <v>72.8</v>
      </c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10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10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10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10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10"/>
      <c r="GZ289" s="9"/>
      <c r="HA289" s="9"/>
    </row>
    <row r="290" spans="1:209" s="2" customFormat="1" ht="17" customHeight="1">
      <c r="A290" s="46" t="s">
        <v>283</v>
      </c>
      <c r="B290" s="35">
        <v>1353</v>
      </c>
      <c r="C290" s="35">
        <v>529.5</v>
      </c>
      <c r="D290" s="4">
        <f t="shared" si="61"/>
        <v>0.39135254988913526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986.5</v>
      </c>
      <c r="O290" s="35">
        <v>1430</v>
      </c>
      <c r="P290" s="4">
        <f t="shared" si="62"/>
        <v>1.2249569183983779</v>
      </c>
      <c r="Q290" s="11">
        <v>20</v>
      </c>
      <c r="R290" s="35">
        <v>655</v>
      </c>
      <c r="S290" s="35">
        <v>818.8</v>
      </c>
      <c r="T290" s="4">
        <f t="shared" si="63"/>
        <v>1.2050076335877862</v>
      </c>
      <c r="U290" s="11">
        <v>35</v>
      </c>
      <c r="V290" s="35">
        <v>0</v>
      </c>
      <c r="W290" s="35">
        <v>0</v>
      </c>
      <c r="X290" s="4">
        <f t="shared" si="64"/>
        <v>1</v>
      </c>
      <c r="Y290" s="11">
        <v>15</v>
      </c>
      <c r="Z290" s="11" t="s">
        <v>385</v>
      </c>
      <c r="AA290" s="11" t="s">
        <v>385</v>
      </c>
      <c r="AB290" s="11" t="s">
        <v>385</v>
      </c>
      <c r="AC290" s="11" t="s">
        <v>385</v>
      </c>
      <c r="AD290" s="11">
        <v>674</v>
      </c>
      <c r="AE290" s="11">
        <v>684</v>
      </c>
      <c r="AF290" s="4">
        <f t="shared" si="65"/>
        <v>1.0148367952522255</v>
      </c>
      <c r="AG290" s="11">
        <v>20</v>
      </c>
      <c r="AH290" s="5" t="s">
        <v>362</v>
      </c>
      <c r="AI290" s="5" t="s">
        <v>362</v>
      </c>
      <c r="AJ290" s="5" t="s">
        <v>362</v>
      </c>
      <c r="AK290" s="5" t="s">
        <v>362</v>
      </c>
      <c r="AL290" s="5" t="s">
        <v>362</v>
      </c>
      <c r="AM290" s="5" t="s">
        <v>362</v>
      </c>
      <c r="AN290" s="5" t="s">
        <v>362</v>
      </c>
      <c r="AO290" s="5" t="s">
        <v>362</v>
      </c>
      <c r="AP290" s="44">
        <f t="shared" si="73"/>
        <v>1.0588466694747594</v>
      </c>
      <c r="AQ290" s="45">
        <v>600</v>
      </c>
      <c r="AR290" s="35">
        <f t="shared" si="66"/>
        <v>163.63636363636363</v>
      </c>
      <c r="AS290" s="35">
        <f t="shared" si="67"/>
        <v>173.3</v>
      </c>
      <c r="AT290" s="35">
        <f t="shared" si="68"/>
        <v>9.6636363636363853</v>
      </c>
      <c r="AU290" s="35">
        <v>64.099999999999994</v>
      </c>
      <c r="AV290" s="35">
        <v>46.4</v>
      </c>
      <c r="AW290" s="35">
        <f t="shared" si="69"/>
        <v>62.8</v>
      </c>
      <c r="AX290" s="35"/>
      <c r="AY290" s="35">
        <f t="shared" si="70"/>
        <v>62.8</v>
      </c>
      <c r="AZ290" s="35">
        <v>0</v>
      </c>
      <c r="BA290" s="35">
        <f t="shared" si="71"/>
        <v>62.8</v>
      </c>
      <c r="BB290" s="35">
        <f>MIN(BA290,27.3)</f>
        <v>27.3</v>
      </c>
      <c r="BC290" s="35">
        <f t="shared" si="72"/>
        <v>35.5</v>
      </c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10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10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10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10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10"/>
      <c r="GZ290" s="9"/>
      <c r="HA290" s="9"/>
    </row>
    <row r="291" spans="1:209" s="2" customFormat="1" ht="17" customHeight="1">
      <c r="A291" s="46" t="s">
        <v>284</v>
      </c>
      <c r="B291" s="35">
        <v>0</v>
      </c>
      <c r="C291" s="35">
        <v>0</v>
      </c>
      <c r="D291" s="4">
        <f t="shared" si="61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943.7</v>
      </c>
      <c r="O291" s="35">
        <v>576.6</v>
      </c>
      <c r="P291" s="4">
        <f t="shared" si="62"/>
        <v>0.61099925823884704</v>
      </c>
      <c r="Q291" s="11">
        <v>20</v>
      </c>
      <c r="R291" s="35">
        <v>70</v>
      </c>
      <c r="S291" s="35">
        <v>13.9</v>
      </c>
      <c r="T291" s="4">
        <f t="shared" si="63"/>
        <v>0.19857142857142857</v>
      </c>
      <c r="U291" s="11">
        <v>40</v>
      </c>
      <c r="V291" s="35">
        <v>0</v>
      </c>
      <c r="W291" s="35">
        <v>0</v>
      </c>
      <c r="X291" s="4">
        <f t="shared" si="64"/>
        <v>1</v>
      </c>
      <c r="Y291" s="11">
        <v>10</v>
      </c>
      <c r="Z291" s="11" t="s">
        <v>385</v>
      </c>
      <c r="AA291" s="11" t="s">
        <v>385</v>
      </c>
      <c r="AB291" s="11" t="s">
        <v>385</v>
      </c>
      <c r="AC291" s="11" t="s">
        <v>385</v>
      </c>
      <c r="AD291" s="11">
        <v>361</v>
      </c>
      <c r="AE291" s="11">
        <v>287</v>
      </c>
      <c r="AF291" s="4">
        <f t="shared" si="65"/>
        <v>0.79501385041551242</v>
      </c>
      <c r="AG291" s="11">
        <v>20</v>
      </c>
      <c r="AH291" s="5" t="s">
        <v>362</v>
      </c>
      <c r="AI291" s="5" t="s">
        <v>362</v>
      </c>
      <c r="AJ291" s="5" t="s">
        <v>362</v>
      </c>
      <c r="AK291" s="5" t="s">
        <v>362</v>
      </c>
      <c r="AL291" s="5" t="s">
        <v>362</v>
      </c>
      <c r="AM291" s="5" t="s">
        <v>362</v>
      </c>
      <c r="AN291" s="5" t="s">
        <v>362</v>
      </c>
      <c r="AO291" s="5" t="s">
        <v>362</v>
      </c>
      <c r="AP291" s="44">
        <f t="shared" si="73"/>
        <v>0.51181243684382594</v>
      </c>
      <c r="AQ291" s="45">
        <v>1269</v>
      </c>
      <c r="AR291" s="35">
        <f t="shared" si="66"/>
        <v>346.09090909090907</v>
      </c>
      <c r="AS291" s="35">
        <f t="shared" si="67"/>
        <v>177.1</v>
      </c>
      <c r="AT291" s="35">
        <f t="shared" si="68"/>
        <v>-168.99090909090907</v>
      </c>
      <c r="AU291" s="35">
        <v>53</v>
      </c>
      <c r="AV291" s="35">
        <v>69</v>
      </c>
      <c r="AW291" s="35">
        <f t="shared" si="69"/>
        <v>55.1</v>
      </c>
      <c r="AX291" s="35"/>
      <c r="AY291" s="35">
        <f t="shared" si="70"/>
        <v>55.1</v>
      </c>
      <c r="AZ291" s="35">
        <v>0</v>
      </c>
      <c r="BA291" s="35">
        <f t="shared" si="71"/>
        <v>55.1</v>
      </c>
      <c r="BB291" s="35"/>
      <c r="BC291" s="35">
        <f t="shared" si="72"/>
        <v>55.1</v>
      </c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10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10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10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10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10"/>
      <c r="GZ291" s="9"/>
      <c r="HA291" s="9"/>
    </row>
    <row r="292" spans="1:209" s="2" customFormat="1" ht="17" customHeight="1">
      <c r="A292" s="46" t="s">
        <v>285</v>
      </c>
      <c r="B292" s="35">
        <v>0</v>
      </c>
      <c r="C292" s="35">
        <v>0</v>
      </c>
      <c r="D292" s="4">
        <f t="shared" si="61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1562.3</v>
      </c>
      <c r="O292" s="35">
        <v>2650.1</v>
      </c>
      <c r="P292" s="4">
        <f t="shared" si="62"/>
        <v>1.249628112398387</v>
      </c>
      <c r="Q292" s="11">
        <v>20</v>
      </c>
      <c r="R292" s="35">
        <v>660</v>
      </c>
      <c r="S292" s="35">
        <v>749.5</v>
      </c>
      <c r="T292" s="4">
        <f t="shared" si="63"/>
        <v>1.1356060606060605</v>
      </c>
      <c r="U292" s="11">
        <v>30</v>
      </c>
      <c r="V292" s="35">
        <v>0</v>
      </c>
      <c r="W292" s="35">
        <v>16.100000000000001</v>
      </c>
      <c r="X292" s="4">
        <f t="shared" si="64"/>
        <v>1</v>
      </c>
      <c r="Y292" s="11">
        <v>20</v>
      </c>
      <c r="Z292" s="11" t="s">
        <v>385</v>
      </c>
      <c r="AA292" s="11" t="s">
        <v>385</v>
      </c>
      <c r="AB292" s="11" t="s">
        <v>385</v>
      </c>
      <c r="AC292" s="11" t="s">
        <v>385</v>
      </c>
      <c r="AD292" s="11">
        <v>503</v>
      </c>
      <c r="AE292" s="11">
        <v>544</v>
      </c>
      <c r="AF292" s="4">
        <f t="shared" si="65"/>
        <v>1.0815109343936382</v>
      </c>
      <c r="AG292" s="11">
        <v>20</v>
      </c>
      <c r="AH292" s="5" t="s">
        <v>362</v>
      </c>
      <c r="AI292" s="5" t="s">
        <v>362</v>
      </c>
      <c r="AJ292" s="5" t="s">
        <v>362</v>
      </c>
      <c r="AK292" s="5" t="s">
        <v>362</v>
      </c>
      <c r="AL292" s="5" t="s">
        <v>362</v>
      </c>
      <c r="AM292" s="5" t="s">
        <v>362</v>
      </c>
      <c r="AN292" s="5" t="s">
        <v>362</v>
      </c>
      <c r="AO292" s="5" t="s">
        <v>362</v>
      </c>
      <c r="AP292" s="44">
        <f t="shared" si="73"/>
        <v>1.1187884750446924</v>
      </c>
      <c r="AQ292" s="45">
        <v>52</v>
      </c>
      <c r="AR292" s="35">
        <f t="shared" si="66"/>
        <v>14.181818181818183</v>
      </c>
      <c r="AS292" s="35">
        <f t="shared" si="67"/>
        <v>15.9</v>
      </c>
      <c r="AT292" s="35">
        <f t="shared" si="68"/>
        <v>1.7181818181818169</v>
      </c>
      <c r="AU292" s="35">
        <v>5</v>
      </c>
      <c r="AV292" s="35">
        <v>5.3</v>
      </c>
      <c r="AW292" s="35">
        <f t="shared" si="69"/>
        <v>5.6</v>
      </c>
      <c r="AX292" s="35"/>
      <c r="AY292" s="35">
        <f t="shared" si="70"/>
        <v>5.6</v>
      </c>
      <c r="AZ292" s="35">
        <v>0</v>
      </c>
      <c r="BA292" s="35">
        <f t="shared" si="71"/>
        <v>5.6</v>
      </c>
      <c r="BB292" s="35"/>
      <c r="BC292" s="35">
        <f t="shared" si="72"/>
        <v>5.6</v>
      </c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10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10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10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10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10"/>
      <c r="GZ292" s="9"/>
      <c r="HA292" s="9"/>
    </row>
    <row r="293" spans="1:209" s="2" customFormat="1" ht="17" customHeight="1">
      <c r="A293" s="46" t="s">
        <v>286</v>
      </c>
      <c r="B293" s="35">
        <v>1119</v>
      </c>
      <c r="C293" s="35">
        <v>1348.5</v>
      </c>
      <c r="D293" s="4">
        <f t="shared" si="61"/>
        <v>1.200509383378016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377.7</v>
      </c>
      <c r="O293" s="35">
        <v>149.1</v>
      </c>
      <c r="P293" s="4">
        <f t="shared" si="62"/>
        <v>0.39475774424146148</v>
      </c>
      <c r="Q293" s="11">
        <v>20</v>
      </c>
      <c r="R293" s="35">
        <v>40</v>
      </c>
      <c r="S293" s="35">
        <v>8.8000000000000007</v>
      </c>
      <c r="T293" s="4">
        <f t="shared" si="63"/>
        <v>0.22000000000000003</v>
      </c>
      <c r="U293" s="11">
        <v>30</v>
      </c>
      <c r="V293" s="35">
        <v>0</v>
      </c>
      <c r="W293" s="35">
        <v>0</v>
      </c>
      <c r="X293" s="4">
        <f t="shared" si="64"/>
        <v>1</v>
      </c>
      <c r="Y293" s="11">
        <v>20</v>
      </c>
      <c r="Z293" s="11" t="s">
        <v>385</v>
      </c>
      <c r="AA293" s="11" t="s">
        <v>385</v>
      </c>
      <c r="AB293" s="11" t="s">
        <v>385</v>
      </c>
      <c r="AC293" s="11" t="s">
        <v>385</v>
      </c>
      <c r="AD293" s="11">
        <v>313</v>
      </c>
      <c r="AE293" s="11">
        <v>363</v>
      </c>
      <c r="AF293" s="4">
        <f t="shared" si="65"/>
        <v>1.159744408945687</v>
      </c>
      <c r="AG293" s="11">
        <v>20</v>
      </c>
      <c r="AH293" s="5" t="s">
        <v>362</v>
      </c>
      <c r="AI293" s="5" t="s">
        <v>362</v>
      </c>
      <c r="AJ293" s="5" t="s">
        <v>362</v>
      </c>
      <c r="AK293" s="5" t="s">
        <v>362</v>
      </c>
      <c r="AL293" s="5" t="s">
        <v>362</v>
      </c>
      <c r="AM293" s="5" t="s">
        <v>362</v>
      </c>
      <c r="AN293" s="5" t="s">
        <v>362</v>
      </c>
      <c r="AO293" s="5" t="s">
        <v>362</v>
      </c>
      <c r="AP293" s="44">
        <f t="shared" si="73"/>
        <v>0.69695136897523124</v>
      </c>
      <c r="AQ293" s="45">
        <v>621</v>
      </c>
      <c r="AR293" s="35">
        <f t="shared" si="66"/>
        <v>169.36363636363637</v>
      </c>
      <c r="AS293" s="35">
        <f t="shared" si="67"/>
        <v>118</v>
      </c>
      <c r="AT293" s="35">
        <f t="shared" si="68"/>
        <v>-51.363636363636374</v>
      </c>
      <c r="AU293" s="35">
        <v>34.200000000000003</v>
      </c>
      <c r="AV293" s="35">
        <v>28.6</v>
      </c>
      <c r="AW293" s="35">
        <f t="shared" si="69"/>
        <v>55.2</v>
      </c>
      <c r="AX293" s="35"/>
      <c r="AY293" s="35">
        <f t="shared" si="70"/>
        <v>55.2</v>
      </c>
      <c r="AZ293" s="35">
        <v>0</v>
      </c>
      <c r="BA293" s="35">
        <f t="shared" si="71"/>
        <v>55.2</v>
      </c>
      <c r="BB293" s="35"/>
      <c r="BC293" s="35">
        <f t="shared" si="72"/>
        <v>55.2</v>
      </c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10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10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10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10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10"/>
      <c r="GZ293" s="9"/>
      <c r="HA293" s="9"/>
    </row>
    <row r="294" spans="1:209" s="2" customFormat="1" ht="17" customHeight="1">
      <c r="A294" s="46" t="s">
        <v>287</v>
      </c>
      <c r="B294" s="35">
        <v>0</v>
      </c>
      <c r="C294" s="35">
        <v>0</v>
      </c>
      <c r="D294" s="4">
        <f t="shared" si="61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835.5</v>
      </c>
      <c r="O294" s="35">
        <v>700.3</v>
      </c>
      <c r="P294" s="4">
        <f t="shared" si="62"/>
        <v>0.83818073010173544</v>
      </c>
      <c r="Q294" s="11">
        <v>20</v>
      </c>
      <c r="R294" s="35">
        <v>0</v>
      </c>
      <c r="S294" s="35">
        <v>0</v>
      </c>
      <c r="T294" s="4">
        <f t="shared" si="63"/>
        <v>1</v>
      </c>
      <c r="U294" s="11">
        <v>20</v>
      </c>
      <c r="V294" s="35">
        <v>0</v>
      </c>
      <c r="W294" s="35">
        <v>0</v>
      </c>
      <c r="X294" s="4">
        <f t="shared" si="64"/>
        <v>1</v>
      </c>
      <c r="Y294" s="11">
        <v>30</v>
      </c>
      <c r="Z294" s="11" t="s">
        <v>385</v>
      </c>
      <c r="AA294" s="11" t="s">
        <v>385</v>
      </c>
      <c r="AB294" s="11" t="s">
        <v>385</v>
      </c>
      <c r="AC294" s="11" t="s">
        <v>385</v>
      </c>
      <c r="AD294" s="11">
        <v>35</v>
      </c>
      <c r="AE294" s="11">
        <v>38</v>
      </c>
      <c r="AF294" s="4">
        <f t="shared" si="65"/>
        <v>1.0857142857142856</v>
      </c>
      <c r="AG294" s="11">
        <v>20</v>
      </c>
      <c r="AH294" s="5" t="s">
        <v>362</v>
      </c>
      <c r="AI294" s="5" t="s">
        <v>362</v>
      </c>
      <c r="AJ294" s="5" t="s">
        <v>362</v>
      </c>
      <c r="AK294" s="5" t="s">
        <v>362</v>
      </c>
      <c r="AL294" s="5" t="s">
        <v>362</v>
      </c>
      <c r="AM294" s="5" t="s">
        <v>362</v>
      </c>
      <c r="AN294" s="5" t="s">
        <v>362</v>
      </c>
      <c r="AO294" s="5" t="s">
        <v>362</v>
      </c>
      <c r="AP294" s="44">
        <f t="shared" si="73"/>
        <v>0.983087781292449</v>
      </c>
      <c r="AQ294" s="45">
        <v>40</v>
      </c>
      <c r="AR294" s="35">
        <f t="shared" si="66"/>
        <v>10.909090909090908</v>
      </c>
      <c r="AS294" s="35">
        <f t="shared" si="67"/>
        <v>10.7</v>
      </c>
      <c r="AT294" s="35">
        <f t="shared" si="68"/>
        <v>-0.20909090909090899</v>
      </c>
      <c r="AU294" s="35">
        <v>3.1</v>
      </c>
      <c r="AV294" s="35">
        <v>3.9</v>
      </c>
      <c r="AW294" s="35">
        <f t="shared" si="69"/>
        <v>3.7</v>
      </c>
      <c r="AX294" s="35"/>
      <c r="AY294" s="35">
        <f t="shared" si="70"/>
        <v>3.7</v>
      </c>
      <c r="AZ294" s="35">
        <v>0</v>
      </c>
      <c r="BA294" s="35">
        <f t="shared" si="71"/>
        <v>3.7</v>
      </c>
      <c r="BB294" s="35">
        <f>MIN(BA294,1.3)</f>
        <v>1.3</v>
      </c>
      <c r="BC294" s="35">
        <f t="shared" si="72"/>
        <v>2.4</v>
      </c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10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10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10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10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10"/>
      <c r="GZ294" s="9"/>
      <c r="HA294" s="9"/>
    </row>
    <row r="295" spans="1:209" s="2" customFormat="1" ht="17" customHeight="1">
      <c r="A295" s="46" t="s">
        <v>288</v>
      </c>
      <c r="B295" s="35">
        <v>10275</v>
      </c>
      <c r="C295" s="35">
        <v>24621.200000000001</v>
      </c>
      <c r="D295" s="4">
        <f t="shared" si="61"/>
        <v>1.3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2398</v>
      </c>
      <c r="O295" s="35">
        <v>2147.1999999999998</v>
      </c>
      <c r="P295" s="4">
        <f t="shared" si="62"/>
        <v>0.89541284403669719</v>
      </c>
      <c r="Q295" s="11">
        <v>20</v>
      </c>
      <c r="R295" s="35">
        <v>0</v>
      </c>
      <c r="S295" s="35">
        <v>0</v>
      </c>
      <c r="T295" s="4">
        <f t="shared" si="63"/>
        <v>1</v>
      </c>
      <c r="U295" s="11">
        <v>20</v>
      </c>
      <c r="V295" s="35">
        <v>0</v>
      </c>
      <c r="W295" s="35">
        <v>0</v>
      </c>
      <c r="X295" s="4">
        <f t="shared" si="64"/>
        <v>1</v>
      </c>
      <c r="Y295" s="11">
        <v>30</v>
      </c>
      <c r="Z295" s="11" t="s">
        <v>385</v>
      </c>
      <c r="AA295" s="11" t="s">
        <v>385</v>
      </c>
      <c r="AB295" s="11" t="s">
        <v>385</v>
      </c>
      <c r="AC295" s="11" t="s">
        <v>385</v>
      </c>
      <c r="AD295" s="11">
        <v>265</v>
      </c>
      <c r="AE295" s="11">
        <v>207</v>
      </c>
      <c r="AF295" s="4">
        <f t="shared" si="65"/>
        <v>0.78113207547169816</v>
      </c>
      <c r="AG295" s="11">
        <v>20</v>
      </c>
      <c r="AH295" s="5" t="s">
        <v>362</v>
      </c>
      <c r="AI295" s="5" t="s">
        <v>362</v>
      </c>
      <c r="AJ295" s="5" t="s">
        <v>362</v>
      </c>
      <c r="AK295" s="5" t="s">
        <v>362</v>
      </c>
      <c r="AL295" s="5" t="s">
        <v>362</v>
      </c>
      <c r="AM295" s="5" t="s">
        <v>362</v>
      </c>
      <c r="AN295" s="5" t="s">
        <v>362</v>
      </c>
      <c r="AO295" s="5" t="s">
        <v>362</v>
      </c>
      <c r="AP295" s="44">
        <f t="shared" si="73"/>
        <v>0.96530898390167907</v>
      </c>
      <c r="AQ295" s="45">
        <v>138</v>
      </c>
      <c r="AR295" s="35">
        <f t="shared" si="66"/>
        <v>37.636363636363633</v>
      </c>
      <c r="AS295" s="35">
        <f t="shared" si="67"/>
        <v>36.299999999999997</v>
      </c>
      <c r="AT295" s="35">
        <f t="shared" si="68"/>
        <v>-1.336363636363636</v>
      </c>
      <c r="AU295" s="35">
        <v>13</v>
      </c>
      <c r="AV295" s="35">
        <v>13.7</v>
      </c>
      <c r="AW295" s="35">
        <f t="shared" si="69"/>
        <v>9.6</v>
      </c>
      <c r="AX295" s="35"/>
      <c r="AY295" s="35">
        <f t="shared" si="70"/>
        <v>9.6</v>
      </c>
      <c r="AZ295" s="35">
        <v>0</v>
      </c>
      <c r="BA295" s="35">
        <f t="shared" si="71"/>
        <v>9.6</v>
      </c>
      <c r="BB295" s="35">
        <f>MIN(BA295,0.4)</f>
        <v>0.4</v>
      </c>
      <c r="BC295" s="35">
        <f t="shared" si="72"/>
        <v>9.1999999999999993</v>
      </c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10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10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10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10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10"/>
      <c r="GZ295" s="9"/>
      <c r="HA295" s="9"/>
    </row>
    <row r="296" spans="1:209" s="2" customFormat="1" ht="17" customHeight="1">
      <c r="A296" s="46" t="s">
        <v>289</v>
      </c>
      <c r="B296" s="35">
        <v>346335</v>
      </c>
      <c r="C296" s="35">
        <v>473785.3</v>
      </c>
      <c r="D296" s="4">
        <f t="shared" si="61"/>
        <v>1.2167997170369729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10556.2</v>
      </c>
      <c r="O296" s="35">
        <v>7833.2</v>
      </c>
      <c r="P296" s="4">
        <f t="shared" si="62"/>
        <v>0.74204732763683889</v>
      </c>
      <c r="Q296" s="11">
        <v>20</v>
      </c>
      <c r="R296" s="35">
        <v>0</v>
      </c>
      <c r="S296" s="35">
        <v>0</v>
      </c>
      <c r="T296" s="4">
        <f t="shared" si="63"/>
        <v>1</v>
      </c>
      <c r="U296" s="11">
        <v>40</v>
      </c>
      <c r="V296" s="35">
        <v>0</v>
      </c>
      <c r="W296" s="35">
        <v>0</v>
      </c>
      <c r="X296" s="4">
        <f t="shared" si="64"/>
        <v>1</v>
      </c>
      <c r="Y296" s="11">
        <v>10</v>
      </c>
      <c r="Z296" s="11" t="s">
        <v>385</v>
      </c>
      <c r="AA296" s="11" t="s">
        <v>385</v>
      </c>
      <c r="AB296" s="11" t="s">
        <v>385</v>
      </c>
      <c r="AC296" s="11" t="s">
        <v>385</v>
      </c>
      <c r="AD296" s="11">
        <v>22</v>
      </c>
      <c r="AE296" s="11">
        <v>26</v>
      </c>
      <c r="AF296" s="4">
        <f t="shared" si="65"/>
        <v>1.1818181818181819</v>
      </c>
      <c r="AG296" s="11">
        <v>20</v>
      </c>
      <c r="AH296" s="5" t="s">
        <v>362</v>
      </c>
      <c r="AI296" s="5" t="s">
        <v>362</v>
      </c>
      <c r="AJ296" s="5" t="s">
        <v>362</v>
      </c>
      <c r="AK296" s="5" t="s">
        <v>362</v>
      </c>
      <c r="AL296" s="5" t="s">
        <v>362</v>
      </c>
      <c r="AM296" s="5" t="s">
        <v>362</v>
      </c>
      <c r="AN296" s="5" t="s">
        <v>362</v>
      </c>
      <c r="AO296" s="5" t="s">
        <v>362</v>
      </c>
      <c r="AP296" s="44">
        <f t="shared" si="73"/>
        <v>1.0064530735947015</v>
      </c>
      <c r="AQ296" s="45">
        <v>27</v>
      </c>
      <c r="AR296" s="35">
        <f t="shared" si="66"/>
        <v>7.3636363636363633</v>
      </c>
      <c r="AS296" s="35">
        <f t="shared" si="67"/>
        <v>7.4</v>
      </c>
      <c r="AT296" s="35">
        <f t="shared" si="68"/>
        <v>3.6363636363637042E-2</v>
      </c>
      <c r="AU296" s="35">
        <v>2.2999999999999998</v>
      </c>
      <c r="AV296" s="35">
        <v>2.4</v>
      </c>
      <c r="AW296" s="35">
        <f t="shared" si="69"/>
        <v>2.7</v>
      </c>
      <c r="AX296" s="35"/>
      <c r="AY296" s="35">
        <f t="shared" si="70"/>
        <v>2.7</v>
      </c>
      <c r="AZ296" s="35">
        <v>0</v>
      </c>
      <c r="BA296" s="35">
        <f t="shared" si="71"/>
        <v>2.7</v>
      </c>
      <c r="BB296" s="35"/>
      <c r="BC296" s="35">
        <f t="shared" si="72"/>
        <v>2.7</v>
      </c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10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10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10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10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10"/>
      <c r="GZ296" s="9"/>
      <c r="HA296" s="9"/>
    </row>
    <row r="297" spans="1:209" s="2" customFormat="1" ht="17" customHeight="1">
      <c r="A297" s="46" t="s">
        <v>290</v>
      </c>
      <c r="B297" s="35">
        <v>9064</v>
      </c>
      <c r="C297" s="35">
        <v>54216.3</v>
      </c>
      <c r="D297" s="4">
        <f t="shared" si="61"/>
        <v>1.3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2327.1999999999998</v>
      </c>
      <c r="O297" s="35">
        <v>3036.5</v>
      </c>
      <c r="P297" s="4">
        <f t="shared" si="62"/>
        <v>1.2104786868339636</v>
      </c>
      <c r="Q297" s="11">
        <v>20</v>
      </c>
      <c r="R297" s="35">
        <v>0</v>
      </c>
      <c r="S297" s="35">
        <v>0</v>
      </c>
      <c r="T297" s="4">
        <f t="shared" si="63"/>
        <v>1</v>
      </c>
      <c r="U297" s="11">
        <v>10</v>
      </c>
      <c r="V297" s="35">
        <v>0</v>
      </c>
      <c r="W297" s="35">
        <v>0</v>
      </c>
      <c r="X297" s="4">
        <f t="shared" si="64"/>
        <v>1</v>
      </c>
      <c r="Y297" s="11">
        <v>40</v>
      </c>
      <c r="Z297" s="11" t="s">
        <v>385</v>
      </c>
      <c r="AA297" s="11" t="s">
        <v>385</v>
      </c>
      <c r="AB297" s="11" t="s">
        <v>385</v>
      </c>
      <c r="AC297" s="11" t="s">
        <v>385</v>
      </c>
      <c r="AD297" s="11">
        <v>20</v>
      </c>
      <c r="AE297" s="11">
        <v>18</v>
      </c>
      <c r="AF297" s="4">
        <f t="shared" si="65"/>
        <v>0.9</v>
      </c>
      <c r="AG297" s="11">
        <v>20</v>
      </c>
      <c r="AH297" s="5" t="s">
        <v>362</v>
      </c>
      <c r="AI297" s="5" t="s">
        <v>362</v>
      </c>
      <c r="AJ297" s="5" t="s">
        <v>362</v>
      </c>
      <c r="AK297" s="5" t="s">
        <v>362</v>
      </c>
      <c r="AL297" s="5" t="s">
        <v>362</v>
      </c>
      <c r="AM297" s="5" t="s">
        <v>362</v>
      </c>
      <c r="AN297" s="5" t="s">
        <v>362</v>
      </c>
      <c r="AO297" s="5" t="s">
        <v>362</v>
      </c>
      <c r="AP297" s="44">
        <f t="shared" si="73"/>
        <v>1.0520957373667927</v>
      </c>
      <c r="AQ297" s="45">
        <v>23</v>
      </c>
      <c r="AR297" s="35">
        <f t="shared" si="66"/>
        <v>6.2727272727272725</v>
      </c>
      <c r="AS297" s="35">
        <f t="shared" si="67"/>
        <v>6.6</v>
      </c>
      <c r="AT297" s="35">
        <f t="shared" si="68"/>
        <v>0.32727272727272716</v>
      </c>
      <c r="AU297" s="35">
        <v>2</v>
      </c>
      <c r="AV297" s="35">
        <v>2.2999999999999998</v>
      </c>
      <c r="AW297" s="35">
        <f t="shared" si="69"/>
        <v>2.2999999999999998</v>
      </c>
      <c r="AX297" s="35"/>
      <c r="AY297" s="35">
        <f t="shared" si="70"/>
        <v>2.2999999999999998</v>
      </c>
      <c r="AZ297" s="35">
        <v>0</v>
      </c>
      <c r="BA297" s="35">
        <f t="shared" si="71"/>
        <v>2.2999999999999998</v>
      </c>
      <c r="BB297" s="35">
        <f>MIN(BA297,0.5)</f>
        <v>0.5</v>
      </c>
      <c r="BC297" s="35">
        <f t="shared" si="72"/>
        <v>1.8</v>
      </c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10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10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10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10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10"/>
      <c r="GZ297" s="9"/>
      <c r="HA297" s="9"/>
    </row>
    <row r="298" spans="1:209" s="2" customFormat="1" ht="17" customHeight="1">
      <c r="A298" s="46" t="s">
        <v>291</v>
      </c>
      <c r="B298" s="35">
        <v>0</v>
      </c>
      <c r="C298" s="35">
        <v>0</v>
      </c>
      <c r="D298" s="4">
        <f t="shared" si="61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324.60000000000002</v>
      </c>
      <c r="O298" s="35">
        <v>244.3</v>
      </c>
      <c r="P298" s="4">
        <f t="shared" si="62"/>
        <v>0.75261860751694387</v>
      </c>
      <c r="Q298" s="11">
        <v>20</v>
      </c>
      <c r="R298" s="35">
        <v>0</v>
      </c>
      <c r="S298" s="35">
        <v>0</v>
      </c>
      <c r="T298" s="4">
        <f t="shared" si="63"/>
        <v>1</v>
      </c>
      <c r="U298" s="11">
        <v>30</v>
      </c>
      <c r="V298" s="35">
        <v>0</v>
      </c>
      <c r="W298" s="35">
        <v>0</v>
      </c>
      <c r="X298" s="4">
        <f t="shared" si="64"/>
        <v>1</v>
      </c>
      <c r="Y298" s="11">
        <v>20</v>
      </c>
      <c r="Z298" s="11" t="s">
        <v>385</v>
      </c>
      <c r="AA298" s="11" t="s">
        <v>385</v>
      </c>
      <c r="AB298" s="11" t="s">
        <v>385</v>
      </c>
      <c r="AC298" s="11" t="s">
        <v>385</v>
      </c>
      <c r="AD298" s="11">
        <v>118</v>
      </c>
      <c r="AE298" s="11">
        <v>118</v>
      </c>
      <c r="AF298" s="4">
        <f t="shared" si="65"/>
        <v>1</v>
      </c>
      <c r="AG298" s="11">
        <v>20</v>
      </c>
      <c r="AH298" s="5" t="s">
        <v>362</v>
      </c>
      <c r="AI298" s="5" t="s">
        <v>362</v>
      </c>
      <c r="AJ298" s="5" t="s">
        <v>362</v>
      </c>
      <c r="AK298" s="5" t="s">
        <v>362</v>
      </c>
      <c r="AL298" s="5" t="s">
        <v>362</v>
      </c>
      <c r="AM298" s="5" t="s">
        <v>362</v>
      </c>
      <c r="AN298" s="5" t="s">
        <v>362</v>
      </c>
      <c r="AO298" s="5" t="s">
        <v>362</v>
      </c>
      <c r="AP298" s="44">
        <f t="shared" si="73"/>
        <v>0.94502635722598738</v>
      </c>
      <c r="AQ298" s="45">
        <v>463</v>
      </c>
      <c r="AR298" s="35">
        <f t="shared" si="66"/>
        <v>126.27272727272728</v>
      </c>
      <c r="AS298" s="35">
        <f t="shared" si="67"/>
        <v>119.3</v>
      </c>
      <c r="AT298" s="35">
        <f t="shared" si="68"/>
        <v>-6.9727272727272833</v>
      </c>
      <c r="AU298" s="35">
        <v>39.200000000000003</v>
      </c>
      <c r="AV298" s="35">
        <v>33.200000000000003</v>
      </c>
      <c r="AW298" s="35">
        <f t="shared" si="69"/>
        <v>46.9</v>
      </c>
      <c r="AX298" s="35"/>
      <c r="AY298" s="35">
        <f t="shared" si="70"/>
        <v>46.9</v>
      </c>
      <c r="AZ298" s="35">
        <v>0</v>
      </c>
      <c r="BA298" s="35">
        <f t="shared" si="71"/>
        <v>46.9</v>
      </c>
      <c r="BB298" s="35"/>
      <c r="BC298" s="35">
        <f t="shared" si="72"/>
        <v>46.9</v>
      </c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10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10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10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10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10"/>
      <c r="GZ298" s="9"/>
      <c r="HA298" s="9"/>
    </row>
    <row r="299" spans="1:209" s="2" customFormat="1" ht="17" customHeight="1">
      <c r="A299" s="46" t="s">
        <v>292</v>
      </c>
      <c r="B299" s="35">
        <v>2290</v>
      </c>
      <c r="C299" s="35">
        <v>1253.7</v>
      </c>
      <c r="D299" s="4">
        <f t="shared" si="61"/>
        <v>0.54746724890829701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1085.4000000000001</v>
      </c>
      <c r="O299" s="35">
        <v>391.4</v>
      </c>
      <c r="P299" s="4">
        <f t="shared" si="62"/>
        <v>0.36060438548000734</v>
      </c>
      <c r="Q299" s="11">
        <v>20</v>
      </c>
      <c r="R299" s="35">
        <v>0</v>
      </c>
      <c r="S299" s="35">
        <v>0.4</v>
      </c>
      <c r="T299" s="4">
        <f t="shared" si="63"/>
        <v>1</v>
      </c>
      <c r="U299" s="11">
        <v>35</v>
      </c>
      <c r="V299" s="35">
        <v>0</v>
      </c>
      <c r="W299" s="35">
        <v>0</v>
      </c>
      <c r="X299" s="4">
        <f t="shared" si="64"/>
        <v>1</v>
      </c>
      <c r="Y299" s="11">
        <v>15</v>
      </c>
      <c r="Z299" s="11" t="s">
        <v>385</v>
      </c>
      <c r="AA299" s="11" t="s">
        <v>385</v>
      </c>
      <c r="AB299" s="11" t="s">
        <v>385</v>
      </c>
      <c r="AC299" s="11" t="s">
        <v>385</v>
      </c>
      <c r="AD299" s="11">
        <v>169</v>
      </c>
      <c r="AE299" s="11">
        <v>268</v>
      </c>
      <c r="AF299" s="4">
        <f t="shared" si="65"/>
        <v>1.2385798816568048</v>
      </c>
      <c r="AG299" s="11">
        <v>20</v>
      </c>
      <c r="AH299" s="5" t="s">
        <v>362</v>
      </c>
      <c r="AI299" s="5" t="s">
        <v>362</v>
      </c>
      <c r="AJ299" s="5" t="s">
        <v>362</v>
      </c>
      <c r="AK299" s="5" t="s">
        <v>362</v>
      </c>
      <c r="AL299" s="5" t="s">
        <v>362</v>
      </c>
      <c r="AM299" s="5" t="s">
        <v>362</v>
      </c>
      <c r="AN299" s="5" t="s">
        <v>362</v>
      </c>
      <c r="AO299" s="5" t="s">
        <v>362</v>
      </c>
      <c r="AP299" s="44">
        <f t="shared" si="73"/>
        <v>0.87458357831819211</v>
      </c>
      <c r="AQ299" s="45">
        <v>738</v>
      </c>
      <c r="AR299" s="35">
        <f t="shared" si="66"/>
        <v>201.27272727272728</v>
      </c>
      <c r="AS299" s="35">
        <f t="shared" si="67"/>
        <v>176</v>
      </c>
      <c r="AT299" s="35">
        <f t="shared" si="68"/>
        <v>-25.27272727272728</v>
      </c>
      <c r="AU299" s="35">
        <v>52.8</v>
      </c>
      <c r="AV299" s="35">
        <v>53.9</v>
      </c>
      <c r="AW299" s="35">
        <f t="shared" si="69"/>
        <v>69.3</v>
      </c>
      <c r="AX299" s="35"/>
      <c r="AY299" s="35">
        <f t="shared" si="70"/>
        <v>69.3</v>
      </c>
      <c r="AZ299" s="35">
        <v>0</v>
      </c>
      <c r="BA299" s="35">
        <f t="shared" si="71"/>
        <v>69.3</v>
      </c>
      <c r="BB299" s="35"/>
      <c r="BC299" s="35">
        <f t="shared" si="72"/>
        <v>69.3</v>
      </c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10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10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10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10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10"/>
      <c r="GZ299" s="9"/>
      <c r="HA299" s="9"/>
    </row>
    <row r="300" spans="1:209" s="2" customFormat="1" ht="17" customHeight="1">
      <c r="A300" s="46" t="s">
        <v>293</v>
      </c>
      <c r="B300" s="35">
        <v>15177</v>
      </c>
      <c r="C300" s="35">
        <v>10943.5</v>
      </c>
      <c r="D300" s="4">
        <f t="shared" si="61"/>
        <v>0.72105818014100287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997.6</v>
      </c>
      <c r="O300" s="35">
        <v>408.3</v>
      </c>
      <c r="P300" s="4">
        <f t="shared" si="62"/>
        <v>0.40928227746591822</v>
      </c>
      <c r="Q300" s="11">
        <v>20</v>
      </c>
      <c r="R300" s="35">
        <v>105</v>
      </c>
      <c r="S300" s="35">
        <v>198.7</v>
      </c>
      <c r="T300" s="4">
        <f t="shared" si="63"/>
        <v>1.2692380952380953</v>
      </c>
      <c r="U300" s="11">
        <v>20</v>
      </c>
      <c r="V300" s="35">
        <v>0</v>
      </c>
      <c r="W300" s="35">
        <v>0</v>
      </c>
      <c r="X300" s="4">
        <f t="shared" si="64"/>
        <v>1</v>
      </c>
      <c r="Y300" s="11">
        <v>30</v>
      </c>
      <c r="Z300" s="11" t="s">
        <v>385</v>
      </c>
      <c r="AA300" s="11" t="s">
        <v>385</v>
      </c>
      <c r="AB300" s="11" t="s">
        <v>385</v>
      </c>
      <c r="AC300" s="11" t="s">
        <v>385</v>
      </c>
      <c r="AD300" s="11">
        <v>399</v>
      </c>
      <c r="AE300" s="11">
        <v>437</v>
      </c>
      <c r="AF300" s="4">
        <f t="shared" si="65"/>
        <v>1.0952380952380953</v>
      </c>
      <c r="AG300" s="11">
        <v>20</v>
      </c>
      <c r="AH300" s="5" t="s">
        <v>362</v>
      </c>
      <c r="AI300" s="5" t="s">
        <v>362</v>
      </c>
      <c r="AJ300" s="5" t="s">
        <v>362</v>
      </c>
      <c r="AK300" s="5" t="s">
        <v>362</v>
      </c>
      <c r="AL300" s="5" t="s">
        <v>362</v>
      </c>
      <c r="AM300" s="5" t="s">
        <v>362</v>
      </c>
      <c r="AN300" s="5" t="s">
        <v>362</v>
      </c>
      <c r="AO300" s="5" t="s">
        <v>362</v>
      </c>
      <c r="AP300" s="44">
        <f t="shared" si="73"/>
        <v>0.92685751160252206</v>
      </c>
      <c r="AQ300" s="45">
        <v>1197</v>
      </c>
      <c r="AR300" s="35">
        <f t="shared" si="66"/>
        <v>326.45454545454544</v>
      </c>
      <c r="AS300" s="35">
        <f t="shared" si="67"/>
        <v>302.60000000000002</v>
      </c>
      <c r="AT300" s="35">
        <f t="shared" si="68"/>
        <v>-23.854545454545416</v>
      </c>
      <c r="AU300" s="35">
        <v>83.1</v>
      </c>
      <c r="AV300" s="35">
        <v>105.6</v>
      </c>
      <c r="AW300" s="35">
        <f t="shared" si="69"/>
        <v>113.9</v>
      </c>
      <c r="AX300" s="35"/>
      <c r="AY300" s="35">
        <f t="shared" si="70"/>
        <v>113.9</v>
      </c>
      <c r="AZ300" s="35">
        <v>0</v>
      </c>
      <c r="BA300" s="35">
        <f t="shared" si="71"/>
        <v>113.9</v>
      </c>
      <c r="BB300" s="35">
        <f>MIN(BA300,54.4)</f>
        <v>54.4</v>
      </c>
      <c r="BC300" s="35">
        <f t="shared" si="72"/>
        <v>59.5</v>
      </c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10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10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10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10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10"/>
      <c r="GZ300" s="9"/>
      <c r="HA300" s="9"/>
    </row>
    <row r="301" spans="1:209" s="2" customFormat="1" ht="17" customHeight="1">
      <c r="A301" s="46" t="s">
        <v>294</v>
      </c>
      <c r="B301" s="35">
        <v>206314</v>
      </c>
      <c r="C301" s="35">
        <v>352537.4</v>
      </c>
      <c r="D301" s="4">
        <f t="shared" si="61"/>
        <v>1.2508742014599106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9951.5</v>
      </c>
      <c r="O301" s="35">
        <v>5153.8</v>
      </c>
      <c r="P301" s="4">
        <f t="shared" si="62"/>
        <v>0.51789177510927997</v>
      </c>
      <c r="Q301" s="11">
        <v>20</v>
      </c>
      <c r="R301" s="35">
        <v>0</v>
      </c>
      <c r="S301" s="35">
        <v>0</v>
      </c>
      <c r="T301" s="4">
        <f t="shared" si="63"/>
        <v>1</v>
      </c>
      <c r="U301" s="11">
        <v>40</v>
      </c>
      <c r="V301" s="35">
        <v>0</v>
      </c>
      <c r="W301" s="35">
        <v>0</v>
      </c>
      <c r="X301" s="4">
        <f t="shared" si="64"/>
        <v>1</v>
      </c>
      <c r="Y301" s="11">
        <v>10</v>
      </c>
      <c r="Z301" s="11" t="s">
        <v>385</v>
      </c>
      <c r="AA301" s="11" t="s">
        <v>385</v>
      </c>
      <c r="AB301" s="11" t="s">
        <v>385</v>
      </c>
      <c r="AC301" s="11" t="s">
        <v>385</v>
      </c>
      <c r="AD301" s="11">
        <v>51</v>
      </c>
      <c r="AE301" s="11">
        <v>56</v>
      </c>
      <c r="AF301" s="4">
        <f t="shared" si="65"/>
        <v>1.0980392156862746</v>
      </c>
      <c r="AG301" s="11">
        <v>20</v>
      </c>
      <c r="AH301" s="5" t="s">
        <v>362</v>
      </c>
      <c r="AI301" s="5" t="s">
        <v>362</v>
      </c>
      <c r="AJ301" s="5" t="s">
        <v>362</v>
      </c>
      <c r="AK301" s="5" t="s">
        <v>362</v>
      </c>
      <c r="AL301" s="5" t="s">
        <v>362</v>
      </c>
      <c r="AM301" s="5" t="s">
        <v>362</v>
      </c>
      <c r="AN301" s="5" t="s">
        <v>362</v>
      </c>
      <c r="AO301" s="5" t="s">
        <v>362</v>
      </c>
      <c r="AP301" s="44">
        <f t="shared" si="73"/>
        <v>0.94827361830510204</v>
      </c>
      <c r="AQ301" s="45">
        <v>60</v>
      </c>
      <c r="AR301" s="35">
        <f t="shared" si="66"/>
        <v>16.363636363636363</v>
      </c>
      <c r="AS301" s="35">
        <f t="shared" si="67"/>
        <v>15.5</v>
      </c>
      <c r="AT301" s="35">
        <f t="shared" si="68"/>
        <v>-0.86363636363636331</v>
      </c>
      <c r="AU301" s="35">
        <v>5</v>
      </c>
      <c r="AV301" s="35">
        <v>4.8</v>
      </c>
      <c r="AW301" s="35">
        <f t="shared" si="69"/>
        <v>5.7</v>
      </c>
      <c r="AX301" s="35"/>
      <c r="AY301" s="35">
        <f t="shared" si="70"/>
        <v>5.7</v>
      </c>
      <c r="AZ301" s="35">
        <v>0</v>
      </c>
      <c r="BA301" s="35">
        <f t="shared" si="71"/>
        <v>5.7</v>
      </c>
      <c r="BB301" s="35">
        <f>MIN(BA301,2.3)</f>
        <v>2.2999999999999998</v>
      </c>
      <c r="BC301" s="35">
        <f t="shared" si="72"/>
        <v>3.4</v>
      </c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10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10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10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10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10"/>
      <c r="GZ301" s="9"/>
      <c r="HA301" s="9"/>
    </row>
    <row r="302" spans="1:209" s="2" customFormat="1" ht="17" customHeight="1">
      <c r="A302" s="46" t="s">
        <v>295</v>
      </c>
      <c r="B302" s="35">
        <v>71479</v>
      </c>
      <c r="C302" s="35">
        <v>83204</v>
      </c>
      <c r="D302" s="4">
        <f t="shared" si="61"/>
        <v>1.1640341918605464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1337.7</v>
      </c>
      <c r="O302" s="35">
        <v>988.1</v>
      </c>
      <c r="P302" s="4">
        <f t="shared" si="62"/>
        <v>0.738655901921208</v>
      </c>
      <c r="Q302" s="11">
        <v>20</v>
      </c>
      <c r="R302" s="35">
        <v>325</v>
      </c>
      <c r="S302" s="35">
        <v>517.5</v>
      </c>
      <c r="T302" s="4">
        <f t="shared" si="63"/>
        <v>1.2392307692307691</v>
      </c>
      <c r="U302" s="11">
        <v>30</v>
      </c>
      <c r="V302" s="35">
        <v>0</v>
      </c>
      <c r="W302" s="35">
        <v>0</v>
      </c>
      <c r="X302" s="4">
        <f t="shared" si="64"/>
        <v>1</v>
      </c>
      <c r="Y302" s="11">
        <v>20</v>
      </c>
      <c r="Z302" s="11" t="s">
        <v>385</v>
      </c>
      <c r="AA302" s="11" t="s">
        <v>385</v>
      </c>
      <c r="AB302" s="11" t="s">
        <v>385</v>
      </c>
      <c r="AC302" s="11" t="s">
        <v>385</v>
      </c>
      <c r="AD302" s="11">
        <v>625</v>
      </c>
      <c r="AE302" s="11">
        <v>695</v>
      </c>
      <c r="AF302" s="4">
        <f t="shared" si="65"/>
        <v>1.1120000000000001</v>
      </c>
      <c r="AG302" s="11">
        <v>20</v>
      </c>
      <c r="AH302" s="5" t="s">
        <v>362</v>
      </c>
      <c r="AI302" s="5" t="s">
        <v>362</v>
      </c>
      <c r="AJ302" s="5" t="s">
        <v>362</v>
      </c>
      <c r="AK302" s="5" t="s">
        <v>362</v>
      </c>
      <c r="AL302" s="5" t="s">
        <v>362</v>
      </c>
      <c r="AM302" s="5" t="s">
        <v>362</v>
      </c>
      <c r="AN302" s="5" t="s">
        <v>362</v>
      </c>
      <c r="AO302" s="5" t="s">
        <v>362</v>
      </c>
      <c r="AP302" s="44">
        <f t="shared" si="73"/>
        <v>1.0583038303395269</v>
      </c>
      <c r="AQ302" s="45">
        <v>619</v>
      </c>
      <c r="AR302" s="35">
        <f t="shared" si="66"/>
        <v>168.81818181818181</v>
      </c>
      <c r="AS302" s="35">
        <f t="shared" si="67"/>
        <v>178.7</v>
      </c>
      <c r="AT302" s="35">
        <f t="shared" si="68"/>
        <v>9.8818181818181756</v>
      </c>
      <c r="AU302" s="35">
        <v>59.2</v>
      </c>
      <c r="AV302" s="35">
        <v>58.5</v>
      </c>
      <c r="AW302" s="35">
        <f t="shared" si="69"/>
        <v>61</v>
      </c>
      <c r="AX302" s="35"/>
      <c r="AY302" s="35">
        <f t="shared" si="70"/>
        <v>61</v>
      </c>
      <c r="AZ302" s="35">
        <v>0</v>
      </c>
      <c r="BA302" s="35">
        <f t="shared" si="71"/>
        <v>61</v>
      </c>
      <c r="BB302" s="35">
        <f>MIN(BA302,24.8)</f>
        <v>24.8</v>
      </c>
      <c r="BC302" s="35">
        <f t="shared" si="72"/>
        <v>36.200000000000003</v>
      </c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10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10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10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10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10"/>
      <c r="GZ302" s="9"/>
      <c r="HA302" s="9"/>
    </row>
    <row r="303" spans="1:209" s="2" customFormat="1" ht="17" customHeight="1">
      <c r="A303" s="46" t="s">
        <v>296</v>
      </c>
      <c r="B303" s="35">
        <v>62603</v>
      </c>
      <c r="C303" s="35">
        <v>67927.100000000006</v>
      </c>
      <c r="D303" s="4">
        <f t="shared" ref="D303:D366" si="74">IF(E303=0,0,IF(B303=0,1,IF(C303&lt;0,0,IF(C303/B303&gt;1.2,IF((C303/B303-1.2)*0.1+1.2&gt;1.3,1.3,(C303/B303-1.2)*0.1+1.2),C303/B303))))</f>
        <v>1.0850454451064646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1074.7</v>
      </c>
      <c r="O303" s="35">
        <v>815.2</v>
      </c>
      <c r="P303" s="4">
        <f t="shared" ref="P303:P366" si="75">IF(Q303=0,0,IF(N303=0,1,IF(O303&lt;0,0,IF(O303/N303&gt;1.2,IF((O303/N303-1.2)*0.1+1.2&gt;1.3,1.3,(O303/N303-1.2)*0.1+1.2),O303/N303))))</f>
        <v>0.75853726621382711</v>
      </c>
      <c r="Q303" s="11">
        <v>20</v>
      </c>
      <c r="R303" s="35">
        <v>430</v>
      </c>
      <c r="S303" s="35">
        <v>430.4</v>
      </c>
      <c r="T303" s="4">
        <f t="shared" ref="T303:T366" si="76">IF(U303=0,0,IF(R303=0,1,IF(S303&lt;0,0,IF(S303/R303&gt;1.2,IF((S303/R303-1.2)*0.1+1.2&gt;1.3,1.3,(S303/R303-1.2)*0.1+1.2),S303/R303))))</f>
        <v>1.0009302325581395</v>
      </c>
      <c r="U303" s="11">
        <v>30</v>
      </c>
      <c r="V303" s="35">
        <v>0</v>
      </c>
      <c r="W303" s="35">
        <v>0</v>
      </c>
      <c r="X303" s="4">
        <f t="shared" ref="X303:X366" si="77">IF(Y303=0,0,IF(V303=0,1,IF(W303&lt;0,0,IF(W303/V303&gt;1.2,IF((W303/V303-1.2)*0.1+1.2&gt;1.3,1.3,(W303/V303-1.2)*0.1+1.2),W303/V303))))</f>
        <v>1</v>
      </c>
      <c r="Y303" s="11">
        <v>20</v>
      </c>
      <c r="Z303" s="11" t="s">
        <v>385</v>
      </c>
      <c r="AA303" s="11" t="s">
        <v>385</v>
      </c>
      <c r="AB303" s="11" t="s">
        <v>385</v>
      </c>
      <c r="AC303" s="11" t="s">
        <v>385</v>
      </c>
      <c r="AD303" s="11">
        <v>386</v>
      </c>
      <c r="AE303" s="11">
        <v>396</v>
      </c>
      <c r="AF303" s="4">
        <f t="shared" ref="AF303:AF366" si="78">IF(AG303=0,0,IF(AD303=0,1,IF(AE303&lt;0,0,IF(AE303/AD303&gt;1.2,IF((AE303/AD303-1.2)*0.1+1.2&gt;1.3,1.3,(AE303/AD303-1.2)*0.1+1.2),AE303/AD303))))</f>
        <v>1.0259067357512954</v>
      </c>
      <c r="AG303" s="11">
        <v>20</v>
      </c>
      <c r="AH303" s="5" t="s">
        <v>362</v>
      </c>
      <c r="AI303" s="5" t="s">
        <v>362</v>
      </c>
      <c r="AJ303" s="5" t="s">
        <v>362</v>
      </c>
      <c r="AK303" s="5" t="s">
        <v>362</v>
      </c>
      <c r="AL303" s="5" t="s">
        <v>362</v>
      </c>
      <c r="AM303" s="5" t="s">
        <v>362</v>
      </c>
      <c r="AN303" s="5" t="s">
        <v>362</v>
      </c>
      <c r="AO303" s="5" t="s">
        <v>362</v>
      </c>
      <c r="AP303" s="44">
        <f t="shared" si="73"/>
        <v>0.96567241467111287</v>
      </c>
      <c r="AQ303" s="45">
        <v>438</v>
      </c>
      <c r="AR303" s="35">
        <f t="shared" ref="AR303:AR366" si="79">AQ303/11*3</f>
        <v>119.45454545454547</v>
      </c>
      <c r="AS303" s="35">
        <f t="shared" ref="AS303:AS366" si="80">ROUND(AP303*AR303,1)</f>
        <v>115.4</v>
      </c>
      <c r="AT303" s="35">
        <f t="shared" ref="AT303:AT366" si="81">AS303-AR303</f>
        <v>-4.0545454545454618</v>
      </c>
      <c r="AU303" s="35">
        <v>38.700000000000003</v>
      </c>
      <c r="AV303" s="35">
        <v>43.5</v>
      </c>
      <c r="AW303" s="35">
        <f t="shared" ref="AW303:AW366" si="82">ROUND(AS303-SUM(AU303:AV303),1)</f>
        <v>33.200000000000003</v>
      </c>
      <c r="AX303" s="35"/>
      <c r="AY303" s="35">
        <f t="shared" ref="AY303:AY366" si="83">IF(OR(AW303&lt;0,AX303="+"),0,AW303)</f>
        <v>33.200000000000003</v>
      </c>
      <c r="AZ303" s="35">
        <v>0</v>
      </c>
      <c r="BA303" s="35">
        <f t="shared" ref="BA303:BA366" si="84">AY303+AZ303</f>
        <v>33.200000000000003</v>
      </c>
      <c r="BB303" s="35">
        <f>MIN(BA303,19.9)</f>
        <v>19.899999999999999</v>
      </c>
      <c r="BC303" s="35">
        <f t="shared" ref="BC303:BC366" si="85">IF((BA303-BB303)&gt;0,ROUND(BA303-BB303,1),0)</f>
        <v>13.3</v>
      </c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10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10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10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10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10"/>
      <c r="GZ303" s="9"/>
      <c r="HA303" s="9"/>
    </row>
    <row r="304" spans="1:209" s="2" customFormat="1" ht="17" customHeight="1">
      <c r="A304" s="46" t="s">
        <v>297</v>
      </c>
      <c r="B304" s="35">
        <v>169699</v>
      </c>
      <c r="C304" s="35">
        <v>21857.8</v>
      </c>
      <c r="D304" s="4">
        <f t="shared" si="74"/>
        <v>0.12880335181704075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5532.9</v>
      </c>
      <c r="O304" s="35">
        <v>2921.5</v>
      </c>
      <c r="P304" s="4">
        <f t="shared" si="75"/>
        <v>0.5280232789314826</v>
      </c>
      <c r="Q304" s="11">
        <v>20</v>
      </c>
      <c r="R304" s="35">
        <v>7</v>
      </c>
      <c r="S304" s="35">
        <v>0</v>
      </c>
      <c r="T304" s="4">
        <f t="shared" si="76"/>
        <v>0</v>
      </c>
      <c r="U304" s="11">
        <v>35</v>
      </c>
      <c r="V304" s="35">
        <v>0</v>
      </c>
      <c r="W304" s="35">
        <v>0</v>
      </c>
      <c r="X304" s="4">
        <f t="shared" si="77"/>
        <v>1</v>
      </c>
      <c r="Y304" s="11">
        <v>15</v>
      </c>
      <c r="Z304" s="11" t="s">
        <v>385</v>
      </c>
      <c r="AA304" s="11" t="s">
        <v>385</v>
      </c>
      <c r="AB304" s="11" t="s">
        <v>385</v>
      </c>
      <c r="AC304" s="11" t="s">
        <v>385</v>
      </c>
      <c r="AD304" s="11">
        <v>140</v>
      </c>
      <c r="AE304" s="11">
        <v>49</v>
      </c>
      <c r="AF304" s="4">
        <f t="shared" si="78"/>
        <v>0.35</v>
      </c>
      <c r="AG304" s="11">
        <v>20</v>
      </c>
      <c r="AH304" s="5" t="s">
        <v>362</v>
      </c>
      <c r="AI304" s="5" t="s">
        <v>362</v>
      </c>
      <c r="AJ304" s="5" t="s">
        <v>362</v>
      </c>
      <c r="AK304" s="5" t="s">
        <v>362</v>
      </c>
      <c r="AL304" s="5" t="s">
        <v>362</v>
      </c>
      <c r="AM304" s="5" t="s">
        <v>362</v>
      </c>
      <c r="AN304" s="5" t="s">
        <v>362</v>
      </c>
      <c r="AO304" s="5" t="s">
        <v>362</v>
      </c>
      <c r="AP304" s="44">
        <f t="shared" ref="AP304:AP367" si="86">(D304*E304+P304*Q304+T304*U304+X304*Y304+AF304*AG304)/(E304+Q304+U304+Y304+AG304)</f>
        <v>0.33848499096800055</v>
      </c>
      <c r="AQ304" s="45">
        <v>1363</v>
      </c>
      <c r="AR304" s="35">
        <f t="shared" si="79"/>
        <v>371.72727272727275</v>
      </c>
      <c r="AS304" s="35">
        <f t="shared" si="80"/>
        <v>125.8</v>
      </c>
      <c r="AT304" s="35">
        <f t="shared" si="81"/>
        <v>-245.92727272727274</v>
      </c>
      <c r="AU304" s="35">
        <v>48.2</v>
      </c>
      <c r="AV304" s="35">
        <v>55.9</v>
      </c>
      <c r="AW304" s="35">
        <f t="shared" si="82"/>
        <v>21.7</v>
      </c>
      <c r="AX304" s="35"/>
      <c r="AY304" s="35">
        <f t="shared" si="83"/>
        <v>21.7</v>
      </c>
      <c r="AZ304" s="35">
        <v>0</v>
      </c>
      <c r="BA304" s="35">
        <f t="shared" si="84"/>
        <v>21.7</v>
      </c>
      <c r="BB304" s="35">
        <f>MIN(BA304,15.8)</f>
        <v>15.8</v>
      </c>
      <c r="BC304" s="35">
        <f t="shared" si="85"/>
        <v>5.9</v>
      </c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10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10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10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10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10"/>
      <c r="GZ304" s="9"/>
      <c r="HA304" s="9"/>
    </row>
    <row r="305" spans="1:209" s="2" customFormat="1" ht="17" customHeight="1">
      <c r="A305" s="18" t="s">
        <v>298</v>
      </c>
      <c r="B305" s="6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35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10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10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10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10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10"/>
      <c r="GZ305" s="9"/>
      <c r="HA305" s="9"/>
    </row>
    <row r="306" spans="1:209" s="2" customFormat="1" ht="17" customHeight="1">
      <c r="A306" s="46" t="s">
        <v>299</v>
      </c>
      <c r="B306" s="35">
        <v>5764</v>
      </c>
      <c r="C306" s="35">
        <v>5571</v>
      </c>
      <c r="D306" s="4">
        <f t="shared" si="74"/>
        <v>0.96651630811936151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2201.1999999999998</v>
      </c>
      <c r="O306" s="35">
        <v>1817.5</v>
      </c>
      <c r="P306" s="4">
        <f t="shared" si="75"/>
        <v>0.82568598946029448</v>
      </c>
      <c r="Q306" s="11">
        <v>20</v>
      </c>
      <c r="R306" s="35">
        <v>0</v>
      </c>
      <c r="S306" s="35">
        <v>0</v>
      </c>
      <c r="T306" s="4">
        <f t="shared" si="76"/>
        <v>1</v>
      </c>
      <c r="U306" s="11">
        <v>20</v>
      </c>
      <c r="V306" s="35">
        <v>0</v>
      </c>
      <c r="W306" s="35">
        <v>0</v>
      </c>
      <c r="X306" s="4">
        <f t="shared" si="77"/>
        <v>1</v>
      </c>
      <c r="Y306" s="11">
        <v>30</v>
      </c>
      <c r="Z306" s="11" t="s">
        <v>385</v>
      </c>
      <c r="AA306" s="11" t="s">
        <v>385</v>
      </c>
      <c r="AB306" s="11" t="s">
        <v>385</v>
      </c>
      <c r="AC306" s="11" t="s">
        <v>385</v>
      </c>
      <c r="AD306" s="11">
        <v>26</v>
      </c>
      <c r="AE306" s="11">
        <v>27</v>
      </c>
      <c r="AF306" s="4">
        <f t="shared" si="78"/>
        <v>1.0384615384615385</v>
      </c>
      <c r="AG306" s="11">
        <v>20</v>
      </c>
      <c r="AH306" s="5" t="s">
        <v>362</v>
      </c>
      <c r="AI306" s="5" t="s">
        <v>362</v>
      </c>
      <c r="AJ306" s="5" t="s">
        <v>362</v>
      </c>
      <c r="AK306" s="5" t="s">
        <v>362</v>
      </c>
      <c r="AL306" s="5" t="s">
        <v>362</v>
      </c>
      <c r="AM306" s="5" t="s">
        <v>362</v>
      </c>
      <c r="AN306" s="5" t="s">
        <v>362</v>
      </c>
      <c r="AO306" s="5" t="s">
        <v>362</v>
      </c>
      <c r="AP306" s="44">
        <f t="shared" si="86"/>
        <v>0.96948113639630273</v>
      </c>
      <c r="AQ306" s="45">
        <v>28</v>
      </c>
      <c r="AR306" s="35">
        <f t="shared" si="79"/>
        <v>7.6363636363636367</v>
      </c>
      <c r="AS306" s="35">
        <f t="shared" si="80"/>
        <v>7.4</v>
      </c>
      <c r="AT306" s="35">
        <f t="shared" si="81"/>
        <v>-0.23636363636363633</v>
      </c>
      <c r="AU306" s="35">
        <v>2.6</v>
      </c>
      <c r="AV306" s="35">
        <v>2.4</v>
      </c>
      <c r="AW306" s="35">
        <f t="shared" si="82"/>
        <v>2.4</v>
      </c>
      <c r="AX306" s="35"/>
      <c r="AY306" s="35">
        <f t="shared" si="83"/>
        <v>2.4</v>
      </c>
      <c r="AZ306" s="35">
        <v>0</v>
      </c>
      <c r="BA306" s="35">
        <f t="shared" si="84"/>
        <v>2.4</v>
      </c>
      <c r="BB306" s="35">
        <f>MIN(BA306,1.3)</f>
        <v>1.3</v>
      </c>
      <c r="BC306" s="35">
        <f t="shared" si="85"/>
        <v>1.1000000000000001</v>
      </c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10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10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10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10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10"/>
      <c r="GZ306" s="9"/>
      <c r="HA306" s="9"/>
    </row>
    <row r="307" spans="1:209" s="2" customFormat="1" ht="17" customHeight="1">
      <c r="A307" s="46" t="s">
        <v>300</v>
      </c>
      <c r="B307" s="35">
        <v>45551</v>
      </c>
      <c r="C307" s="35">
        <v>63750</v>
      </c>
      <c r="D307" s="4">
        <f t="shared" si="74"/>
        <v>1.219953019692213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2983.3</v>
      </c>
      <c r="O307" s="35">
        <v>2195.4</v>
      </c>
      <c r="P307" s="4">
        <f t="shared" si="75"/>
        <v>0.73589649046358063</v>
      </c>
      <c r="Q307" s="11">
        <v>20</v>
      </c>
      <c r="R307" s="35">
        <v>100</v>
      </c>
      <c r="S307" s="35">
        <v>113.5</v>
      </c>
      <c r="T307" s="4">
        <f t="shared" si="76"/>
        <v>1.135</v>
      </c>
      <c r="U307" s="11">
        <v>15</v>
      </c>
      <c r="V307" s="35">
        <v>12.9</v>
      </c>
      <c r="W307" s="35">
        <v>15</v>
      </c>
      <c r="X307" s="4">
        <f t="shared" si="77"/>
        <v>1.1627906976744187</v>
      </c>
      <c r="Y307" s="11">
        <v>35</v>
      </c>
      <c r="Z307" s="11" t="s">
        <v>385</v>
      </c>
      <c r="AA307" s="11" t="s">
        <v>385</v>
      </c>
      <c r="AB307" s="11" t="s">
        <v>385</v>
      </c>
      <c r="AC307" s="11" t="s">
        <v>385</v>
      </c>
      <c r="AD307" s="11">
        <v>171</v>
      </c>
      <c r="AE307" s="11">
        <v>130</v>
      </c>
      <c r="AF307" s="4">
        <f t="shared" si="78"/>
        <v>0.76023391812865493</v>
      </c>
      <c r="AG307" s="11">
        <v>20</v>
      </c>
      <c r="AH307" s="5" t="s">
        <v>362</v>
      </c>
      <c r="AI307" s="5" t="s">
        <v>362</v>
      </c>
      <c r="AJ307" s="5" t="s">
        <v>362</v>
      </c>
      <c r="AK307" s="5" t="s">
        <v>362</v>
      </c>
      <c r="AL307" s="5" t="s">
        <v>362</v>
      </c>
      <c r="AM307" s="5" t="s">
        <v>362</v>
      </c>
      <c r="AN307" s="5" t="s">
        <v>362</v>
      </c>
      <c r="AO307" s="5" t="s">
        <v>362</v>
      </c>
      <c r="AP307" s="44">
        <f t="shared" si="86"/>
        <v>0.99844812787371495</v>
      </c>
      <c r="AQ307" s="45">
        <v>86</v>
      </c>
      <c r="AR307" s="35">
        <f t="shared" si="79"/>
        <v>23.454545454545453</v>
      </c>
      <c r="AS307" s="35">
        <f t="shared" si="80"/>
        <v>23.4</v>
      </c>
      <c r="AT307" s="35">
        <f t="shared" si="81"/>
        <v>-5.4545454545454675E-2</v>
      </c>
      <c r="AU307" s="35">
        <v>8.5</v>
      </c>
      <c r="AV307" s="35">
        <v>7.9</v>
      </c>
      <c r="AW307" s="35">
        <f t="shared" si="82"/>
        <v>7</v>
      </c>
      <c r="AX307" s="35"/>
      <c r="AY307" s="35">
        <f t="shared" si="83"/>
        <v>7</v>
      </c>
      <c r="AZ307" s="35">
        <v>0</v>
      </c>
      <c r="BA307" s="35">
        <f t="shared" si="84"/>
        <v>7</v>
      </c>
      <c r="BB307" s="35">
        <f>MIN(BA307,3.9)</f>
        <v>3.9</v>
      </c>
      <c r="BC307" s="35">
        <f t="shared" si="85"/>
        <v>3.1</v>
      </c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10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10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10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10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10"/>
      <c r="GZ307" s="9"/>
      <c r="HA307" s="9"/>
    </row>
    <row r="308" spans="1:209" s="2" customFormat="1" ht="17" customHeight="1">
      <c r="A308" s="46" t="s">
        <v>301</v>
      </c>
      <c r="B308" s="35">
        <v>1444</v>
      </c>
      <c r="C308" s="35">
        <v>1412</v>
      </c>
      <c r="D308" s="4">
        <f t="shared" si="74"/>
        <v>0.97783933518005539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1186</v>
      </c>
      <c r="O308" s="35">
        <v>558.6</v>
      </c>
      <c r="P308" s="4">
        <f t="shared" si="75"/>
        <v>0.47099494097807759</v>
      </c>
      <c r="Q308" s="11">
        <v>20</v>
      </c>
      <c r="R308" s="35">
        <v>0</v>
      </c>
      <c r="S308" s="35">
        <v>0</v>
      </c>
      <c r="T308" s="4">
        <f t="shared" si="76"/>
        <v>1</v>
      </c>
      <c r="U308" s="11">
        <v>10</v>
      </c>
      <c r="V308" s="35">
        <v>12.5</v>
      </c>
      <c r="W308" s="35">
        <v>14.8</v>
      </c>
      <c r="X308" s="4">
        <f t="shared" si="77"/>
        <v>1.1840000000000002</v>
      </c>
      <c r="Y308" s="11">
        <v>40</v>
      </c>
      <c r="Z308" s="11" t="s">
        <v>385</v>
      </c>
      <c r="AA308" s="11" t="s">
        <v>385</v>
      </c>
      <c r="AB308" s="11" t="s">
        <v>385</v>
      </c>
      <c r="AC308" s="11" t="s">
        <v>385</v>
      </c>
      <c r="AD308" s="11">
        <v>38</v>
      </c>
      <c r="AE308" s="11">
        <v>38</v>
      </c>
      <c r="AF308" s="4">
        <f t="shared" si="78"/>
        <v>1</v>
      </c>
      <c r="AG308" s="11">
        <v>20</v>
      </c>
      <c r="AH308" s="5" t="s">
        <v>362</v>
      </c>
      <c r="AI308" s="5" t="s">
        <v>362</v>
      </c>
      <c r="AJ308" s="5" t="s">
        <v>362</v>
      </c>
      <c r="AK308" s="5" t="s">
        <v>362</v>
      </c>
      <c r="AL308" s="5" t="s">
        <v>362</v>
      </c>
      <c r="AM308" s="5" t="s">
        <v>362</v>
      </c>
      <c r="AN308" s="5" t="s">
        <v>362</v>
      </c>
      <c r="AO308" s="5" t="s">
        <v>362</v>
      </c>
      <c r="AP308" s="44">
        <f t="shared" si="86"/>
        <v>0.96558292171362115</v>
      </c>
      <c r="AQ308" s="45">
        <v>635</v>
      </c>
      <c r="AR308" s="35">
        <f t="shared" si="79"/>
        <v>173.18181818181819</v>
      </c>
      <c r="AS308" s="35">
        <f t="shared" si="80"/>
        <v>167.2</v>
      </c>
      <c r="AT308" s="35">
        <f t="shared" si="81"/>
        <v>-5.9818181818181984</v>
      </c>
      <c r="AU308" s="35">
        <v>62.3</v>
      </c>
      <c r="AV308" s="35">
        <v>57.3</v>
      </c>
      <c r="AW308" s="35">
        <f t="shared" si="82"/>
        <v>47.6</v>
      </c>
      <c r="AX308" s="35"/>
      <c r="AY308" s="35">
        <f t="shared" si="83"/>
        <v>47.6</v>
      </c>
      <c r="AZ308" s="35">
        <v>0</v>
      </c>
      <c r="BA308" s="35">
        <f t="shared" si="84"/>
        <v>47.6</v>
      </c>
      <c r="BB308" s="35">
        <f>MIN(BA308,3.1)</f>
        <v>3.1</v>
      </c>
      <c r="BC308" s="35">
        <f t="shared" si="85"/>
        <v>44.5</v>
      </c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10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10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10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10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10"/>
      <c r="GZ308" s="9"/>
      <c r="HA308" s="9"/>
    </row>
    <row r="309" spans="1:209" s="2" customFormat="1" ht="17" customHeight="1">
      <c r="A309" s="46" t="s">
        <v>302</v>
      </c>
      <c r="B309" s="35">
        <v>1899</v>
      </c>
      <c r="C309" s="35">
        <v>1643.5</v>
      </c>
      <c r="D309" s="4">
        <f t="shared" si="74"/>
        <v>0.86545550289626116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185.8</v>
      </c>
      <c r="O309" s="35">
        <v>152.69999999999999</v>
      </c>
      <c r="P309" s="4">
        <f t="shared" si="75"/>
        <v>0.82185145317545738</v>
      </c>
      <c r="Q309" s="11">
        <v>20</v>
      </c>
      <c r="R309" s="35">
        <v>150</v>
      </c>
      <c r="S309" s="35">
        <v>160.1</v>
      </c>
      <c r="T309" s="4">
        <f t="shared" si="76"/>
        <v>1.0673333333333332</v>
      </c>
      <c r="U309" s="11">
        <v>20</v>
      </c>
      <c r="V309" s="35">
        <v>5.0999999999999996</v>
      </c>
      <c r="W309" s="35">
        <v>5.3</v>
      </c>
      <c r="X309" s="4">
        <f t="shared" si="77"/>
        <v>1.0392156862745099</v>
      </c>
      <c r="Y309" s="11">
        <v>30</v>
      </c>
      <c r="Z309" s="11" t="s">
        <v>385</v>
      </c>
      <c r="AA309" s="11" t="s">
        <v>385</v>
      </c>
      <c r="AB309" s="11" t="s">
        <v>385</v>
      </c>
      <c r="AC309" s="11" t="s">
        <v>385</v>
      </c>
      <c r="AD309" s="11">
        <v>139</v>
      </c>
      <c r="AE309" s="11">
        <v>129</v>
      </c>
      <c r="AF309" s="4">
        <f t="shared" si="78"/>
        <v>0.92805755395683454</v>
      </c>
      <c r="AG309" s="11">
        <v>20</v>
      </c>
      <c r="AH309" s="5" t="s">
        <v>362</v>
      </c>
      <c r="AI309" s="5" t="s">
        <v>362</v>
      </c>
      <c r="AJ309" s="5" t="s">
        <v>362</v>
      </c>
      <c r="AK309" s="5" t="s">
        <v>362</v>
      </c>
      <c r="AL309" s="5" t="s">
        <v>362</v>
      </c>
      <c r="AM309" s="5" t="s">
        <v>362</v>
      </c>
      <c r="AN309" s="5" t="s">
        <v>362</v>
      </c>
      <c r="AO309" s="5" t="s">
        <v>362</v>
      </c>
      <c r="AP309" s="44">
        <f t="shared" si="86"/>
        <v>0.96175872426510411</v>
      </c>
      <c r="AQ309" s="45">
        <v>892</v>
      </c>
      <c r="AR309" s="35">
        <f t="shared" si="79"/>
        <v>243.27272727272728</v>
      </c>
      <c r="AS309" s="35">
        <f t="shared" si="80"/>
        <v>234</v>
      </c>
      <c r="AT309" s="35">
        <f t="shared" si="81"/>
        <v>-9.2727272727272805</v>
      </c>
      <c r="AU309" s="35">
        <v>85.6</v>
      </c>
      <c r="AV309" s="35">
        <v>69.5</v>
      </c>
      <c r="AW309" s="35">
        <f t="shared" si="82"/>
        <v>78.900000000000006</v>
      </c>
      <c r="AX309" s="35"/>
      <c r="AY309" s="35">
        <f t="shared" si="83"/>
        <v>78.900000000000006</v>
      </c>
      <c r="AZ309" s="35">
        <v>0</v>
      </c>
      <c r="BA309" s="35">
        <f t="shared" si="84"/>
        <v>78.900000000000006</v>
      </c>
      <c r="BB309" s="35">
        <f>MIN(BA309,40.5)</f>
        <v>40.5</v>
      </c>
      <c r="BC309" s="35">
        <f t="shared" si="85"/>
        <v>38.4</v>
      </c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10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10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10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10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10"/>
      <c r="GZ309" s="9"/>
      <c r="HA309" s="9"/>
    </row>
    <row r="310" spans="1:209" s="2" customFormat="1" ht="17" customHeight="1">
      <c r="A310" s="46" t="s">
        <v>303</v>
      </c>
      <c r="B310" s="35">
        <v>0</v>
      </c>
      <c r="C310" s="35">
        <v>0</v>
      </c>
      <c r="D310" s="4">
        <f t="shared" si="74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161.4</v>
      </c>
      <c r="O310" s="35">
        <v>369.9</v>
      </c>
      <c r="P310" s="4">
        <f t="shared" si="75"/>
        <v>1.3</v>
      </c>
      <c r="Q310" s="11">
        <v>20</v>
      </c>
      <c r="R310" s="35">
        <v>65</v>
      </c>
      <c r="S310" s="35">
        <v>73.400000000000006</v>
      </c>
      <c r="T310" s="4">
        <f t="shared" si="76"/>
        <v>1.1292307692307693</v>
      </c>
      <c r="U310" s="11">
        <v>20</v>
      </c>
      <c r="V310" s="35">
        <v>13</v>
      </c>
      <c r="W310" s="35">
        <v>13.4</v>
      </c>
      <c r="X310" s="4">
        <f t="shared" si="77"/>
        <v>1.0307692307692309</v>
      </c>
      <c r="Y310" s="11">
        <v>30</v>
      </c>
      <c r="Z310" s="11" t="s">
        <v>385</v>
      </c>
      <c r="AA310" s="11" t="s">
        <v>385</v>
      </c>
      <c r="AB310" s="11" t="s">
        <v>385</v>
      </c>
      <c r="AC310" s="11" t="s">
        <v>385</v>
      </c>
      <c r="AD310" s="11">
        <v>99</v>
      </c>
      <c r="AE310" s="11">
        <v>85</v>
      </c>
      <c r="AF310" s="4">
        <f t="shared" si="78"/>
        <v>0.85858585858585856</v>
      </c>
      <c r="AG310" s="11">
        <v>20</v>
      </c>
      <c r="AH310" s="5" t="s">
        <v>362</v>
      </c>
      <c r="AI310" s="5" t="s">
        <v>362</v>
      </c>
      <c r="AJ310" s="5" t="s">
        <v>362</v>
      </c>
      <c r="AK310" s="5" t="s">
        <v>362</v>
      </c>
      <c r="AL310" s="5" t="s">
        <v>362</v>
      </c>
      <c r="AM310" s="5" t="s">
        <v>362</v>
      </c>
      <c r="AN310" s="5" t="s">
        <v>362</v>
      </c>
      <c r="AO310" s="5" t="s">
        <v>362</v>
      </c>
      <c r="AP310" s="44">
        <f t="shared" si="86"/>
        <v>1.0742156608823277</v>
      </c>
      <c r="AQ310" s="45">
        <v>610</v>
      </c>
      <c r="AR310" s="35">
        <f t="shared" si="79"/>
        <v>166.36363636363637</v>
      </c>
      <c r="AS310" s="35">
        <f t="shared" si="80"/>
        <v>178.7</v>
      </c>
      <c r="AT310" s="35">
        <f t="shared" si="81"/>
        <v>12.336363636363615</v>
      </c>
      <c r="AU310" s="35">
        <v>67.8</v>
      </c>
      <c r="AV310" s="35">
        <v>59.4</v>
      </c>
      <c r="AW310" s="35">
        <f t="shared" si="82"/>
        <v>51.5</v>
      </c>
      <c r="AX310" s="35"/>
      <c r="AY310" s="35">
        <f t="shared" si="83"/>
        <v>51.5</v>
      </c>
      <c r="AZ310" s="35">
        <v>0</v>
      </c>
      <c r="BA310" s="35">
        <f t="shared" si="84"/>
        <v>51.5</v>
      </c>
      <c r="BB310" s="35">
        <f>MIN(BA310,27.7)</f>
        <v>27.7</v>
      </c>
      <c r="BC310" s="35">
        <f t="shared" si="85"/>
        <v>23.8</v>
      </c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10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10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10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10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10"/>
      <c r="GZ310" s="9"/>
      <c r="HA310" s="9"/>
    </row>
    <row r="311" spans="1:209" s="2" customFormat="1" ht="17" customHeight="1">
      <c r="A311" s="46" t="s">
        <v>304</v>
      </c>
      <c r="B311" s="35">
        <v>40703</v>
      </c>
      <c r="C311" s="35">
        <v>36341.5</v>
      </c>
      <c r="D311" s="4">
        <f t="shared" si="74"/>
        <v>0.89284573618652185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599.20000000000005</v>
      </c>
      <c r="O311" s="35">
        <v>602.29999999999995</v>
      </c>
      <c r="P311" s="4">
        <f t="shared" si="75"/>
        <v>1.0051735647530038</v>
      </c>
      <c r="Q311" s="11">
        <v>20</v>
      </c>
      <c r="R311" s="35">
        <v>42</v>
      </c>
      <c r="S311" s="35">
        <v>46.2</v>
      </c>
      <c r="T311" s="4">
        <f t="shared" si="76"/>
        <v>1.1000000000000001</v>
      </c>
      <c r="U311" s="11">
        <v>20</v>
      </c>
      <c r="V311" s="35">
        <v>15</v>
      </c>
      <c r="W311" s="35">
        <v>17.8</v>
      </c>
      <c r="X311" s="4">
        <f t="shared" si="77"/>
        <v>1.1866666666666668</v>
      </c>
      <c r="Y311" s="11">
        <v>30</v>
      </c>
      <c r="Z311" s="11" t="s">
        <v>385</v>
      </c>
      <c r="AA311" s="11" t="s">
        <v>385</v>
      </c>
      <c r="AB311" s="11" t="s">
        <v>385</v>
      </c>
      <c r="AC311" s="11" t="s">
        <v>385</v>
      </c>
      <c r="AD311" s="11">
        <v>125</v>
      </c>
      <c r="AE311" s="11">
        <v>115</v>
      </c>
      <c r="AF311" s="4">
        <f t="shared" si="78"/>
        <v>0.92</v>
      </c>
      <c r="AG311" s="11">
        <v>20</v>
      </c>
      <c r="AH311" s="5" t="s">
        <v>362</v>
      </c>
      <c r="AI311" s="5" t="s">
        <v>362</v>
      </c>
      <c r="AJ311" s="5" t="s">
        <v>362</v>
      </c>
      <c r="AK311" s="5" t="s">
        <v>362</v>
      </c>
      <c r="AL311" s="5" t="s">
        <v>362</v>
      </c>
      <c r="AM311" s="5" t="s">
        <v>362</v>
      </c>
      <c r="AN311" s="5" t="s">
        <v>362</v>
      </c>
      <c r="AO311" s="5" t="s">
        <v>362</v>
      </c>
      <c r="AP311" s="44">
        <f t="shared" si="86"/>
        <v>1.050319286569253</v>
      </c>
      <c r="AQ311" s="45">
        <v>430</v>
      </c>
      <c r="AR311" s="35">
        <f t="shared" si="79"/>
        <v>117.27272727272728</v>
      </c>
      <c r="AS311" s="35">
        <f t="shared" si="80"/>
        <v>123.2</v>
      </c>
      <c r="AT311" s="35">
        <f t="shared" si="81"/>
        <v>5.9272727272727224</v>
      </c>
      <c r="AU311" s="35">
        <v>36.700000000000003</v>
      </c>
      <c r="AV311" s="35">
        <v>45</v>
      </c>
      <c r="AW311" s="35">
        <f t="shared" si="82"/>
        <v>41.5</v>
      </c>
      <c r="AX311" s="35"/>
      <c r="AY311" s="35">
        <f t="shared" si="83"/>
        <v>41.5</v>
      </c>
      <c r="AZ311" s="35">
        <v>0</v>
      </c>
      <c r="BA311" s="35">
        <f t="shared" si="84"/>
        <v>41.5</v>
      </c>
      <c r="BB311" s="35">
        <f>MIN(BA311,19.5)</f>
        <v>19.5</v>
      </c>
      <c r="BC311" s="35">
        <f t="shared" si="85"/>
        <v>22</v>
      </c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10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10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10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10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10"/>
      <c r="GZ311" s="9"/>
      <c r="HA311" s="9"/>
    </row>
    <row r="312" spans="1:209" s="2" customFormat="1" ht="17" customHeight="1">
      <c r="A312" s="46" t="s">
        <v>305</v>
      </c>
      <c r="B312" s="35">
        <v>14300</v>
      </c>
      <c r="C312" s="35">
        <v>13467.4</v>
      </c>
      <c r="D312" s="4">
        <f t="shared" si="74"/>
        <v>0.94177622377622372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1575.1</v>
      </c>
      <c r="O312" s="35">
        <v>848.8</v>
      </c>
      <c r="P312" s="4">
        <f t="shared" si="75"/>
        <v>0.53888641990984698</v>
      </c>
      <c r="Q312" s="11">
        <v>20</v>
      </c>
      <c r="R312" s="35">
        <v>0</v>
      </c>
      <c r="S312" s="35">
        <v>0</v>
      </c>
      <c r="T312" s="4">
        <f t="shared" si="76"/>
        <v>1</v>
      </c>
      <c r="U312" s="11">
        <v>20</v>
      </c>
      <c r="V312" s="35">
        <v>0</v>
      </c>
      <c r="W312" s="35">
        <v>0</v>
      </c>
      <c r="X312" s="4">
        <f t="shared" si="77"/>
        <v>1</v>
      </c>
      <c r="Y312" s="11">
        <v>30</v>
      </c>
      <c r="Z312" s="11" t="s">
        <v>385</v>
      </c>
      <c r="AA312" s="11" t="s">
        <v>385</v>
      </c>
      <c r="AB312" s="11" t="s">
        <v>385</v>
      </c>
      <c r="AC312" s="11" t="s">
        <v>385</v>
      </c>
      <c r="AD312" s="11">
        <v>12</v>
      </c>
      <c r="AE312" s="11">
        <v>15</v>
      </c>
      <c r="AF312" s="4">
        <f t="shared" si="78"/>
        <v>1.2050000000000001</v>
      </c>
      <c r="AG312" s="11">
        <v>20</v>
      </c>
      <c r="AH312" s="5" t="s">
        <v>362</v>
      </c>
      <c r="AI312" s="5" t="s">
        <v>362</v>
      </c>
      <c r="AJ312" s="5" t="s">
        <v>362</v>
      </c>
      <c r="AK312" s="5" t="s">
        <v>362</v>
      </c>
      <c r="AL312" s="5" t="s">
        <v>362</v>
      </c>
      <c r="AM312" s="5" t="s">
        <v>362</v>
      </c>
      <c r="AN312" s="5" t="s">
        <v>362</v>
      </c>
      <c r="AO312" s="5" t="s">
        <v>362</v>
      </c>
      <c r="AP312" s="44">
        <f t="shared" si="86"/>
        <v>0.94295490635959167</v>
      </c>
      <c r="AQ312" s="45">
        <v>696</v>
      </c>
      <c r="AR312" s="35">
        <f t="shared" si="79"/>
        <v>189.81818181818181</v>
      </c>
      <c r="AS312" s="35">
        <f t="shared" si="80"/>
        <v>179</v>
      </c>
      <c r="AT312" s="35">
        <f t="shared" si="81"/>
        <v>-10.818181818181813</v>
      </c>
      <c r="AU312" s="35">
        <v>69.599999999999994</v>
      </c>
      <c r="AV312" s="35">
        <v>46.3</v>
      </c>
      <c r="AW312" s="35">
        <f t="shared" si="82"/>
        <v>63.1</v>
      </c>
      <c r="AX312" s="35"/>
      <c r="AY312" s="35">
        <f t="shared" si="83"/>
        <v>63.1</v>
      </c>
      <c r="AZ312" s="35">
        <v>0</v>
      </c>
      <c r="BA312" s="35">
        <f t="shared" si="84"/>
        <v>63.1</v>
      </c>
      <c r="BB312" s="35">
        <f>MIN(BA312,31.6)</f>
        <v>31.6</v>
      </c>
      <c r="BC312" s="35">
        <f>IF((BA312-BB312)&gt;0,ROUND(BA312-BB312,1),0)</f>
        <v>31.5</v>
      </c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10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10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10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10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10"/>
      <c r="GZ312" s="9"/>
      <c r="HA312" s="9"/>
    </row>
    <row r="313" spans="1:209" s="2" customFormat="1" ht="17" customHeight="1">
      <c r="A313" s="46" t="s">
        <v>306</v>
      </c>
      <c r="B313" s="35">
        <v>3900</v>
      </c>
      <c r="C313" s="35">
        <v>7120</v>
      </c>
      <c r="D313" s="4">
        <f t="shared" si="74"/>
        <v>1.2625641025641026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760.5</v>
      </c>
      <c r="O313" s="35">
        <v>558.1</v>
      </c>
      <c r="P313" s="4">
        <f t="shared" si="75"/>
        <v>0.7338593030900723</v>
      </c>
      <c r="Q313" s="11">
        <v>20</v>
      </c>
      <c r="R313" s="35">
        <v>60</v>
      </c>
      <c r="S313" s="35">
        <v>71.8</v>
      </c>
      <c r="T313" s="4">
        <f t="shared" si="76"/>
        <v>1.1966666666666665</v>
      </c>
      <c r="U313" s="11">
        <v>30</v>
      </c>
      <c r="V313" s="35">
        <v>0</v>
      </c>
      <c r="W313" s="35">
        <v>0</v>
      </c>
      <c r="X313" s="4">
        <f t="shared" si="77"/>
        <v>1</v>
      </c>
      <c r="Y313" s="11">
        <v>20</v>
      </c>
      <c r="Z313" s="11" t="s">
        <v>385</v>
      </c>
      <c r="AA313" s="11" t="s">
        <v>385</v>
      </c>
      <c r="AB313" s="11" t="s">
        <v>385</v>
      </c>
      <c r="AC313" s="11" t="s">
        <v>385</v>
      </c>
      <c r="AD313" s="11">
        <v>128</v>
      </c>
      <c r="AE313" s="11">
        <v>132</v>
      </c>
      <c r="AF313" s="4">
        <f t="shared" si="78"/>
        <v>1.03125</v>
      </c>
      <c r="AG313" s="11">
        <v>20</v>
      </c>
      <c r="AH313" s="5" t="s">
        <v>362</v>
      </c>
      <c r="AI313" s="5" t="s">
        <v>362</v>
      </c>
      <c r="AJ313" s="5" t="s">
        <v>362</v>
      </c>
      <c r="AK313" s="5" t="s">
        <v>362</v>
      </c>
      <c r="AL313" s="5" t="s">
        <v>362</v>
      </c>
      <c r="AM313" s="5" t="s">
        <v>362</v>
      </c>
      <c r="AN313" s="5" t="s">
        <v>362</v>
      </c>
      <c r="AO313" s="5" t="s">
        <v>362</v>
      </c>
      <c r="AP313" s="44">
        <f t="shared" si="86"/>
        <v>1.0382782708744247</v>
      </c>
      <c r="AQ313" s="45">
        <v>595</v>
      </c>
      <c r="AR313" s="35">
        <f t="shared" si="79"/>
        <v>162.27272727272728</v>
      </c>
      <c r="AS313" s="35">
        <f t="shared" si="80"/>
        <v>168.5</v>
      </c>
      <c r="AT313" s="35">
        <f t="shared" si="81"/>
        <v>6.2272727272727195</v>
      </c>
      <c r="AU313" s="35">
        <v>49.3</v>
      </c>
      <c r="AV313" s="35">
        <v>55.5</v>
      </c>
      <c r="AW313" s="35">
        <f t="shared" si="82"/>
        <v>63.7</v>
      </c>
      <c r="AX313" s="35"/>
      <c r="AY313" s="35">
        <f t="shared" si="83"/>
        <v>63.7</v>
      </c>
      <c r="AZ313" s="35">
        <v>0</v>
      </c>
      <c r="BA313" s="35">
        <f t="shared" si="84"/>
        <v>63.7</v>
      </c>
      <c r="BB313" s="35">
        <f>MIN(BA313,19.5)</f>
        <v>19.5</v>
      </c>
      <c r="BC313" s="35">
        <f t="shared" si="85"/>
        <v>44.2</v>
      </c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10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10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10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10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10"/>
      <c r="GZ313" s="9"/>
      <c r="HA313" s="9"/>
    </row>
    <row r="314" spans="1:209" s="2" customFormat="1" ht="17" customHeight="1">
      <c r="A314" s="46" t="s">
        <v>307</v>
      </c>
      <c r="B314" s="35">
        <v>0</v>
      </c>
      <c r="C314" s="35">
        <v>0</v>
      </c>
      <c r="D314" s="4">
        <f t="shared" si="74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484.6</v>
      </c>
      <c r="O314" s="35">
        <v>310</v>
      </c>
      <c r="P314" s="4">
        <f t="shared" si="75"/>
        <v>0.63970284770945107</v>
      </c>
      <c r="Q314" s="11">
        <v>20</v>
      </c>
      <c r="R314" s="35">
        <v>60</v>
      </c>
      <c r="S314" s="35">
        <v>70.7</v>
      </c>
      <c r="T314" s="4">
        <f t="shared" si="76"/>
        <v>1.1783333333333335</v>
      </c>
      <c r="U314" s="11">
        <v>10</v>
      </c>
      <c r="V314" s="35">
        <v>0</v>
      </c>
      <c r="W314" s="35">
        <v>0</v>
      </c>
      <c r="X314" s="4">
        <f t="shared" si="77"/>
        <v>1</v>
      </c>
      <c r="Y314" s="11">
        <v>40</v>
      </c>
      <c r="Z314" s="11" t="s">
        <v>385</v>
      </c>
      <c r="AA314" s="11" t="s">
        <v>385</v>
      </c>
      <c r="AB314" s="11" t="s">
        <v>385</v>
      </c>
      <c r="AC314" s="11" t="s">
        <v>385</v>
      </c>
      <c r="AD314" s="11">
        <v>215</v>
      </c>
      <c r="AE314" s="11">
        <v>241</v>
      </c>
      <c r="AF314" s="4">
        <f t="shared" si="78"/>
        <v>1.1209302325581396</v>
      </c>
      <c r="AG314" s="11">
        <v>20</v>
      </c>
      <c r="AH314" s="5" t="s">
        <v>362</v>
      </c>
      <c r="AI314" s="5" t="s">
        <v>362</v>
      </c>
      <c r="AJ314" s="5" t="s">
        <v>362</v>
      </c>
      <c r="AK314" s="5" t="s">
        <v>362</v>
      </c>
      <c r="AL314" s="5" t="s">
        <v>362</v>
      </c>
      <c r="AM314" s="5" t="s">
        <v>362</v>
      </c>
      <c r="AN314" s="5" t="s">
        <v>362</v>
      </c>
      <c r="AO314" s="5" t="s">
        <v>362</v>
      </c>
      <c r="AP314" s="44">
        <f t="shared" si="86"/>
        <v>0.96662216598539052</v>
      </c>
      <c r="AQ314" s="45">
        <v>918</v>
      </c>
      <c r="AR314" s="35">
        <f t="shared" si="79"/>
        <v>250.36363636363637</v>
      </c>
      <c r="AS314" s="35">
        <f t="shared" si="80"/>
        <v>242</v>
      </c>
      <c r="AT314" s="35">
        <f t="shared" si="81"/>
        <v>-8.363636363636374</v>
      </c>
      <c r="AU314" s="35">
        <v>73.900000000000006</v>
      </c>
      <c r="AV314" s="35">
        <v>81.8</v>
      </c>
      <c r="AW314" s="35">
        <f t="shared" si="82"/>
        <v>86.3</v>
      </c>
      <c r="AX314" s="35"/>
      <c r="AY314" s="35">
        <f t="shared" si="83"/>
        <v>86.3</v>
      </c>
      <c r="AZ314" s="35">
        <v>0</v>
      </c>
      <c r="BA314" s="35">
        <f t="shared" si="84"/>
        <v>86.3</v>
      </c>
      <c r="BB314" s="35">
        <f>MIN(BA314,33.8)</f>
        <v>33.799999999999997</v>
      </c>
      <c r="BC314" s="35">
        <f t="shared" si="85"/>
        <v>52.5</v>
      </c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10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10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10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10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10"/>
      <c r="GZ314" s="9"/>
      <c r="HA314" s="9"/>
    </row>
    <row r="315" spans="1:209" s="2" customFormat="1" ht="17" customHeight="1">
      <c r="A315" s="46" t="s">
        <v>308</v>
      </c>
      <c r="B315" s="35">
        <v>0</v>
      </c>
      <c r="C315" s="35">
        <v>0</v>
      </c>
      <c r="D315" s="4">
        <f t="shared" si="74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1197.5</v>
      </c>
      <c r="O315" s="35">
        <v>514.9</v>
      </c>
      <c r="P315" s="4">
        <f t="shared" si="75"/>
        <v>0.42997912317327763</v>
      </c>
      <c r="Q315" s="11">
        <v>20</v>
      </c>
      <c r="R315" s="35">
        <v>336</v>
      </c>
      <c r="S315" s="35">
        <v>384.3</v>
      </c>
      <c r="T315" s="4">
        <f t="shared" si="76"/>
        <v>1.14375</v>
      </c>
      <c r="U315" s="11">
        <v>40</v>
      </c>
      <c r="V315" s="35">
        <v>0</v>
      </c>
      <c r="W315" s="35">
        <v>0</v>
      </c>
      <c r="X315" s="4">
        <f t="shared" si="77"/>
        <v>1</v>
      </c>
      <c r="Y315" s="11">
        <v>10</v>
      </c>
      <c r="Z315" s="11" t="s">
        <v>385</v>
      </c>
      <c r="AA315" s="11" t="s">
        <v>385</v>
      </c>
      <c r="AB315" s="11" t="s">
        <v>385</v>
      </c>
      <c r="AC315" s="11" t="s">
        <v>385</v>
      </c>
      <c r="AD315" s="11">
        <v>190</v>
      </c>
      <c r="AE315" s="11">
        <v>219</v>
      </c>
      <c r="AF315" s="4">
        <f t="shared" si="78"/>
        <v>1.1526315789473685</v>
      </c>
      <c r="AG315" s="11">
        <v>20</v>
      </c>
      <c r="AH315" s="5" t="s">
        <v>362</v>
      </c>
      <c r="AI315" s="5" t="s">
        <v>362</v>
      </c>
      <c r="AJ315" s="5" t="s">
        <v>362</v>
      </c>
      <c r="AK315" s="5" t="s">
        <v>362</v>
      </c>
      <c r="AL315" s="5" t="s">
        <v>362</v>
      </c>
      <c r="AM315" s="5" t="s">
        <v>362</v>
      </c>
      <c r="AN315" s="5" t="s">
        <v>362</v>
      </c>
      <c r="AO315" s="5" t="s">
        <v>362</v>
      </c>
      <c r="AP315" s="44">
        <f t="shared" si="86"/>
        <v>0.97113571158236578</v>
      </c>
      <c r="AQ315" s="45">
        <v>5</v>
      </c>
      <c r="AR315" s="35">
        <f t="shared" si="79"/>
        <v>1.3636363636363635</v>
      </c>
      <c r="AS315" s="35">
        <f t="shared" si="80"/>
        <v>1.3</v>
      </c>
      <c r="AT315" s="35">
        <f t="shared" si="81"/>
        <v>-6.3636363636363491E-2</v>
      </c>
      <c r="AU315" s="35">
        <v>0.5</v>
      </c>
      <c r="AV315" s="35">
        <v>0.4</v>
      </c>
      <c r="AW315" s="35">
        <f t="shared" si="82"/>
        <v>0.4</v>
      </c>
      <c r="AX315" s="35"/>
      <c r="AY315" s="35">
        <f t="shared" si="83"/>
        <v>0.4</v>
      </c>
      <c r="AZ315" s="35">
        <v>0</v>
      </c>
      <c r="BA315" s="35">
        <f t="shared" si="84"/>
        <v>0.4</v>
      </c>
      <c r="BB315" s="35">
        <f>MIN(BA315,0.2)</f>
        <v>0.2</v>
      </c>
      <c r="BC315" s="35">
        <f t="shared" si="85"/>
        <v>0.2</v>
      </c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10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10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10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10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10"/>
      <c r="GZ315" s="9"/>
      <c r="HA315" s="9"/>
    </row>
    <row r="316" spans="1:209" s="2" customFormat="1" ht="17" customHeight="1">
      <c r="A316" s="46" t="s">
        <v>309</v>
      </c>
      <c r="B316" s="35">
        <v>330</v>
      </c>
      <c r="C316" s="35">
        <v>15712</v>
      </c>
      <c r="D316" s="4">
        <f t="shared" si="74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320.89999999999998</v>
      </c>
      <c r="O316" s="35">
        <v>104.9</v>
      </c>
      <c r="P316" s="4">
        <f t="shared" si="75"/>
        <v>0.32689311311935187</v>
      </c>
      <c r="Q316" s="11">
        <v>20</v>
      </c>
      <c r="R316" s="35">
        <v>0</v>
      </c>
      <c r="S316" s="35">
        <v>1.4</v>
      </c>
      <c r="T316" s="4">
        <f t="shared" si="76"/>
        <v>1</v>
      </c>
      <c r="U316" s="11">
        <v>15</v>
      </c>
      <c r="V316" s="35">
        <v>1.2</v>
      </c>
      <c r="W316" s="35">
        <v>1.4</v>
      </c>
      <c r="X316" s="4">
        <f t="shared" si="77"/>
        <v>1.1666666666666667</v>
      </c>
      <c r="Y316" s="11">
        <v>35</v>
      </c>
      <c r="Z316" s="11" t="s">
        <v>385</v>
      </c>
      <c r="AA316" s="11" t="s">
        <v>385</v>
      </c>
      <c r="AB316" s="11" t="s">
        <v>385</v>
      </c>
      <c r="AC316" s="11" t="s">
        <v>385</v>
      </c>
      <c r="AD316" s="11">
        <v>17</v>
      </c>
      <c r="AE316" s="11">
        <v>25</v>
      </c>
      <c r="AF316" s="4">
        <f t="shared" si="78"/>
        <v>1.2270588235294118</v>
      </c>
      <c r="AG316" s="11">
        <v>20</v>
      </c>
      <c r="AH316" s="5" t="s">
        <v>362</v>
      </c>
      <c r="AI316" s="5" t="s">
        <v>362</v>
      </c>
      <c r="AJ316" s="5" t="s">
        <v>362</v>
      </c>
      <c r="AK316" s="5" t="s">
        <v>362</v>
      </c>
      <c r="AL316" s="5" t="s">
        <v>362</v>
      </c>
      <c r="AM316" s="5" t="s">
        <v>362</v>
      </c>
      <c r="AN316" s="5" t="s">
        <v>362</v>
      </c>
      <c r="AO316" s="5" t="s">
        <v>362</v>
      </c>
      <c r="AP316" s="44">
        <f t="shared" si="86"/>
        <v>0.99912372066308597</v>
      </c>
      <c r="AQ316" s="45">
        <v>629</v>
      </c>
      <c r="AR316" s="35">
        <f t="shared" si="79"/>
        <v>171.54545454545453</v>
      </c>
      <c r="AS316" s="35">
        <f t="shared" si="80"/>
        <v>171.4</v>
      </c>
      <c r="AT316" s="35">
        <f t="shared" si="81"/>
        <v>-0.14545454545452685</v>
      </c>
      <c r="AU316" s="35">
        <v>61.2</v>
      </c>
      <c r="AV316" s="35">
        <v>51.3</v>
      </c>
      <c r="AW316" s="35">
        <f t="shared" si="82"/>
        <v>58.9</v>
      </c>
      <c r="AX316" s="35"/>
      <c r="AY316" s="35">
        <f t="shared" si="83"/>
        <v>58.9</v>
      </c>
      <c r="AZ316" s="35">
        <v>0</v>
      </c>
      <c r="BA316" s="35">
        <f t="shared" si="84"/>
        <v>58.9</v>
      </c>
      <c r="BB316" s="35">
        <f>MIN(BA316,28.6)</f>
        <v>28.6</v>
      </c>
      <c r="BC316" s="35">
        <f t="shared" si="85"/>
        <v>30.3</v>
      </c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10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10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10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10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10"/>
      <c r="GZ316" s="9"/>
      <c r="HA316" s="9"/>
    </row>
    <row r="317" spans="1:209" s="2" customFormat="1" ht="17" customHeight="1">
      <c r="A317" s="46" t="s">
        <v>310</v>
      </c>
      <c r="B317" s="35">
        <v>2612</v>
      </c>
      <c r="C317" s="35">
        <v>2117.3000000000002</v>
      </c>
      <c r="D317" s="4">
        <f t="shared" si="74"/>
        <v>0.81060490045941813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328.2</v>
      </c>
      <c r="O317" s="35">
        <v>183.9</v>
      </c>
      <c r="P317" s="4">
        <f t="shared" si="75"/>
        <v>0.56032906764168189</v>
      </c>
      <c r="Q317" s="11">
        <v>20</v>
      </c>
      <c r="R317" s="35">
        <v>42</v>
      </c>
      <c r="S317" s="35">
        <v>47.2</v>
      </c>
      <c r="T317" s="4">
        <f t="shared" si="76"/>
        <v>1.1238095238095238</v>
      </c>
      <c r="U317" s="11">
        <v>20</v>
      </c>
      <c r="V317" s="35">
        <v>0</v>
      </c>
      <c r="W317" s="35">
        <v>0</v>
      </c>
      <c r="X317" s="4">
        <f t="shared" si="77"/>
        <v>1</v>
      </c>
      <c r="Y317" s="11">
        <v>30</v>
      </c>
      <c r="Z317" s="11" t="s">
        <v>385</v>
      </c>
      <c r="AA317" s="11" t="s">
        <v>385</v>
      </c>
      <c r="AB317" s="11" t="s">
        <v>385</v>
      </c>
      <c r="AC317" s="11" t="s">
        <v>385</v>
      </c>
      <c r="AD317" s="11">
        <v>83</v>
      </c>
      <c r="AE317" s="11">
        <v>83</v>
      </c>
      <c r="AF317" s="4">
        <f t="shared" si="78"/>
        <v>1</v>
      </c>
      <c r="AG317" s="11">
        <v>20</v>
      </c>
      <c r="AH317" s="5" t="s">
        <v>362</v>
      </c>
      <c r="AI317" s="5" t="s">
        <v>362</v>
      </c>
      <c r="AJ317" s="5" t="s">
        <v>362</v>
      </c>
      <c r="AK317" s="5" t="s">
        <v>362</v>
      </c>
      <c r="AL317" s="5" t="s">
        <v>362</v>
      </c>
      <c r="AM317" s="5" t="s">
        <v>362</v>
      </c>
      <c r="AN317" s="5" t="s">
        <v>362</v>
      </c>
      <c r="AO317" s="5" t="s">
        <v>362</v>
      </c>
      <c r="AP317" s="44">
        <f t="shared" si="86"/>
        <v>0.91788820833618301</v>
      </c>
      <c r="AQ317" s="45">
        <v>1119</v>
      </c>
      <c r="AR317" s="35">
        <f t="shared" si="79"/>
        <v>305.18181818181819</v>
      </c>
      <c r="AS317" s="35">
        <f t="shared" si="80"/>
        <v>280.10000000000002</v>
      </c>
      <c r="AT317" s="35">
        <f t="shared" si="81"/>
        <v>-25.081818181818164</v>
      </c>
      <c r="AU317" s="35">
        <v>91.5</v>
      </c>
      <c r="AV317" s="35">
        <v>93.1</v>
      </c>
      <c r="AW317" s="35">
        <f t="shared" si="82"/>
        <v>95.5</v>
      </c>
      <c r="AX317" s="35"/>
      <c r="AY317" s="35">
        <f t="shared" si="83"/>
        <v>95.5</v>
      </c>
      <c r="AZ317" s="35">
        <v>0</v>
      </c>
      <c r="BA317" s="35">
        <f t="shared" si="84"/>
        <v>95.5</v>
      </c>
      <c r="BB317" s="35">
        <f>MIN(BA317,50.9)</f>
        <v>50.9</v>
      </c>
      <c r="BC317" s="35">
        <f t="shared" si="85"/>
        <v>44.6</v>
      </c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10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10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10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10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10"/>
      <c r="GZ317" s="9"/>
      <c r="HA317" s="9"/>
    </row>
    <row r="318" spans="1:209" s="2" customFormat="1" ht="17" customHeight="1">
      <c r="A318" s="46" t="s">
        <v>311</v>
      </c>
      <c r="B318" s="35">
        <v>0</v>
      </c>
      <c r="C318" s="35">
        <v>0</v>
      </c>
      <c r="D318" s="4">
        <f t="shared" si="74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395.2</v>
      </c>
      <c r="O318" s="35">
        <v>73.099999999999994</v>
      </c>
      <c r="P318" s="4">
        <f t="shared" si="75"/>
        <v>0.18496963562753035</v>
      </c>
      <c r="Q318" s="11">
        <v>20</v>
      </c>
      <c r="R318" s="35">
        <v>0</v>
      </c>
      <c r="S318" s="35">
        <v>0</v>
      </c>
      <c r="T318" s="4">
        <f t="shared" si="76"/>
        <v>1</v>
      </c>
      <c r="U318" s="11">
        <v>20</v>
      </c>
      <c r="V318" s="35">
        <v>0</v>
      </c>
      <c r="W318" s="35">
        <v>0</v>
      </c>
      <c r="X318" s="4">
        <f t="shared" si="77"/>
        <v>1</v>
      </c>
      <c r="Y318" s="11">
        <v>30</v>
      </c>
      <c r="Z318" s="11" t="s">
        <v>385</v>
      </c>
      <c r="AA318" s="11" t="s">
        <v>385</v>
      </c>
      <c r="AB318" s="11" t="s">
        <v>385</v>
      </c>
      <c r="AC318" s="11" t="s">
        <v>385</v>
      </c>
      <c r="AD318" s="11">
        <v>77</v>
      </c>
      <c r="AE318" s="11">
        <v>77</v>
      </c>
      <c r="AF318" s="4">
        <f t="shared" si="78"/>
        <v>1</v>
      </c>
      <c r="AG318" s="11">
        <v>20</v>
      </c>
      <c r="AH318" s="5" t="s">
        <v>362</v>
      </c>
      <c r="AI318" s="5" t="s">
        <v>362</v>
      </c>
      <c r="AJ318" s="5" t="s">
        <v>362</v>
      </c>
      <c r="AK318" s="5" t="s">
        <v>362</v>
      </c>
      <c r="AL318" s="5" t="s">
        <v>362</v>
      </c>
      <c r="AM318" s="5" t="s">
        <v>362</v>
      </c>
      <c r="AN318" s="5" t="s">
        <v>362</v>
      </c>
      <c r="AO318" s="5" t="s">
        <v>362</v>
      </c>
      <c r="AP318" s="44">
        <f t="shared" si="86"/>
        <v>0.81888214125056225</v>
      </c>
      <c r="AQ318" s="45">
        <v>838</v>
      </c>
      <c r="AR318" s="35">
        <f t="shared" si="79"/>
        <v>228.54545454545456</v>
      </c>
      <c r="AS318" s="35">
        <f t="shared" si="80"/>
        <v>187.2</v>
      </c>
      <c r="AT318" s="35">
        <f t="shared" si="81"/>
        <v>-41.345454545454572</v>
      </c>
      <c r="AU318" s="35">
        <v>56.1</v>
      </c>
      <c r="AV318" s="35">
        <v>57.2</v>
      </c>
      <c r="AW318" s="35">
        <f t="shared" si="82"/>
        <v>73.900000000000006</v>
      </c>
      <c r="AX318" s="35"/>
      <c r="AY318" s="35">
        <f t="shared" si="83"/>
        <v>73.900000000000006</v>
      </c>
      <c r="AZ318" s="35">
        <v>0</v>
      </c>
      <c r="BA318" s="35">
        <f t="shared" si="84"/>
        <v>73.900000000000006</v>
      </c>
      <c r="BB318" s="35">
        <f>MIN(BA318,38.1)</f>
        <v>38.1</v>
      </c>
      <c r="BC318" s="35">
        <f t="shared" si="85"/>
        <v>35.799999999999997</v>
      </c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10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10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10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10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10"/>
      <c r="GZ318" s="9"/>
      <c r="HA318" s="9"/>
    </row>
    <row r="319" spans="1:209" s="2" customFormat="1" ht="17" customHeight="1">
      <c r="A319" s="46" t="s">
        <v>312</v>
      </c>
      <c r="B319" s="35">
        <v>8084</v>
      </c>
      <c r="C319" s="35">
        <v>4950</v>
      </c>
      <c r="D319" s="4">
        <f t="shared" si="74"/>
        <v>0.61232063334982678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1042.0999999999999</v>
      </c>
      <c r="O319" s="35">
        <v>664.8</v>
      </c>
      <c r="P319" s="4">
        <f t="shared" si="75"/>
        <v>0.63794261587179735</v>
      </c>
      <c r="Q319" s="11">
        <v>20</v>
      </c>
      <c r="R319" s="35">
        <v>825</v>
      </c>
      <c r="S319" s="35">
        <v>994.9</v>
      </c>
      <c r="T319" s="4">
        <f t="shared" si="76"/>
        <v>1.2005939393939393</v>
      </c>
      <c r="U319" s="11">
        <v>40</v>
      </c>
      <c r="V319" s="35">
        <v>2.5</v>
      </c>
      <c r="W319" s="35">
        <v>2.5</v>
      </c>
      <c r="X319" s="4">
        <f t="shared" si="77"/>
        <v>1</v>
      </c>
      <c r="Y319" s="11">
        <v>10</v>
      </c>
      <c r="Z319" s="11" t="s">
        <v>385</v>
      </c>
      <c r="AA319" s="11" t="s">
        <v>385</v>
      </c>
      <c r="AB319" s="11" t="s">
        <v>385</v>
      </c>
      <c r="AC319" s="11" t="s">
        <v>385</v>
      </c>
      <c r="AD319" s="11">
        <v>988</v>
      </c>
      <c r="AE319" s="11">
        <v>997</v>
      </c>
      <c r="AF319" s="4">
        <f t="shared" si="78"/>
        <v>1.0091093117408907</v>
      </c>
      <c r="AG319" s="11">
        <v>20</v>
      </c>
      <c r="AH319" s="5" t="s">
        <v>362</v>
      </c>
      <c r="AI319" s="5" t="s">
        <v>362</v>
      </c>
      <c r="AJ319" s="5" t="s">
        <v>362</v>
      </c>
      <c r="AK319" s="5" t="s">
        <v>362</v>
      </c>
      <c r="AL319" s="5" t="s">
        <v>362</v>
      </c>
      <c r="AM319" s="5" t="s">
        <v>362</v>
      </c>
      <c r="AN319" s="5" t="s">
        <v>362</v>
      </c>
      <c r="AO319" s="5" t="s">
        <v>362</v>
      </c>
      <c r="AP319" s="44">
        <f t="shared" si="86"/>
        <v>0.97088002461509604</v>
      </c>
      <c r="AQ319" s="45">
        <v>949</v>
      </c>
      <c r="AR319" s="35">
        <f t="shared" si="79"/>
        <v>258.81818181818181</v>
      </c>
      <c r="AS319" s="35">
        <f t="shared" si="80"/>
        <v>251.3</v>
      </c>
      <c r="AT319" s="35">
        <f t="shared" si="81"/>
        <v>-7.5181818181818016</v>
      </c>
      <c r="AU319" s="35">
        <v>101</v>
      </c>
      <c r="AV319" s="35">
        <v>85.4</v>
      </c>
      <c r="AW319" s="35">
        <f t="shared" si="82"/>
        <v>64.900000000000006</v>
      </c>
      <c r="AX319" s="35"/>
      <c r="AY319" s="35">
        <f t="shared" si="83"/>
        <v>64.900000000000006</v>
      </c>
      <c r="AZ319" s="35">
        <v>0</v>
      </c>
      <c r="BA319" s="35">
        <f t="shared" si="84"/>
        <v>64.900000000000006</v>
      </c>
      <c r="BB319" s="35">
        <f>MIN(BA319,43.1)</f>
        <v>43.1</v>
      </c>
      <c r="BC319" s="35">
        <f t="shared" si="85"/>
        <v>21.8</v>
      </c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10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10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10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10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10"/>
      <c r="GZ319" s="9"/>
      <c r="HA319" s="9"/>
    </row>
    <row r="320" spans="1:209" s="2" customFormat="1" ht="17" customHeight="1">
      <c r="A320" s="46" t="s">
        <v>313</v>
      </c>
      <c r="B320" s="35">
        <v>0</v>
      </c>
      <c r="C320" s="35">
        <v>0</v>
      </c>
      <c r="D320" s="4">
        <f t="shared" si="74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367.1</v>
      </c>
      <c r="O320" s="35">
        <v>178.6</v>
      </c>
      <c r="P320" s="4">
        <f t="shared" si="75"/>
        <v>0.48651593571233992</v>
      </c>
      <c r="Q320" s="11">
        <v>20</v>
      </c>
      <c r="R320" s="35">
        <v>0</v>
      </c>
      <c r="S320" s="35">
        <v>0</v>
      </c>
      <c r="T320" s="4">
        <f t="shared" si="76"/>
        <v>1</v>
      </c>
      <c r="U320" s="11">
        <v>25</v>
      </c>
      <c r="V320" s="35">
        <v>0</v>
      </c>
      <c r="W320" s="35">
        <v>0</v>
      </c>
      <c r="X320" s="4">
        <f t="shared" si="77"/>
        <v>1</v>
      </c>
      <c r="Y320" s="11">
        <v>25</v>
      </c>
      <c r="Z320" s="11" t="s">
        <v>385</v>
      </c>
      <c r="AA320" s="11" t="s">
        <v>385</v>
      </c>
      <c r="AB320" s="11" t="s">
        <v>385</v>
      </c>
      <c r="AC320" s="11" t="s">
        <v>385</v>
      </c>
      <c r="AD320" s="11">
        <v>25</v>
      </c>
      <c r="AE320" s="11">
        <v>25</v>
      </c>
      <c r="AF320" s="4">
        <f t="shared" si="78"/>
        <v>1</v>
      </c>
      <c r="AG320" s="11">
        <v>20</v>
      </c>
      <c r="AH320" s="5" t="s">
        <v>362</v>
      </c>
      <c r="AI320" s="5" t="s">
        <v>362</v>
      </c>
      <c r="AJ320" s="5" t="s">
        <v>362</v>
      </c>
      <c r="AK320" s="5" t="s">
        <v>362</v>
      </c>
      <c r="AL320" s="5" t="s">
        <v>362</v>
      </c>
      <c r="AM320" s="5" t="s">
        <v>362</v>
      </c>
      <c r="AN320" s="5" t="s">
        <v>362</v>
      </c>
      <c r="AO320" s="5" t="s">
        <v>362</v>
      </c>
      <c r="AP320" s="44">
        <f t="shared" si="86"/>
        <v>0.88589243015829788</v>
      </c>
      <c r="AQ320" s="45">
        <v>377</v>
      </c>
      <c r="AR320" s="35">
        <f t="shared" si="79"/>
        <v>102.81818181818181</v>
      </c>
      <c r="AS320" s="35">
        <f t="shared" si="80"/>
        <v>91.1</v>
      </c>
      <c r="AT320" s="35">
        <f t="shared" si="81"/>
        <v>-11.718181818181819</v>
      </c>
      <c r="AU320" s="35">
        <v>31.5</v>
      </c>
      <c r="AV320" s="35">
        <v>33.700000000000003</v>
      </c>
      <c r="AW320" s="35">
        <f t="shared" si="82"/>
        <v>25.9</v>
      </c>
      <c r="AX320" s="35"/>
      <c r="AY320" s="35">
        <f t="shared" si="83"/>
        <v>25.9</v>
      </c>
      <c r="AZ320" s="35">
        <v>0</v>
      </c>
      <c r="BA320" s="35">
        <f t="shared" si="84"/>
        <v>25.9</v>
      </c>
      <c r="BB320" s="35">
        <f>MIN(BA320,5.1)</f>
        <v>5.0999999999999996</v>
      </c>
      <c r="BC320" s="35">
        <f t="shared" si="85"/>
        <v>20.8</v>
      </c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10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10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10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10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10"/>
      <c r="GZ320" s="9"/>
      <c r="HA320" s="9"/>
    </row>
    <row r="321" spans="1:209" s="2" customFormat="1" ht="17" customHeight="1">
      <c r="A321" s="18" t="s">
        <v>314</v>
      </c>
      <c r="B321" s="6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35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10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10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10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10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10"/>
      <c r="GZ321" s="9"/>
      <c r="HA321" s="9"/>
    </row>
    <row r="322" spans="1:209" s="2" customFormat="1" ht="17" customHeight="1">
      <c r="A322" s="14" t="s">
        <v>315</v>
      </c>
      <c r="B322" s="35">
        <v>194</v>
      </c>
      <c r="C322" s="35">
        <v>349.8</v>
      </c>
      <c r="D322" s="4">
        <f t="shared" si="74"/>
        <v>1.2603092783505154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65.599999999999994</v>
      </c>
      <c r="O322" s="35">
        <v>45.2</v>
      </c>
      <c r="P322" s="4">
        <f t="shared" si="75"/>
        <v>0.6890243902439025</v>
      </c>
      <c r="Q322" s="11">
        <v>20</v>
      </c>
      <c r="R322" s="35">
        <v>3</v>
      </c>
      <c r="S322" s="35">
        <v>3.2</v>
      </c>
      <c r="T322" s="4">
        <f t="shared" si="76"/>
        <v>1.0666666666666667</v>
      </c>
      <c r="U322" s="11">
        <v>30</v>
      </c>
      <c r="V322" s="35">
        <v>3</v>
      </c>
      <c r="W322" s="35">
        <v>3.2</v>
      </c>
      <c r="X322" s="4">
        <f t="shared" si="77"/>
        <v>1.0666666666666667</v>
      </c>
      <c r="Y322" s="11">
        <v>20</v>
      </c>
      <c r="Z322" s="11" t="s">
        <v>385</v>
      </c>
      <c r="AA322" s="11" t="s">
        <v>385</v>
      </c>
      <c r="AB322" s="11" t="s">
        <v>385</v>
      </c>
      <c r="AC322" s="11" t="s">
        <v>385</v>
      </c>
      <c r="AD322" s="11">
        <v>230</v>
      </c>
      <c r="AE322" s="11">
        <v>255</v>
      </c>
      <c r="AF322" s="4">
        <f t="shared" si="78"/>
        <v>1.1086956521739131</v>
      </c>
      <c r="AG322" s="11">
        <v>20</v>
      </c>
      <c r="AH322" s="5" t="s">
        <v>362</v>
      </c>
      <c r="AI322" s="5" t="s">
        <v>362</v>
      </c>
      <c r="AJ322" s="5" t="s">
        <v>362</v>
      </c>
      <c r="AK322" s="5" t="s">
        <v>362</v>
      </c>
      <c r="AL322" s="5" t="s">
        <v>362</v>
      </c>
      <c r="AM322" s="5" t="s">
        <v>362</v>
      </c>
      <c r="AN322" s="5" t="s">
        <v>362</v>
      </c>
      <c r="AO322" s="5" t="s">
        <v>362</v>
      </c>
      <c r="AP322" s="44">
        <f t="shared" si="86"/>
        <v>1.018908269651948</v>
      </c>
      <c r="AQ322" s="45">
        <v>1667</v>
      </c>
      <c r="AR322" s="35">
        <f t="shared" si="79"/>
        <v>454.63636363636363</v>
      </c>
      <c r="AS322" s="35">
        <f t="shared" si="80"/>
        <v>463.2</v>
      </c>
      <c r="AT322" s="35">
        <f t="shared" si="81"/>
        <v>8.5636363636363626</v>
      </c>
      <c r="AU322" s="35">
        <v>166.7</v>
      </c>
      <c r="AV322" s="35">
        <v>148.1</v>
      </c>
      <c r="AW322" s="35">
        <f t="shared" si="82"/>
        <v>148.4</v>
      </c>
      <c r="AX322" s="35"/>
      <c r="AY322" s="35">
        <f t="shared" si="83"/>
        <v>148.4</v>
      </c>
      <c r="AZ322" s="35">
        <v>0</v>
      </c>
      <c r="BA322" s="35">
        <f t="shared" si="84"/>
        <v>148.4</v>
      </c>
      <c r="BB322" s="35">
        <f>MIN(BA322,75.8)</f>
        <v>75.8</v>
      </c>
      <c r="BC322" s="35">
        <f t="shared" si="85"/>
        <v>72.599999999999994</v>
      </c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10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10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10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10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10"/>
      <c r="GZ322" s="9"/>
      <c r="HA322" s="9"/>
    </row>
    <row r="323" spans="1:209" s="2" customFormat="1" ht="17" customHeight="1">
      <c r="A323" s="14" t="s">
        <v>316</v>
      </c>
      <c r="B323" s="35">
        <v>199</v>
      </c>
      <c r="C323" s="35">
        <v>207</v>
      </c>
      <c r="D323" s="4">
        <f t="shared" si="74"/>
        <v>1.0402010050251256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634.9</v>
      </c>
      <c r="O323" s="35">
        <v>586.9</v>
      </c>
      <c r="P323" s="4">
        <f t="shared" si="75"/>
        <v>0.92439754292014487</v>
      </c>
      <c r="Q323" s="11">
        <v>20</v>
      </c>
      <c r="R323" s="35">
        <v>36</v>
      </c>
      <c r="S323" s="35">
        <v>41.7</v>
      </c>
      <c r="T323" s="4">
        <f t="shared" si="76"/>
        <v>1.1583333333333334</v>
      </c>
      <c r="U323" s="11">
        <v>20</v>
      </c>
      <c r="V323" s="35">
        <v>6</v>
      </c>
      <c r="W323" s="35">
        <v>6.5</v>
      </c>
      <c r="X323" s="4">
        <f t="shared" si="77"/>
        <v>1.0833333333333333</v>
      </c>
      <c r="Y323" s="11">
        <v>30</v>
      </c>
      <c r="Z323" s="11" t="s">
        <v>385</v>
      </c>
      <c r="AA323" s="11" t="s">
        <v>385</v>
      </c>
      <c r="AB323" s="11" t="s">
        <v>385</v>
      </c>
      <c r="AC323" s="11" t="s">
        <v>385</v>
      </c>
      <c r="AD323" s="11">
        <v>470</v>
      </c>
      <c r="AE323" s="11">
        <v>520</v>
      </c>
      <c r="AF323" s="4">
        <f t="shared" si="78"/>
        <v>1.1063829787234043</v>
      </c>
      <c r="AG323" s="11">
        <v>20</v>
      </c>
      <c r="AH323" s="5" t="s">
        <v>362</v>
      </c>
      <c r="AI323" s="5" t="s">
        <v>362</v>
      </c>
      <c r="AJ323" s="5" t="s">
        <v>362</v>
      </c>
      <c r="AK323" s="5" t="s">
        <v>362</v>
      </c>
      <c r="AL323" s="5" t="s">
        <v>362</v>
      </c>
      <c r="AM323" s="5" t="s">
        <v>362</v>
      </c>
      <c r="AN323" s="5" t="s">
        <v>362</v>
      </c>
      <c r="AO323" s="5" t="s">
        <v>362</v>
      </c>
      <c r="AP323" s="44">
        <f t="shared" si="86"/>
        <v>1.066842871497889</v>
      </c>
      <c r="AQ323" s="45">
        <v>1357</v>
      </c>
      <c r="AR323" s="35">
        <f t="shared" si="79"/>
        <v>370.09090909090907</v>
      </c>
      <c r="AS323" s="35">
        <f t="shared" si="80"/>
        <v>394.8</v>
      </c>
      <c r="AT323" s="35">
        <f t="shared" si="81"/>
        <v>24.709090909090946</v>
      </c>
      <c r="AU323" s="35">
        <v>140</v>
      </c>
      <c r="AV323" s="35">
        <v>102</v>
      </c>
      <c r="AW323" s="35">
        <f t="shared" si="82"/>
        <v>152.80000000000001</v>
      </c>
      <c r="AX323" s="35"/>
      <c r="AY323" s="35">
        <f t="shared" si="83"/>
        <v>152.80000000000001</v>
      </c>
      <c r="AZ323" s="35">
        <v>0</v>
      </c>
      <c r="BA323" s="35">
        <f t="shared" si="84"/>
        <v>152.80000000000001</v>
      </c>
      <c r="BB323" s="35">
        <f>MIN(BA323,42.1)</f>
        <v>42.1</v>
      </c>
      <c r="BC323" s="35">
        <f t="shared" si="85"/>
        <v>110.7</v>
      </c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10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10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10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10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10"/>
      <c r="GZ323" s="9"/>
      <c r="HA323" s="9"/>
    </row>
    <row r="324" spans="1:209" s="2" customFormat="1" ht="17" customHeight="1">
      <c r="A324" s="14" t="s">
        <v>269</v>
      </c>
      <c r="B324" s="35">
        <v>106</v>
      </c>
      <c r="C324" s="35">
        <v>118.8</v>
      </c>
      <c r="D324" s="4">
        <f t="shared" si="74"/>
        <v>1.120754716981132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72.8</v>
      </c>
      <c r="O324" s="35">
        <v>25.7</v>
      </c>
      <c r="P324" s="4">
        <f t="shared" si="75"/>
        <v>0.35302197802197804</v>
      </c>
      <c r="Q324" s="11">
        <v>20</v>
      </c>
      <c r="R324" s="35">
        <v>22</v>
      </c>
      <c r="S324" s="35">
        <v>22.6</v>
      </c>
      <c r="T324" s="4">
        <f t="shared" si="76"/>
        <v>1.0272727272727273</v>
      </c>
      <c r="U324" s="11">
        <v>30</v>
      </c>
      <c r="V324" s="35">
        <v>3</v>
      </c>
      <c r="W324" s="35">
        <v>3.3</v>
      </c>
      <c r="X324" s="4">
        <f t="shared" si="77"/>
        <v>1.0999999999999999</v>
      </c>
      <c r="Y324" s="11">
        <v>20</v>
      </c>
      <c r="Z324" s="11" t="s">
        <v>385</v>
      </c>
      <c r="AA324" s="11" t="s">
        <v>385</v>
      </c>
      <c r="AB324" s="11" t="s">
        <v>385</v>
      </c>
      <c r="AC324" s="11" t="s">
        <v>385</v>
      </c>
      <c r="AD324" s="11">
        <v>235</v>
      </c>
      <c r="AE324" s="11">
        <v>271</v>
      </c>
      <c r="AF324" s="4">
        <f t="shared" si="78"/>
        <v>1.1531914893617021</v>
      </c>
      <c r="AG324" s="11">
        <v>20</v>
      </c>
      <c r="AH324" s="5" t="s">
        <v>362</v>
      </c>
      <c r="AI324" s="5" t="s">
        <v>362</v>
      </c>
      <c r="AJ324" s="5" t="s">
        <v>362</v>
      </c>
      <c r="AK324" s="5" t="s">
        <v>362</v>
      </c>
      <c r="AL324" s="5" t="s">
        <v>362</v>
      </c>
      <c r="AM324" s="5" t="s">
        <v>362</v>
      </c>
      <c r="AN324" s="5" t="s">
        <v>362</v>
      </c>
      <c r="AO324" s="5" t="s">
        <v>362</v>
      </c>
      <c r="AP324" s="44">
        <f t="shared" si="86"/>
        <v>0.9414999833566674</v>
      </c>
      <c r="AQ324" s="45">
        <v>1178</v>
      </c>
      <c r="AR324" s="35">
        <f t="shared" si="79"/>
        <v>321.27272727272725</v>
      </c>
      <c r="AS324" s="35">
        <f t="shared" si="80"/>
        <v>302.5</v>
      </c>
      <c r="AT324" s="35">
        <f t="shared" si="81"/>
        <v>-18.772727272727252</v>
      </c>
      <c r="AU324" s="35">
        <v>120.5</v>
      </c>
      <c r="AV324" s="35">
        <v>89.8</v>
      </c>
      <c r="AW324" s="35">
        <f t="shared" si="82"/>
        <v>92.2</v>
      </c>
      <c r="AX324" s="35"/>
      <c r="AY324" s="35">
        <f t="shared" si="83"/>
        <v>92.2</v>
      </c>
      <c r="AZ324" s="35">
        <v>0</v>
      </c>
      <c r="BA324" s="35">
        <f t="shared" si="84"/>
        <v>92.2</v>
      </c>
      <c r="BB324" s="35"/>
      <c r="BC324" s="35">
        <f t="shared" si="85"/>
        <v>92.2</v>
      </c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10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10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10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10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10"/>
      <c r="GZ324" s="9"/>
      <c r="HA324" s="9"/>
    </row>
    <row r="325" spans="1:209" s="2" customFormat="1" ht="17" customHeight="1">
      <c r="A325" s="14" t="s">
        <v>317</v>
      </c>
      <c r="B325" s="35">
        <v>340</v>
      </c>
      <c r="C325" s="35">
        <v>342.5</v>
      </c>
      <c r="D325" s="4">
        <f t="shared" si="74"/>
        <v>1.0073529411764706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280.2</v>
      </c>
      <c r="O325" s="35">
        <v>122.8</v>
      </c>
      <c r="P325" s="4">
        <f t="shared" si="75"/>
        <v>0.43825838686652391</v>
      </c>
      <c r="Q325" s="11">
        <v>20</v>
      </c>
      <c r="R325" s="35">
        <v>3</v>
      </c>
      <c r="S325" s="35">
        <v>3.3</v>
      </c>
      <c r="T325" s="4">
        <f t="shared" si="76"/>
        <v>1.0999999999999999</v>
      </c>
      <c r="U325" s="11">
        <v>35</v>
      </c>
      <c r="V325" s="35">
        <v>3</v>
      </c>
      <c r="W325" s="35">
        <v>3.4</v>
      </c>
      <c r="X325" s="4">
        <f t="shared" si="77"/>
        <v>1.1333333333333333</v>
      </c>
      <c r="Y325" s="11">
        <v>15</v>
      </c>
      <c r="Z325" s="11" t="s">
        <v>385</v>
      </c>
      <c r="AA325" s="11" t="s">
        <v>385</v>
      </c>
      <c r="AB325" s="11" t="s">
        <v>385</v>
      </c>
      <c r="AC325" s="11" t="s">
        <v>385</v>
      </c>
      <c r="AD325" s="11">
        <v>150</v>
      </c>
      <c r="AE325" s="11">
        <v>152</v>
      </c>
      <c r="AF325" s="4">
        <f t="shared" si="78"/>
        <v>1.0133333333333334</v>
      </c>
      <c r="AG325" s="11">
        <v>20</v>
      </c>
      <c r="AH325" s="5" t="s">
        <v>362</v>
      </c>
      <c r="AI325" s="5" t="s">
        <v>362</v>
      </c>
      <c r="AJ325" s="5" t="s">
        <v>362</v>
      </c>
      <c r="AK325" s="5" t="s">
        <v>362</v>
      </c>
      <c r="AL325" s="5" t="s">
        <v>362</v>
      </c>
      <c r="AM325" s="5" t="s">
        <v>362</v>
      </c>
      <c r="AN325" s="5" t="s">
        <v>362</v>
      </c>
      <c r="AO325" s="5" t="s">
        <v>362</v>
      </c>
      <c r="AP325" s="44">
        <f t="shared" si="86"/>
        <v>0.94605363815761834</v>
      </c>
      <c r="AQ325" s="45">
        <v>1997</v>
      </c>
      <c r="AR325" s="35">
        <f t="shared" si="79"/>
        <v>544.63636363636363</v>
      </c>
      <c r="AS325" s="35">
        <f t="shared" si="80"/>
        <v>515.29999999999995</v>
      </c>
      <c r="AT325" s="35">
        <f t="shared" si="81"/>
        <v>-29.336363636363672</v>
      </c>
      <c r="AU325" s="35">
        <v>162.4</v>
      </c>
      <c r="AV325" s="35">
        <v>174.1</v>
      </c>
      <c r="AW325" s="35">
        <f t="shared" si="82"/>
        <v>178.8</v>
      </c>
      <c r="AX325" s="35"/>
      <c r="AY325" s="35">
        <f t="shared" si="83"/>
        <v>178.8</v>
      </c>
      <c r="AZ325" s="35">
        <v>0</v>
      </c>
      <c r="BA325" s="35">
        <f t="shared" si="84"/>
        <v>178.8</v>
      </c>
      <c r="BB325" s="35">
        <f>MIN(BA325,30.8)</f>
        <v>30.8</v>
      </c>
      <c r="BC325" s="35">
        <f t="shared" si="85"/>
        <v>148</v>
      </c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10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10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10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10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10"/>
      <c r="GZ325" s="9"/>
      <c r="HA325" s="9"/>
    </row>
    <row r="326" spans="1:209" s="2" customFormat="1" ht="17" customHeight="1">
      <c r="A326" s="14" t="s">
        <v>318</v>
      </c>
      <c r="B326" s="35">
        <v>0</v>
      </c>
      <c r="C326" s="35">
        <v>0</v>
      </c>
      <c r="D326" s="4">
        <f t="shared" si="74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586.9</v>
      </c>
      <c r="O326" s="35">
        <v>402.7</v>
      </c>
      <c r="P326" s="4">
        <f t="shared" si="75"/>
        <v>0.68614755494973589</v>
      </c>
      <c r="Q326" s="11">
        <v>20</v>
      </c>
      <c r="R326" s="35">
        <v>870</v>
      </c>
      <c r="S326" s="35">
        <v>945.9</v>
      </c>
      <c r="T326" s="4">
        <f t="shared" si="76"/>
        <v>1.0872413793103448</v>
      </c>
      <c r="U326" s="11">
        <v>30</v>
      </c>
      <c r="V326" s="35">
        <v>6</v>
      </c>
      <c r="W326" s="35">
        <v>6.7</v>
      </c>
      <c r="X326" s="4">
        <f t="shared" si="77"/>
        <v>1.1166666666666667</v>
      </c>
      <c r="Y326" s="11">
        <v>20</v>
      </c>
      <c r="Z326" s="11" t="s">
        <v>385</v>
      </c>
      <c r="AA326" s="11" t="s">
        <v>385</v>
      </c>
      <c r="AB326" s="11" t="s">
        <v>385</v>
      </c>
      <c r="AC326" s="11" t="s">
        <v>385</v>
      </c>
      <c r="AD326" s="11">
        <v>900</v>
      </c>
      <c r="AE326" s="11">
        <v>930</v>
      </c>
      <c r="AF326" s="4">
        <f t="shared" si="78"/>
        <v>1.0333333333333334</v>
      </c>
      <c r="AG326" s="11">
        <v>20</v>
      </c>
      <c r="AH326" s="5" t="s">
        <v>362</v>
      </c>
      <c r="AI326" s="5" t="s">
        <v>362</v>
      </c>
      <c r="AJ326" s="5" t="s">
        <v>362</v>
      </c>
      <c r="AK326" s="5" t="s">
        <v>362</v>
      </c>
      <c r="AL326" s="5" t="s">
        <v>362</v>
      </c>
      <c r="AM326" s="5" t="s">
        <v>362</v>
      </c>
      <c r="AN326" s="5" t="s">
        <v>362</v>
      </c>
      <c r="AO326" s="5" t="s">
        <v>362</v>
      </c>
      <c r="AP326" s="44">
        <f t="shared" si="86"/>
        <v>0.99266880531450075</v>
      </c>
      <c r="AQ326" s="45">
        <v>2175</v>
      </c>
      <c r="AR326" s="35">
        <f t="shared" si="79"/>
        <v>593.18181818181813</v>
      </c>
      <c r="AS326" s="35">
        <f t="shared" si="80"/>
        <v>588.79999999999995</v>
      </c>
      <c r="AT326" s="35">
        <f t="shared" si="81"/>
        <v>-4.3818181818181756</v>
      </c>
      <c r="AU326" s="35">
        <v>192.1</v>
      </c>
      <c r="AV326" s="35">
        <v>200.6</v>
      </c>
      <c r="AW326" s="35">
        <f t="shared" si="82"/>
        <v>196.1</v>
      </c>
      <c r="AX326" s="35"/>
      <c r="AY326" s="35">
        <f t="shared" si="83"/>
        <v>196.1</v>
      </c>
      <c r="AZ326" s="35">
        <v>0</v>
      </c>
      <c r="BA326" s="35">
        <f t="shared" si="84"/>
        <v>196.1</v>
      </c>
      <c r="BB326" s="35">
        <f>MIN(BA326,98.9)</f>
        <v>98.9</v>
      </c>
      <c r="BC326" s="35">
        <f t="shared" si="85"/>
        <v>97.2</v>
      </c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10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10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10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10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10"/>
      <c r="GZ326" s="9"/>
      <c r="HA326" s="9"/>
    </row>
    <row r="327" spans="1:209" s="2" customFormat="1" ht="17" customHeight="1">
      <c r="A327" s="14" t="s">
        <v>319</v>
      </c>
      <c r="B327" s="35">
        <v>232</v>
      </c>
      <c r="C327" s="35">
        <v>232</v>
      </c>
      <c r="D327" s="4">
        <f t="shared" si="74"/>
        <v>1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388.4</v>
      </c>
      <c r="O327" s="35">
        <v>248.3</v>
      </c>
      <c r="P327" s="4">
        <f t="shared" si="75"/>
        <v>0.63928939237899085</v>
      </c>
      <c r="Q327" s="11">
        <v>20</v>
      </c>
      <c r="R327" s="35">
        <v>6</v>
      </c>
      <c r="S327" s="35">
        <v>6.8</v>
      </c>
      <c r="T327" s="4">
        <f t="shared" si="76"/>
        <v>1.1333333333333333</v>
      </c>
      <c r="U327" s="11">
        <v>30</v>
      </c>
      <c r="V327" s="35">
        <v>6</v>
      </c>
      <c r="W327" s="35">
        <v>10.8</v>
      </c>
      <c r="X327" s="4">
        <f t="shared" si="77"/>
        <v>1.26</v>
      </c>
      <c r="Y327" s="11">
        <v>20</v>
      </c>
      <c r="Z327" s="11" t="s">
        <v>385</v>
      </c>
      <c r="AA327" s="11" t="s">
        <v>385</v>
      </c>
      <c r="AB327" s="11" t="s">
        <v>385</v>
      </c>
      <c r="AC327" s="11" t="s">
        <v>385</v>
      </c>
      <c r="AD327" s="11">
        <v>315</v>
      </c>
      <c r="AE327" s="11">
        <v>315</v>
      </c>
      <c r="AF327" s="4">
        <f t="shared" si="78"/>
        <v>1</v>
      </c>
      <c r="AG327" s="11">
        <v>20</v>
      </c>
      <c r="AH327" s="5" t="s">
        <v>362</v>
      </c>
      <c r="AI327" s="5" t="s">
        <v>362</v>
      </c>
      <c r="AJ327" s="5" t="s">
        <v>362</v>
      </c>
      <c r="AK327" s="5" t="s">
        <v>362</v>
      </c>
      <c r="AL327" s="5" t="s">
        <v>362</v>
      </c>
      <c r="AM327" s="5" t="s">
        <v>362</v>
      </c>
      <c r="AN327" s="5" t="s">
        <v>362</v>
      </c>
      <c r="AO327" s="5" t="s">
        <v>362</v>
      </c>
      <c r="AP327" s="44">
        <f t="shared" si="86"/>
        <v>1.0198578784757981</v>
      </c>
      <c r="AQ327" s="45">
        <v>1690</v>
      </c>
      <c r="AR327" s="35">
        <f t="shared" si="79"/>
        <v>460.90909090909088</v>
      </c>
      <c r="AS327" s="35">
        <f t="shared" si="80"/>
        <v>470.1</v>
      </c>
      <c r="AT327" s="35">
        <f t="shared" si="81"/>
        <v>9.1909090909091447</v>
      </c>
      <c r="AU327" s="35">
        <v>141.69999999999999</v>
      </c>
      <c r="AV327" s="35">
        <v>181.4</v>
      </c>
      <c r="AW327" s="35">
        <f t="shared" si="82"/>
        <v>147</v>
      </c>
      <c r="AX327" s="35"/>
      <c r="AY327" s="35">
        <f t="shared" si="83"/>
        <v>147</v>
      </c>
      <c r="AZ327" s="35">
        <v>0</v>
      </c>
      <c r="BA327" s="35">
        <f t="shared" si="84"/>
        <v>147</v>
      </c>
      <c r="BB327" s="35"/>
      <c r="BC327" s="35">
        <f t="shared" si="85"/>
        <v>147</v>
      </c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10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10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10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10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10"/>
      <c r="GZ327" s="9"/>
      <c r="HA327" s="9"/>
    </row>
    <row r="328" spans="1:209" s="2" customFormat="1" ht="17" customHeight="1">
      <c r="A328" s="14" t="s">
        <v>320</v>
      </c>
      <c r="B328" s="35">
        <v>106</v>
      </c>
      <c r="C328" s="35">
        <v>109.9</v>
      </c>
      <c r="D328" s="4">
        <f t="shared" si="74"/>
        <v>1.0367924528301888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470.2</v>
      </c>
      <c r="O328" s="35">
        <v>590.5</v>
      </c>
      <c r="P328" s="4">
        <f t="shared" si="75"/>
        <v>1.2055848575074437</v>
      </c>
      <c r="Q328" s="11">
        <v>20</v>
      </c>
      <c r="R328" s="35">
        <v>19</v>
      </c>
      <c r="S328" s="35">
        <v>21.3</v>
      </c>
      <c r="T328" s="4">
        <f t="shared" si="76"/>
        <v>1.1210526315789473</v>
      </c>
      <c r="U328" s="11">
        <v>20</v>
      </c>
      <c r="V328" s="35">
        <v>3</v>
      </c>
      <c r="W328" s="35">
        <v>3.3</v>
      </c>
      <c r="X328" s="4">
        <f t="shared" si="77"/>
        <v>1.0999999999999999</v>
      </c>
      <c r="Y328" s="11">
        <v>30</v>
      </c>
      <c r="Z328" s="11" t="s">
        <v>385</v>
      </c>
      <c r="AA328" s="11" t="s">
        <v>385</v>
      </c>
      <c r="AB328" s="11" t="s">
        <v>385</v>
      </c>
      <c r="AC328" s="11" t="s">
        <v>385</v>
      </c>
      <c r="AD328" s="11">
        <v>260</v>
      </c>
      <c r="AE328" s="11">
        <v>281</v>
      </c>
      <c r="AF328" s="4">
        <f t="shared" si="78"/>
        <v>1.0807692307692307</v>
      </c>
      <c r="AG328" s="11">
        <v>20</v>
      </c>
      <c r="AH328" s="5" t="s">
        <v>362</v>
      </c>
      <c r="AI328" s="5" t="s">
        <v>362</v>
      </c>
      <c r="AJ328" s="5" t="s">
        <v>362</v>
      </c>
      <c r="AK328" s="5" t="s">
        <v>362</v>
      </c>
      <c r="AL328" s="5" t="s">
        <v>362</v>
      </c>
      <c r="AM328" s="5" t="s">
        <v>362</v>
      </c>
      <c r="AN328" s="5" t="s">
        <v>362</v>
      </c>
      <c r="AO328" s="5" t="s">
        <v>362</v>
      </c>
      <c r="AP328" s="44">
        <f t="shared" si="86"/>
        <v>1.1151605892541432</v>
      </c>
      <c r="AQ328" s="45">
        <v>1441</v>
      </c>
      <c r="AR328" s="35">
        <f t="shared" si="79"/>
        <v>393</v>
      </c>
      <c r="AS328" s="35">
        <f t="shared" si="80"/>
        <v>438.3</v>
      </c>
      <c r="AT328" s="35">
        <f t="shared" si="81"/>
        <v>45.300000000000011</v>
      </c>
      <c r="AU328" s="35">
        <v>145.80000000000001</v>
      </c>
      <c r="AV328" s="35">
        <v>150</v>
      </c>
      <c r="AW328" s="35">
        <f t="shared" si="82"/>
        <v>142.5</v>
      </c>
      <c r="AX328" s="35"/>
      <c r="AY328" s="35">
        <f t="shared" si="83"/>
        <v>142.5</v>
      </c>
      <c r="AZ328" s="35">
        <v>0</v>
      </c>
      <c r="BA328" s="35">
        <f t="shared" si="84"/>
        <v>142.5</v>
      </c>
      <c r="BB328" s="35">
        <f>MIN(BA328,65.5)</f>
        <v>65.5</v>
      </c>
      <c r="BC328" s="35">
        <f t="shared" si="85"/>
        <v>77</v>
      </c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10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10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10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10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10"/>
      <c r="GZ328" s="9"/>
      <c r="HA328" s="9"/>
    </row>
    <row r="329" spans="1:209" s="2" customFormat="1" ht="17" customHeight="1">
      <c r="A329" s="14" t="s">
        <v>321</v>
      </c>
      <c r="B329" s="35">
        <v>241</v>
      </c>
      <c r="C329" s="35">
        <v>253.8</v>
      </c>
      <c r="D329" s="4">
        <f t="shared" si="74"/>
        <v>1.0531120331950208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136.80000000000001</v>
      </c>
      <c r="O329" s="35">
        <v>76.099999999999994</v>
      </c>
      <c r="P329" s="4">
        <f t="shared" si="75"/>
        <v>0.55628654970760227</v>
      </c>
      <c r="Q329" s="11">
        <v>20</v>
      </c>
      <c r="R329" s="35">
        <v>10</v>
      </c>
      <c r="S329" s="35">
        <v>10.5</v>
      </c>
      <c r="T329" s="4">
        <f t="shared" si="76"/>
        <v>1.05</v>
      </c>
      <c r="U329" s="11">
        <v>30</v>
      </c>
      <c r="V329" s="35">
        <v>3</v>
      </c>
      <c r="W329" s="35">
        <v>3.4</v>
      </c>
      <c r="X329" s="4">
        <f t="shared" si="77"/>
        <v>1.1333333333333333</v>
      </c>
      <c r="Y329" s="11">
        <v>20</v>
      </c>
      <c r="Z329" s="11" t="s">
        <v>385</v>
      </c>
      <c r="AA329" s="11" t="s">
        <v>385</v>
      </c>
      <c r="AB329" s="11" t="s">
        <v>385</v>
      </c>
      <c r="AC329" s="11" t="s">
        <v>385</v>
      </c>
      <c r="AD329" s="11">
        <v>260</v>
      </c>
      <c r="AE329" s="11">
        <v>338</v>
      </c>
      <c r="AF329" s="4">
        <f t="shared" si="78"/>
        <v>1.21</v>
      </c>
      <c r="AG329" s="11">
        <v>20</v>
      </c>
      <c r="AH329" s="5" t="s">
        <v>362</v>
      </c>
      <c r="AI329" s="5" t="s">
        <v>362</v>
      </c>
      <c r="AJ329" s="5" t="s">
        <v>362</v>
      </c>
      <c r="AK329" s="5" t="s">
        <v>362</v>
      </c>
      <c r="AL329" s="5" t="s">
        <v>362</v>
      </c>
      <c r="AM329" s="5" t="s">
        <v>362</v>
      </c>
      <c r="AN329" s="5" t="s">
        <v>362</v>
      </c>
      <c r="AO329" s="5" t="s">
        <v>362</v>
      </c>
      <c r="AP329" s="44">
        <f t="shared" si="86"/>
        <v>1.0002351799276894</v>
      </c>
      <c r="AQ329" s="45">
        <v>1384</v>
      </c>
      <c r="AR329" s="35">
        <f t="shared" si="79"/>
        <v>377.45454545454544</v>
      </c>
      <c r="AS329" s="35">
        <f t="shared" si="80"/>
        <v>377.5</v>
      </c>
      <c r="AT329" s="35">
        <f t="shared" si="81"/>
        <v>4.5454545454560957E-2</v>
      </c>
      <c r="AU329" s="35">
        <v>143.19999999999999</v>
      </c>
      <c r="AV329" s="35">
        <v>104.6</v>
      </c>
      <c r="AW329" s="35">
        <f t="shared" si="82"/>
        <v>129.69999999999999</v>
      </c>
      <c r="AX329" s="35"/>
      <c r="AY329" s="35">
        <f t="shared" si="83"/>
        <v>129.69999999999999</v>
      </c>
      <c r="AZ329" s="35">
        <v>0</v>
      </c>
      <c r="BA329" s="35">
        <f t="shared" si="84"/>
        <v>129.69999999999999</v>
      </c>
      <c r="BB329" s="35"/>
      <c r="BC329" s="35">
        <f t="shared" si="85"/>
        <v>129.69999999999999</v>
      </c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10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10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10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10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10"/>
      <c r="GZ329" s="9"/>
      <c r="HA329" s="9"/>
    </row>
    <row r="330" spans="1:209" s="2" customFormat="1" ht="17" customHeight="1">
      <c r="A330" s="14" t="s">
        <v>322</v>
      </c>
      <c r="B330" s="35">
        <v>116</v>
      </c>
      <c r="C330" s="35">
        <v>129</v>
      </c>
      <c r="D330" s="4">
        <f t="shared" si="74"/>
        <v>1.1120689655172413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13.3</v>
      </c>
      <c r="O330" s="35">
        <v>102</v>
      </c>
      <c r="P330" s="4">
        <f t="shared" si="75"/>
        <v>1.3</v>
      </c>
      <c r="Q330" s="11">
        <v>20</v>
      </c>
      <c r="R330" s="35">
        <v>6</v>
      </c>
      <c r="S330" s="35">
        <v>7.3</v>
      </c>
      <c r="T330" s="4">
        <f t="shared" si="76"/>
        <v>1.2016666666666667</v>
      </c>
      <c r="U330" s="11">
        <v>25</v>
      </c>
      <c r="V330" s="35">
        <v>3</v>
      </c>
      <c r="W330" s="35">
        <v>3.3</v>
      </c>
      <c r="X330" s="4">
        <f t="shared" si="77"/>
        <v>1.0999999999999999</v>
      </c>
      <c r="Y330" s="11">
        <v>25</v>
      </c>
      <c r="Z330" s="11" t="s">
        <v>385</v>
      </c>
      <c r="AA330" s="11" t="s">
        <v>385</v>
      </c>
      <c r="AB330" s="11" t="s">
        <v>385</v>
      </c>
      <c r="AC330" s="11" t="s">
        <v>385</v>
      </c>
      <c r="AD330" s="11">
        <v>100</v>
      </c>
      <c r="AE330" s="11">
        <v>111</v>
      </c>
      <c r="AF330" s="4">
        <f t="shared" si="78"/>
        <v>1.1100000000000001</v>
      </c>
      <c r="AG330" s="11">
        <v>20</v>
      </c>
      <c r="AH330" s="5" t="s">
        <v>362</v>
      </c>
      <c r="AI330" s="5" t="s">
        <v>362</v>
      </c>
      <c r="AJ330" s="5" t="s">
        <v>362</v>
      </c>
      <c r="AK330" s="5" t="s">
        <v>362</v>
      </c>
      <c r="AL330" s="5" t="s">
        <v>362</v>
      </c>
      <c r="AM330" s="5" t="s">
        <v>362</v>
      </c>
      <c r="AN330" s="5" t="s">
        <v>362</v>
      </c>
      <c r="AO330" s="5" t="s">
        <v>362</v>
      </c>
      <c r="AP330" s="44">
        <f t="shared" si="86"/>
        <v>1.1686235632183908</v>
      </c>
      <c r="AQ330" s="45">
        <v>1234</v>
      </c>
      <c r="AR330" s="35">
        <f t="shared" si="79"/>
        <v>336.54545454545456</v>
      </c>
      <c r="AS330" s="35">
        <f t="shared" si="80"/>
        <v>393.3</v>
      </c>
      <c r="AT330" s="35">
        <f t="shared" si="81"/>
        <v>56.75454545454545</v>
      </c>
      <c r="AU330" s="35">
        <v>125.2</v>
      </c>
      <c r="AV330" s="35">
        <v>106.1</v>
      </c>
      <c r="AW330" s="35">
        <f t="shared" si="82"/>
        <v>162</v>
      </c>
      <c r="AX330" s="35"/>
      <c r="AY330" s="35">
        <f t="shared" si="83"/>
        <v>162</v>
      </c>
      <c r="AZ330" s="35">
        <v>0</v>
      </c>
      <c r="BA330" s="35">
        <f t="shared" si="84"/>
        <v>162</v>
      </c>
      <c r="BB330" s="35">
        <f>MIN(BA330,16)</f>
        <v>16</v>
      </c>
      <c r="BC330" s="35">
        <f t="shared" si="85"/>
        <v>146</v>
      </c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10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10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10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10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10"/>
      <c r="GZ330" s="9"/>
      <c r="HA330" s="9"/>
    </row>
    <row r="331" spans="1:209" s="2" customFormat="1" ht="17" customHeight="1">
      <c r="A331" s="14" t="s">
        <v>323</v>
      </c>
      <c r="B331" s="35">
        <v>219</v>
      </c>
      <c r="C331" s="35">
        <v>230</v>
      </c>
      <c r="D331" s="4">
        <f t="shared" si="74"/>
        <v>1.0502283105022832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324</v>
      </c>
      <c r="O331" s="35">
        <v>181.8</v>
      </c>
      <c r="P331" s="4">
        <f t="shared" si="75"/>
        <v>0.56111111111111112</v>
      </c>
      <c r="Q331" s="11">
        <v>20</v>
      </c>
      <c r="R331" s="35">
        <v>22</v>
      </c>
      <c r="S331" s="35">
        <v>23.4</v>
      </c>
      <c r="T331" s="4">
        <f t="shared" si="76"/>
        <v>1.0636363636363635</v>
      </c>
      <c r="U331" s="11">
        <v>20</v>
      </c>
      <c r="V331" s="35">
        <v>60</v>
      </c>
      <c r="W331" s="35">
        <v>63.8</v>
      </c>
      <c r="X331" s="4">
        <f t="shared" si="77"/>
        <v>1.0633333333333332</v>
      </c>
      <c r="Y331" s="11">
        <v>30</v>
      </c>
      <c r="Z331" s="11" t="s">
        <v>385</v>
      </c>
      <c r="AA331" s="11" t="s">
        <v>385</v>
      </c>
      <c r="AB331" s="11" t="s">
        <v>385</v>
      </c>
      <c r="AC331" s="11" t="s">
        <v>385</v>
      </c>
      <c r="AD331" s="11">
        <v>3134</v>
      </c>
      <c r="AE331" s="11">
        <v>2395</v>
      </c>
      <c r="AF331" s="4">
        <f t="shared" si="78"/>
        <v>0.76419910657306955</v>
      </c>
      <c r="AG331" s="11">
        <v>20</v>
      </c>
      <c r="AH331" s="5" t="s">
        <v>362</v>
      </c>
      <c r="AI331" s="5" t="s">
        <v>362</v>
      </c>
      <c r="AJ331" s="5" t="s">
        <v>362</v>
      </c>
      <c r="AK331" s="5" t="s">
        <v>362</v>
      </c>
      <c r="AL331" s="5" t="s">
        <v>362</v>
      </c>
      <c r="AM331" s="5" t="s">
        <v>362</v>
      </c>
      <c r="AN331" s="5" t="s">
        <v>362</v>
      </c>
      <c r="AO331" s="5" t="s">
        <v>362</v>
      </c>
      <c r="AP331" s="44">
        <f t="shared" si="86"/>
        <v>0.90181214731433701</v>
      </c>
      <c r="AQ331" s="45">
        <v>1627</v>
      </c>
      <c r="AR331" s="35">
        <f t="shared" si="79"/>
        <v>443.72727272727275</v>
      </c>
      <c r="AS331" s="35">
        <f t="shared" si="80"/>
        <v>400.2</v>
      </c>
      <c r="AT331" s="35">
        <f t="shared" si="81"/>
        <v>-43.527272727272759</v>
      </c>
      <c r="AU331" s="35">
        <v>131.69999999999999</v>
      </c>
      <c r="AV331" s="35">
        <v>120</v>
      </c>
      <c r="AW331" s="35">
        <f t="shared" si="82"/>
        <v>148.5</v>
      </c>
      <c r="AX331" s="35"/>
      <c r="AY331" s="35">
        <f t="shared" si="83"/>
        <v>148.5</v>
      </c>
      <c r="AZ331" s="35">
        <v>0</v>
      </c>
      <c r="BA331" s="35">
        <f t="shared" si="84"/>
        <v>148.5</v>
      </c>
      <c r="BB331" s="35">
        <f>MIN(BA331,74)</f>
        <v>74</v>
      </c>
      <c r="BC331" s="35">
        <f t="shared" si="85"/>
        <v>74.5</v>
      </c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10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10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10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10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10"/>
      <c r="GZ331" s="9"/>
      <c r="HA331" s="9"/>
    </row>
    <row r="332" spans="1:209" s="2" customFormat="1" ht="17" customHeight="1">
      <c r="A332" s="14" t="s">
        <v>324</v>
      </c>
      <c r="B332" s="35">
        <v>31961</v>
      </c>
      <c r="C332" s="35">
        <v>34202.800000000003</v>
      </c>
      <c r="D332" s="4">
        <f t="shared" si="74"/>
        <v>1.0701417352398237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1556.3</v>
      </c>
      <c r="O332" s="35">
        <v>2155</v>
      </c>
      <c r="P332" s="4">
        <f t="shared" si="75"/>
        <v>1.2184694467647625</v>
      </c>
      <c r="Q332" s="11">
        <v>20</v>
      </c>
      <c r="R332" s="35">
        <v>24</v>
      </c>
      <c r="S332" s="35">
        <v>37.6</v>
      </c>
      <c r="T332" s="4">
        <f t="shared" si="76"/>
        <v>1.2366666666666666</v>
      </c>
      <c r="U332" s="11">
        <v>20</v>
      </c>
      <c r="V332" s="35">
        <v>21</v>
      </c>
      <c r="W332" s="35">
        <v>22.5</v>
      </c>
      <c r="X332" s="4">
        <f t="shared" si="77"/>
        <v>1.0714285714285714</v>
      </c>
      <c r="Y332" s="11">
        <v>30</v>
      </c>
      <c r="Z332" s="11" t="s">
        <v>385</v>
      </c>
      <c r="AA332" s="11" t="s">
        <v>385</v>
      </c>
      <c r="AB332" s="11" t="s">
        <v>385</v>
      </c>
      <c r="AC332" s="11" t="s">
        <v>385</v>
      </c>
      <c r="AD332" s="11">
        <v>780</v>
      </c>
      <c r="AE332" s="11">
        <v>852</v>
      </c>
      <c r="AF332" s="4">
        <f t="shared" si="78"/>
        <v>1.0923076923076922</v>
      </c>
      <c r="AG332" s="11">
        <v>20</v>
      </c>
      <c r="AH332" s="5" t="s">
        <v>362</v>
      </c>
      <c r="AI332" s="5" t="s">
        <v>362</v>
      </c>
      <c r="AJ332" s="5" t="s">
        <v>362</v>
      </c>
      <c r="AK332" s="5" t="s">
        <v>362</v>
      </c>
      <c r="AL332" s="5" t="s">
        <v>362</v>
      </c>
      <c r="AM332" s="5" t="s">
        <v>362</v>
      </c>
      <c r="AN332" s="5" t="s">
        <v>362</v>
      </c>
      <c r="AO332" s="5" t="s">
        <v>362</v>
      </c>
      <c r="AP332" s="44">
        <f t="shared" si="86"/>
        <v>1.1379315061003781</v>
      </c>
      <c r="AQ332" s="45">
        <v>3926</v>
      </c>
      <c r="AR332" s="35">
        <f t="shared" si="79"/>
        <v>1070.7272727272727</v>
      </c>
      <c r="AS332" s="35">
        <f t="shared" si="80"/>
        <v>1218.4000000000001</v>
      </c>
      <c r="AT332" s="35">
        <f t="shared" si="81"/>
        <v>147.67272727272734</v>
      </c>
      <c r="AU332" s="35">
        <v>412.1</v>
      </c>
      <c r="AV332" s="35">
        <v>414</v>
      </c>
      <c r="AW332" s="35">
        <f t="shared" si="82"/>
        <v>392.3</v>
      </c>
      <c r="AX332" s="35"/>
      <c r="AY332" s="35">
        <f t="shared" si="83"/>
        <v>392.3</v>
      </c>
      <c r="AZ332" s="35">
        <v>0</v>
      </c>
      <c r="BA332" s="35">
        <f t="shared" si="84"/>
        <v>392.3</v>
      </c>
      <c r="BB332" s="35"/>
      <c r="BC332" s="35">
        <f t="shared" si="85"/>
        <v>392.3</v>
      </c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10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10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10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10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10"/>
      <c r="GZ332" s="9"/>
      <c r="HA332" s="9"/>
    </row>
    <row r="333" spans="1:209" s="2" customFormat="1" ht="17" customHeight="1">
      <c r="A333" s="18" t="s">
        <v>325</v>
      </c>
      <c r="B333" s="6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35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10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10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10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10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10"/>
      <c r="GZ333" s="9"/>
      <c r="HA333" s="9"/>
    </row>
    <row r="334" spans="1:209" s="2" customFormat="1" ht="17" customHeight="1">
      <c r="A334" s="46" t="s">
        <v>326</v>
      </c>
      <c r="B334" s="35">
        <v>84</v>
      </c>
      <c r="C334" s="35">
        <v>84.3</v>
      </c>
      <c r="D334" s="4">
        <f t="shared" si="74"/>
        <v>1.0035714285714286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323.60000000000002</v>
      </c>
      <c r="O334" s="35">
        <v>205.1</v>
      </c>
      <c r="P334" s="4">
        <f t="shared" si="75"/>
        <v>0.63380716934487014</v>
      </c>
      <c r="Q334" s="11">
        <v>20</v>
      </c>
      <c r="R334" s="35">
        <v>38</v>
      </c>
      <c r="S334" s="35">
        <v>38.299999999999997</v>
      </c>
      <c r="T334" s="4">
        <f t="shared" si="76"/>
        <v>1.0078947368421052</v>
      </c>
      <c r="U334" s="11">
        <v>25</v>
      </c>
      <c r="V334" s="35">
        <v>4</v>
      </c>
      <c r="W334" s="35">
        <v>4.0999999999999996</v>
      </c>
      <c r="X334" s="4">
        <f t="shared" si="77"/>
        <v>1.0249999999999999</v>
      </c>
      <c r="Y334" s="11">
        <v>25</v>
      </c>
      <c r="Z334" s="11" t="s">
        <v>385</v>
      </c>
      <c r="AA334" s="11" t="s">
        <v>385</v>
      </c>
      <c r="AB334" s="11" t="s">
        <v>385</v>
      </c>
      <c r="AC334" s="11" t="s">
        <v>385</v>
      </c>
      <c r="AD334" s="11">
        <v>300</v>
      </c>
      <c r="AE334" s="11">
        <v>300</v>
      </c>
      <c r="AF334" s="4">
        <f t="shared" si="78"/>
        <v>1</v>
      </c>
      <c r="AG334" s="11">
        <v>20</v>
      </c>
      <c r="AH334" s="5" t="s">
        <v>362</v>
      </c>
      <c r="AI334" s="5" t="s">
        <v>362</v>
      </c>
      <c r="AJ334" s="5" t="s">
        <v>362</v>
      </c>
      <c r="AK334" s="5" t="s">
        <v>362</v>
      </c>
      <c r="AL334" s="5" t="s">
        <v>362</v>
      </c>
      <c r="AM334" s="5" t="s">
        <v>362</v>
      </c>
      <c r="AN334" s="5" t="s">
        <v>362</v>
      </c>
      <c r="AO334" s="5" t="s">
        <v>362</v>
      </c>
      <c r="AP334" s="44">
        <f t="shared" si="86"/>
        <v>0.93534226093664319</v>
      </c>
      <c r="AQ334" s="45">
        <v>1200</v>
      </c>
      <c r="AR334" s="35">
        <f t="shared" si="79"/>
        <v>327.27272727272725</v>
      </c>
      <c r="AS334" s="35">
        <f t="shared" si="80"/>
        <v>306.10000000000002</v>
      </c>
      <c r="AT334" s="35">
        <f t="shared" si="81"/>
        <v>-21.172727272727229</v>
      </c>
      <c r="AU334" s="35">
        <v>103.1</v>
      </c>
      <c r="AV334" s="35">
        <v>91.9</v>
      </c>
      <c r="AW334" s="35">
        <f t="shared" si="82"/>
        <v>111.1</v>
      </c>
      <c r="AX334" s="35"/>
      <c r="AY334" s="35">
        <f t="shared" si="83"/>
        <v>111.1</v>
      </c>
      <c r="AZ334" s="35">
        <v>0</v>
      </c>
      <c r="BA334" s="35">
        <f t="shared" si="84"/>
        <v>111.1</v>
      </c>
      <c r="BB334" s="35">
        <f>MIN(BA334,5.6)</f>
        <v>5.6</v>
      </c>
      <c r="BC334" s="35">
        <f t="shared" si="85"/>
        <v>105.5</v>
      </c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10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10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10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10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10"/>
      <c r="GZ334" s="9"/>
      <c r="HA334" s="9"/>
    </row>
    <row r="335" spans="1:209" s="2" customFormat="1" ht="17" customHeight="1">
      <c r="A335" s="46" t="s">
        <v>327</v>
      </c>
      <c r="B335" s="35">
        <v>84</v>
      </c>
      <c r="C335" s="35">
        <v>89.8</v>
      </c>
      <c r="D335" s="4">
        <f t="shared" si="74"/>
        <v>1.069047619047619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369.9</v>
      </c>
      <c r="O335" s="35">
        <v>81.7</v>
      </c>
      <c r="P335" s="4">
        <f t="shared" si="75"/>
        <v>0.22087050554203841</v>
      </c>
      <c r="Q335" s="11">
        <v>20</v>
      </c>
      <c r="R335" s="35">
        <v>74</v>
      </c>
      <c r="S335" s="35">
        <v>74.5</v>
      </c>
      <c r="T335" s="4">
        <f t="shared" si="76"/>
        <v>1.0067567567567568</v>
      </c>
      <c r="U335" s="11">
        <v>30</v>
      </c>
      <c r="V335" s="35">
        <v>5.3</v>
      </c>
      <c r="W335" s="35">
        <v>5.4</v>
      </c>
      <c r="X335" s="4">
        <f t="shared" si="77"/>
        <v>1.0188679245283019</v>
      </c>
      <c r="Y335" s="11">
        <v>20</v>
      </c>
      <c r="Z335" s="11" t="s">
        <v>385</v>
      </c>
      <c r="AA335" s="11" t="s">
        <v>385</v>
      </c>
      <c r="AB335" s="11" t="s">
        <v>385</v>
      </c>
      <c r="AC335" s="11" t="s">
        <v>385</v>
      </c>
      <c r="AD335" s="11">
        <v>409</v>
      </c>
      <c r="AE335" s="11">
        <v>409</v>
      </c>
      <c r="AF335" s="4">
        <f t="shared" si="78"/>
        <v>1</v>
      </c>
      <c r="AG335" s="11">
        <v>20</v>
      </c>
      <c r="AH335" s="5" t="s">
        <v>362</v>
      </c>
      <c r="AI335" s="5" t="s">
        <v>362</v>
      </c>
      <c r="AJ335" s="5" t="s">
        <v>362</v>
      </c>
      <c r="AK335" s="5" t="s">
        <v>362</v>
      </c>
      <c r="AL335" s="5" t="s">
        <v>362</v>
      </c>
      <c r="AM335" s="5" t="s">
        <v>362</v>
      </c>
      <c r="AN335" s="5" t="s">
        <v>362</v>
      </c>
      <c r="AO335" s="5" t="s">
        <v>362</v>
      </c>
      <c r="AP335" s="44">
        <f t="shared" si="86"/>
        <v>0.85687947494585703</v>
      </c>
      <c r="AQ335" s="45">
        <v>967</v>
      </c>
      <c r="AR335" s="35">
        <f t="shared" si="79"/>
        <v>263.72727272727275</v>
      </c>
      <c r="AS335" s="35">
        <f t="shared" si="80"/>
        <v>226</v>
      </c>
      <c r="AT335" s="35">
        <f t="shared" si="81"/>
        <v>-37.727272727272748</v>
      </c>
      <c r="AU335" s="35">
        <v>84.3</v>
      </c>
      <c r="AV335" s="35">
        <v>57.7</v>
      </c>
      <c r="AW335" s="35">
        <f t="shared" si="82"/>
        <v>84</v>
      </c>
      <c r="AX335" s="35"/>
      <c r="AY335" s="35">
        <f t="shared" si="83"/>
        <v>84</v>
      </c>
      <c r="AZ335" s="35">
        <v>0</v>
      </c>
      <c r="BA335" s="35">
        <f t="shared" si="84"/>
        <v>84</v>
      </c>
      <c r="BB335" s="35">
        <f>MIN(BA335,37.2)</f>
        <v>37.200000000000003</v>
      </c>
      <c r="BC335" s="35">
        <f t="shared" si="85"/>
        <v>46.8</v>
      </c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10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10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10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10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10"/>
      <c r="GZ335" s="9"/>
      <c r="HA335" s="9"/>
    </row>
    <row r="336" spans="1:209" s="2" customFormat="1" ht="17" customHeight="1">
      <c r="A336" s="46" t="s">
        <v>328</v>
      </c>
      <c r="B336" s="35">
        <v>138</v>
      </c>
      <c r="C336" s="35">
        <v>155.1</v>
      </c>
      <c r="D336" s="4">
        <f t="shared" si="74"/>
        <v>1.1239130434782609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116.6</v>
      </c>
      <c r="O336" s="35">
        <v>199.1</v>
      </c>
      <c r="P336" s="4">
        <f t="shared" si="75"/>
        <v>1.2507547169811319</v>
      </c>
      <c r="Q336" s="11">
        <v>20</v>
      </c>
      <c r="R336" s="35">
        <v>100</v>
      </c>
      <c r="S336" s="35">
        <v>99.8</v>
      </c>
      <c r="T336" s="4">
        <f t="shared" si="76"/>
        <v>0.998</v>
      </c>
      <c r="U336" s="11">
        <v>30</v>
      </c>
      <c r="V336" s="35">
        <v>12</v>
      </c>
      <c r="W336" s="35">
        <v>12.1</v>
      </c>
      <c r="X336" s="4">
        <f t="shared" si="77"/>
        <v>1.0083333333333333</v>
      </c>
      <c r="Y336" s="11">
        <v>20</v>
      </c>
      <c r="Z336" s="11" t="s">
        <v>385</v>
      </c>
      <c r="AA336" s="11" t="s">
        <v>385</v>
      </c>
      <c r="AB336" s="11" t="s">
        <v>385</v>
      </c>
      <c r="AC336" s="11" t="s">
        <v>385</v>
      </c>
      <c r="AD336" s="11">
        <v>590</v>
      </c>
      <c r="AE336" s="11">
        <v>590</v>
      </c>
      <c r="AF336" s="4">
        <f t="shared" si="78"/>
        <v>1</v>
      </c>
      <c r="AG336" s="11">
        <v>20</v>
      </c>
      <c r="AH336" s="5" t="s">
        <v>362</v>
      </c>
      <c r="AI336" s="5" t="s">
        <v>362</v>
      </c>
      <c r="AJ336" s="5" t="s">
        <v>362</v>
      </c>
      <c r="AK336" s="5" t="s">
        <v>362</v>
      </c>
      <c r="AL336" s="5" t="s">
        <v>362</v>
      </c>
      <c r="AM336" s="5" t="s">
        <v>362</v>
      </c>
      <c r="AN336" s="5" t="s">
        <v>362</v>
      </c>
      <c r="AO336" s="5" t="s">
        <v>362</v>
      </c>
      <c r="AP336" s="44">
        <f t="shared" si="86"/>
        <v>1.063608914410719</v>
      </c>
      <c r="AQ336" s="45">
        <v>1308</v>
      </c>
      <c r="AR336" s="35">
        <f t="shared" si="79"/>
        <v>356.72727272727275</v>
      </c>
      <c r="AS336" s="35">
        <f t="shared" si="80"/>
        <v>379.4</v>
      </c>
      <c r="AT336" s="35">
        <f t="shared" si="81"/>
        <v>22.672727272727229</v>
      </c>
      <c r="AU336" s="35">
        <v>119.6</v>
      </c>
      <c r="AV336" s="35">
        <v>129.1</v>
      </c>
      <c r="AW336" s="35">
        <f t="shared" si="82"/>
        <v>130.69999999999999</v>
      </c>
      <c r="AX336" s="35"/>
      <c r="AY336" s="35">
        <f t="shared" si="83"/>
        <v>130.69999999999999</v>
      </c>
      <c r="AZ336" s="35">
        <v>0</v>
      </c>
      <c r="BA336" s="35">
        <f t="shared" si="84"/>
        <v>130.69999999999999</v>
      </c>
      <c r="BB336" s="35">
        <f>MIN(BA336,11.9)</f>
        <v>11.9</v>
      </c>
      <c r="BC336" s="35">
        <f t="shared" si="85"/>
        <v>118.8</v>
      </c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10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10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10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10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10"/>
      <c r="GZ336" s="9"/>
      <c r="HA336" s="9"/>
    </row>
    <row r="337" spans="1:209" s="2" customFormat="1" ht="17" customHeight="1">
      <c r="A337" s="46" t="s">
        <v>329</v>
      </c>
      <c r="B337" s="35">
        <v>420</v>
      </c>
      <c r="C337" s="35">
        <v>420</v>
      </c>
      <c r="D337" s="4">
        <f t="shared" si="74"/>
        <v>1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167.2</v>
      </c>
      <c r="O337" s="35">
        <v>209.1</v>
      </c>
      <c r="P337" s="4">
        <f t="shared" si="75"/>
        <v>1.2050598086124402</v>
      </c>
      <c r="Q337" s="11">
        <v>20</v>
      </c>
      <c r="R337" s="35">
        <v>0</v>
      </c>
      <c r="S337" s="35">
        <v>0</v>
      </c>
      <c r="T337" s="4">
        <f t="shared" si="76"/>
        <v>1</v>
      </c>
      <c r="U337" s="11">
        <v>20</v>
      </c>
      <c r="V337" s="35">
        <v>1.6</v>
      </c>
      <c r="W337" s="35">
        <v>1.8</v>
      </c>
      <c r="X337" s="4">
        <f t="shared" si="77"/>
        <v>1.125</v>
      </c>
      <c r="Y337" s="11">
        <v>30</v>
      </c>
      <c r="Z337" s="11" t="s">
        <v>385</v>
      </c>
      <c r="AA337" s="11" t="s">
        <v>385</v>
      </c>
      <c r="AB337" s="11" t="s">
        <v>385</v>
      </c>
      <c r="AC337" s="11" t="s">
        <v>385</v>
      </c>
      <c r="AD337" s="11">
        <v>80</v>
      </c>
      <c r="AE337" s="11">
        <v>80</v>
      </c>
      <c r="AF337" s="4">
        <f t="shared" si="78"/>
        <v>1</v>
      </c>
      <c r="AG337" s="11">
        <v>20</v>
      </c>
      <c r="AH337" s="5" t="s">
        <v>362</v>
      </c>
      <c r="AI337" s="5" t="s">
        <v>362</v>
      </c>
      <c r="AJ337" s="5" t="s">
        <v>362</v>
      </c>
      <c r="AK337" s="5" t="s">
        <v>362</v>
      </c>
      <c r="AL337" s="5" t="s">
        <v>362</v>
      </c>
      <c r="AM337" s="5" t="s">
        <v>362</v>
      </c>
      <c r="AN337" s="5" t="s">
        <v>362</v>
      </c>
      <c r="AO337" s="5" t="s">
        <v>362</v>
      </c>
      <c r="AP337" s="44">
        <f t="shared" si="86"/>
        <v>1.0785119617224881</v>
      </c>
      <c r="AQ337" s="45">
        <v>1146</v>
      </c>
      <c r="AR337" s="35">
        <f t="shared" si="79"/>
        <v>312.54545454545456</v>
      </c>
      <c r="AS337" s="35">
        <f t="shared" si="80"/>
        <v>337.1</v>
      </c>
      <c r="AT337" s="35">
        <f t="shared" si="81"/>
        <v>24.554545454545462</v>
      </c>
      <c r="AU337" s="35">
        <v>112</v>
      </c>
      <c r="AV337" s="35">
        <v>86.2</v>
      </c>
      <c r="AW337" s="35">
        <f t="shared" si="82"/>
        <v>138.9</v>
      </c>
      <c r="AX337" s="35"/>
      <c r="AY337" s="35">
        <f t="shared" si="83"/>
        <v>138.9</v>
      </c>
      <c r="AZ337" s="35">
        <v>0</v>
      </c>
      <c r="BA337" s="35">
        <f t="shared" si="84"/>
        <v>138.9</v>
      </c>
      <c r="BB337" s="35">
        <f>MIN(BA337,38.5)</f>
        <v>38.5</v>
      </c>
      <c r="BC337" s="35">
        <f t="shared" si="85"/>
        <v>100.4</v>
      </c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10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10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10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10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10"/>
      <c r="GZ337" s="9"/>
      <c r="HA337" s="9"/>
    </row>
    <row r="338" spans="1:209" s="2" customFormat="1" ht="17" customHeight="1">
      <c r="A338" s="46" t="s">
        <v>330</v>
      </c>
      <c r="B338" s="35">
        <v>137</v>
      </c>
      <c r="C338" s="35">
        <v>137</v>
      </c>
      <c r="D338" s="4">
        <f t="shared" si="74"/>
        <v>1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249.6</v>
      </c>
      <c r="O338" s="35">
        <v>171.5</v>
      </c>
      <c r="P338" s="4">
        <f t="shared" si="75"/>
        <v>0.68709935897435903</v>
      </c>
      <c r="Q338" s="11">
        <v>20</v>
      </c>
      <c r="R338" s="35">
        <v>0.5</v>
      </c>
      <c r="S338" s="35">
        <v>0.6</v>
      </c>
      <c r="T338" s="4">
        <f t="shared" si="76"/>
        <v>1.2</v>
      </c>
      <c r="U338" s="11">
        <v>20</v>
      </c>
      <c r="V338" s="35">
        <v>3</v>
      </c>
      <c r="W338" s="35">
        <v>3.2</v>
      </c>
      <c r="X338" s="4">
        <f t="shared" si="77"/>
        <v>1.0666666666666667</v>
      </c>
      <c r="Y338" s="11">
        <v>30</v>
      </c>
      <c r="Z338" s="11" t="s">
        <v>385</v>
      </c>
      <c r="AA338" s="11" t="s">
        <v>385</v>
      </c>
      <c r="AB338" s="11" t="s">
        <v>385</v>
      </c>
      <c r="AC338" s="11" t="s">
        <v>385</v>
      </c>
      <c r="AD338" s="11">
        <v>96</v>
      </c>
      <c r="AE338" s="11">
        <v>96</v>
      </c>
      <c r="AF338" s="4">
        <f t="shared" si="78"/>
        <v>1</v>
      </c>
      <c r="AG338" s="11">
        <v>20</v>
      </c>
      <c r="AH338" s="5" t="s">
        <v>362</v>
      </c>
      <c r="AI338" s="5" t="s">
        <v>362</v>
      </c>
      <c r="AJ338" s="5" t="s">
        <v>362</v>
      </c>
      <c r="AK338" s="5" t="s">
        <v>362</v>
      </c>
      <c r="AL338" s="5" t="s">
        <v>362</v>
      </c>
      <c r="AM338" s="5" t="s">
        <v>362</v>
      </c>
      <c r="AN338" s="5" t="s">
        <v>362</v>
      </c>
      <c r="AO338" s="5" t="s">
        <v>362</v>
      </c>
      <c r="AP338" s="44">
        <f t="shared" si="86"/>
        <v>0.99741987179487179</v>
      </c>
      <c r="AQ338" s="45">
        <v>535</v>
      </c>
      <c r="AR338" s="35">
        <f t="shared" si="79"/>
        <v>145.90909090909091</v>
      </c>
      <c r="AS338" s="35">
        <f t="shared" si="80"/>
        <v>145.5</v>
      </c>
      <c r="AT338" s="35">
        <f t="shared" si="81"/>
        <v>-0.40909090909090651</v>
      </c>
      <c r="AU338" s="35">
        <v>47.5</v>
      </c>
      <c r="AV338" s="35">
        <v>41.4</v>
      </c>
      <c r="AW338" s="35">
        <f t="shared" si="82"/>
        <v>56.6</v>
      </c>
      <c r="AX338" s="35"/>
      <c r="AY338" s="35">
        <f t="shared" si="83"/>
        <v>56.6</v>
      </c>
      <c r="AZ338" s="35">
        <v>0</v>
      </c>
      <c r="BA338" s="35">
        <f t="shared" si="84"/>
        <v>56.6</v>
      </c>
      <c r="BB338" s="35">
        <f>MIN(BA338,1.4)</f>
        <v>1.4</v>
      </c>
      <c r="BC338" s="35">
        <f t="shared" si="85"/>
        <v>55.2</v>
      </c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10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10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10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10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10"/>
      <c r="GZ338" s="9"/>
      <c r="HA338" s="9"/>
    </row>
    <row r="339" spans="1:209" s="2" customFormat="1" ht="17" customHeight="1">
      <c r="A339" s="46" t="s">
        <v>331</v>
      </c>
      <c r="B339" s="35">
        <v>189</v>
      </c>
      <c r="C339" s="35">
        <v>200.8</v>
      </c>
      <c r="D339" s="4">
        <f t="shared" si="74"/>
        <v>1.0624338624338625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298.2</v>
      </c>
      <c r="O339" s="35">
        <v>463</v>
      </c>
      <c r="P339" s="4">
        <f t="shared" si="75"/>
        <v>1.2352649228705566</v>
      </c>
      <c r="Q339" s="11">
        <v>20</v>
      </c>
      <c r="R339" s="35">
        <v>0</v>
      </c>
      <c r="S339" s="35">
        <v>0</v>
      </c>
      <c r="T339" s="4">
        <f t="shared" si="76"/>
        <v>1</v>
      </c>
      <c r="U339" s="11">
        <v>25</v>
      </c>
      <c r="V339" s="35">
        <v>6</v>
      </c>
      <c r="W339" s="35">
        <v>6</v>
      </c>
      <c r="X339" s="4">
        <f t="shared" si="77"/>
        <v>1</v>
      </c>
      <c r="Y339" s="11">
        <v>25</v>
      </c>
      <c r="Z339" s="11" t="s">
        <v>385</v>
      </c>
      <c r="AA339" s="11" t="s">
        <v>385</v>
      </c>
      <c r="AB339" s="11" t="s">
        <v>385</v>
      </c>
      <c r="AC339" s="11" t="s">
        <v>385</v>
      </c>
      <c r="AD339" s="11">
        <v>186</v>
      </c>
      <c r="AE339" s="11">
        <v>186</v>
      </c>
      <c r="AF339" s="4">
        <f t="shared" si="78"/>
        <v>1</v>
      </c>
      <c r="AG339" s="11">
        <v>20</v>
      </c>
      <c r="AH339" s="5" t="s">
        <v>362</v>
      </c>
      <c r="AI339" s="5" t="s">
        <v>362</v>
      </c>
      <c r="AJ339" s="5" t="s">
        <v>362</v>
      </c>
      <c r="AK339" s="5" t="s">
        <v>362</v>
      </c>
      <c r="AL339" s="5" t="s">
        <v>362</v>
      </c>
      <c r="AM339" s="5" t="s">
        <v>362</v>
      </c>
      <c r="AN339" s="5" t="s">
        <v>362</v>
      </c>
      <c r="AO339" s="5" t="s">
        <v>362</v>
      </c>
      <c r="AP339" s="44">
        <f t="shared" si="86"/>
        <v>1.0532963708174976</v>
      </c>
      <c r="AQ339" s="45">
        <v>1092</v>
      </c>
      <c r="AR339" s="35">
        <f t="shared" si="79"/>
        <v>297.81818181818181</v>
      </c>
      <c r="AS339" s="35">
        <f t="shared" si="80"/>
        <v>313.7</v>
      </c>
      <c r="AT339" s="35">
        <f t="shared" si="81"/>
        <v>15.881818181818176</v>
      </c>
      <c r="AU339" s="35">
        <v>96.7</v>
      </c>
      <c r="AV339" s="35">
        <v>91.9</v>
      </c>
      <c r="AW339" s="35">
        <f t="shared" si="82"/>
        <v>125.1</v>
      </c>
      <c r="AX339" s="35"/>
      <c r="AY339" s="35">
        <f t="shared" si="83"/>
        <v>125.1</v>
      </c>
      <c r="AZ339" s="35">
        <v>0</v>
      </c>
      <c r="BA339" s="35">
        <f t="shared" si="84"/>
        <v>125.1</v>
      </c>
      <c r="BB339" s="35"/>
      <c r="BC339" s="35">
        <f t="shared" si="85"/>
        <v>125.1</v>
      </c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10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10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10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10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10"/>
      <c r="GZ339" s="9"/>
      <c r="HA339" s="9"/>
    </row>
    <row r="340" spans="1:209" s="2" customFormat="1" ht="17" customHeight="1">
      <c r="A340" s="46" t="s">
        <v>332</v>
      </c>
      <c r="B340" s="35">
        <v>0</v>
      </c>
      <c r="C340" s="35">
        <v>0</v>
      </c>
      <c r="D340" s="4">
        <f t="shared" si="74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315.39999999999998</v>
      </c>
      <c r="O340" s="35">
        <v>131.9</v>
      </c>
      <c r="P340" s="4">
        <f t="shared" si="75"/>
        <v>0.41819911223842743</v>
      </c>
      <c r="Q340" s="11">
        <v>20</v>
      </c>
      <c r="R340" s="35">
        <v>30</v>
      </c>
      <c r="S340" s="35">
        <v>27.7</v>
      </c>
      <c r="T340" s="4">
        <f t="shared" si="76"/>
        <v>0.92333333333333334</v>
      </c>
      <c r="U340" s="11">
        <v>20</v>
      </c>
      <c r="V340" s="35">
        <v>12</v>
      </c>
      <c r="W340" s="35">
        <v>13.1</v>
      </c>
      <c r="X340" s="4">
        <f t="shared" si="77"/>
        <v>1.0916666666666666</v>
      </c>
      <c r="Y340" s="11">
        <v>30</v>
      </c>
      <c r="Z340" s="11" t="s">
        <v>385</v>
      </c>
      <c r="AA340" s="11" t="s">
        <v>385</v>
      </c>
      <c r="AB340" s="11" t="s">
        <v>385</v>
      </c>
      <c r="AC340" s="11" t="s">
        <v>385</v>
      </c>
      <c r="AD340" s="11">
        <v>407</v>
      </c>
      <c r="AE340" s="11">
        <v>407</v>
      </c>
      <c r="AF340" s="4">
        <f t="shared" si="78"/>
        <v>1</v>
      </c>
      <c r="AG340" s="11">
        <v>20</v>
      </c>
      <c r="AH340" s="5" t="s">
        <v>362</v>
      </c>
      <c r="AI340" s="5" t="s">
        <v>362</v>
      </c>
      <c r="AJ340" s="5" t="s">
        <v>362</v>
      </c>
      <c r="AK340" s="5" t="s">
        <v>362</v>
      </c>
      <c r="AL340" s="5" t="s">
        <v>362</v>
      </c>
      <c r="AM340" s="5" t="s">
        <v>362</v>
      </c>
      <c r="AN340" s="5" t="s">
        <v>362</v>
      </c>
      <c r="AO340" s="5" t="s">
        <v>362</v>
      </c>
      <c r="AP340" s="44">
        <f t="shared" si="86"/>
        <v>0.8842294323492802</v>
      </c>
      <c r="AQ340" s="45">
        <v>1315</v>
      </c>
      <c r="AR340" s="35">
        <f t="shared" si="79"/>
        <v>358.63636363636363</v>
      </c>
      <c r="AS340" s="35">
        <f t="shared" si="80"/>
        <v>317.10000000000002</v>
      </c>
      <c r="AT340" s="35">
        <f t="shared" si="81"/>
        <v>-41.536363636363603</v>
      </c>
      <c r="AU340" s="35">
        <v>105.8</v>
      </c>
      <c r="AV340" s="35">
        <v>97</v>
      </c>
      <c r="AW340" s="35">
        <f t="shared" si="82"/>
        <v>114.3</v>
      </c>
      <c r="AX340" s="35"/>
      <c r="AY340" s="35">
        <f t="shared" si="83"/>
        <v>114.3</v>
      </c>
      <c r="AZ340" s="35">
        <v>0</v>
      </c>
      <c r="BA340" s="35">
        <f t="shared" si="84"/>
        <v>114.3</v>
      </c>
      <c r="BB340" s="35"/>
      <c r="BC340" s="35">
        <f t="shared" si="85"/>
        <v>114.3</v>
      </c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10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10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10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10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10"/>
      <c r="GZ340" s="9"/>
      <c r="HA340" s="9"/>
    </row>
    <row r="341" spans="1:209" s="2" customFormat="1" ht="17" customHeight="1">
      <c r="A341" s="46" t="s">
        <v>333</v>
      </c>
      <c r="B341" s="35">
        <v>105</v>
      </c>
      <c r="C341" s="35">
        <v>96</v>
      </c>
      <c r="D341" s="4">
        <f t="shared" si="74"/>
        <v>0.91428571428571426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116.6</v>
      </c>
      <c r="O341" s="35">
        <v>62.6</v>
      </c>
      <c r="P341" s="4">
        <f t="shared" si="75"/>
        <v>0.53687821612349917</v>
      </c>
      <c r="Q341" s="11">
        <v>20</v>
      </c>
      <c r="R341" s="35">
        <v>74</v>
      </c>
      <c r="S341" s="35">
        <v>104.3</v>
      </c>
      <c r="T341" s="4">
        <f t="shared" si="76"/>
        <v>1.220945945945946</v>
      </c>
      <c r="U341" s="11">
        <v>30</v>
      </c>
      <c r="V341" s="35">
        <v>3.5</v>
      </c>
      <c r="W341" s="35">
        <v>3.6</v>
      </c>
      <c r="X341" s="4">
        <f t="shared" si="77"/>
        <v>1.0285714285714287</v>
      </c>
      <c r="Y341" s="11">
        <v>20</v>
      </c>
      <c r="Z341" s="11" t="s">
        <v>385</v>
      </c>
      <c r="AA341" s="11" t="s">
        <v>385</v>
      </c>
      <c r="AB341" s="11" t="s">
        <v>385</v>
      </c>
      <c r="AC341" s="11" t="s">
        <v>385</v>
      </c>
      <c r="AD341" s="11">
        <v>207</v>
      </c>
      <c r="AE341" s="11">
        <v>207</v>
      </c>
      <c r="AF341" s="4">
        <f t="shared" si="78"/>
        <v>1</v>
      </c>
      <c r="AG341" s="11">
        <v>20</v>
      </c>
      <c r="AH341" s="5" t="s">
        <v>362</v>
      </c>
      <c r="AI341" s="5" t="s">
        <v>362</v>
      </c>
      <c r="AJ341" s="5" t="s">
        <v>362</v>
      </c>
      <c r="AK341" s="5" t="s">
        <v>362</v>
      </c>
      <c r="AL341" s="5" t="s">
        <v>362</v>
      </c>
      <c r="AM341" s="5" t="s">
        <v>362</v>
      </c>
      <c r="AN341" s="5" t="s">
        <v>362</v>
      </c>
      <c r="AO341" s="5" t="s">
        <v>362</v>
      </c>
      <c r="AP341" s="44">
        <f t="shared" si="86"/>
        <v>0.97080228415134073</v>
      </c>
      <c r="AQ341" s="45">
        <v>551</v>
      </c>
      <c r="AR341" s="35">
        <f t="shared" si="79"/>
        <v>150.27272727272728</v>
      </c>
      <c r="AS341" s="35">
        <f t="shared" si="80"/>
        <v>145.9</v>
      </c>
      <c r="AT341" s="35">
        <f t="shared" si="81"/>
        <v>-4.3727272727272748</v>
      </c>
      <c r="AU341" s="35">
        <v>60.6</v>
      </c>
      <c r="AV341" s="35">
        <v>45.8</v>
      </c>
      <c r="AW341" s="35">
        <f t="shared" si="82"/>
        <v>39.5</v>
      </c>
      <c r="AX341" s="35"/>
      <c r="AY341" s="35">
        <f t="shared" si="83"/>
        <v>39.5</v>
      </c>
      <c r="AZ341" s="35">
        <v>0</v>
      </c>
      <c r="BA341" s="35">
        <f t="shared" si="84"/>
        <v>39.5</v>
      </c>
      <c r="BB341" s="35"/>
      <c r="BC341" s="35">
        <f t="shared" si="85"/>
        <v>39.5</v>
      </c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10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10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10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10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10"/>
      <c r="GZ341" s="9"/>
      <c r="HA341" s="9"/>
    </row>
    <row r="342" spans="1:209" s="2" customFormat="1" ht="17" customHeight="1">
      <c r="A342" s="46" t="s">
        <v>334</v>
      </c>
      <c r="B342" s="35">
        <v>82010</v>
      </c>
      <c r="C342" s="35">
        <v>70915.5</v>
      </c>
      <c r="D342" s="4">
        <f t="shared" si="74"/>
        <v>0.86471771735154246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1917.1</v>
      </c>
      <c r="O342" s="35">
        <v>1662.5</v>
      </c>
      <c r="P342" s="4">
        <f t="shared" si="75"/>
        <v>0.86719524281466798</v>
      </c>
      <c r="Q342" s="11">
        <v>20</v>
      </c>
      <c r="R342" s="35">
        <v>38</v>
      </c>
      <c r="S342" s="35">
        <v>39.4</v>
      </c>
      <c r="T342" s="4">
        <f t="shared" si="76"/>
        <v>1.0368421052631578</v>
      </c>
      <c r="U342" s="11">
        <v>20</v>
      </c>
      <c r="V342" s="35">
        <v>11</v>
      </c>
      <c r="W342" s="35">
        <v>11.1</v>
      </c>
      <c r="X342" s="4">
        <f t="shared" si="77"/>
        <v>1.009090909090909</v>
      </c>
      <c r="Y342" s="11">
        <v>30</v>
      </c>
      <c r="Z342" s="11" t="s">
        <v>385</v>
      </c>
      <c r="AA342" s="11" t="s">
        <v>385</v>
      </c>
      <c r="AB342" s="11" t="s">
        <v>385</v>
      </c>
      <c r="AC342" s="11" t="s">
        <v>385</v>
      </c>
      <c r="AD342" s="11">
        <v>310</v>
      </c>
      <c r="AE342" s="11">
        <v>310</v>
      </c>
      <c r="AF342" s="4">
        <f t="shared" si="78"/>
        <v>1</v>
      </c>
      <c r="AG342" s="11">
        <v>20</v>
      </c>
      <c r="AH342" s="5" t="s">
        <v>362</v>
      </c>
      <c r="AI342" s="5" t="s">
        <v>362</v>
      </c>
      <c r="AJ342" s="5" t="s">
        <v>362</v>
      </c>
      <c r="AK342" s="5" t="s">
        <v>362</v>
      </c>
      <c r="AL342" s="5" t="s">
        <v>362</v>
      </c>
      <c r="AM342" s="5" t="s">
        <v>362</v>
      </c>
      <c r="AN342" s="5" t="s">
        <v>362</v>
      </c>
      <c r="AO342" s="5" t="s">
        <v>362</v>
      </c>
      <c r="AP342" s="44">
        <f t="shared" si="86"/>
        <v>0.9700065140779921</v>
      </c>
      <c r="AQ342" s="45">
        <v>1726</v>
      </c>
      <c r="AR342" s="35">
        <f t="shared" si="79"/>
        <v>470.72727272727275</v>
      </c>
      <c r="AS342" s="35">
        <f t="shared" si="80"/>
        <v>456.6</v>
      </c>
      <c r="AT342" s="35">
        <f t="shared" si="81"/>
        <v>-14.127272727272725</v>
      </c>
      <c r="AU342" s="35">
        <v>165</v>
      </c>
      <c r="AV342" s="35">
        <v>146.6</v>
      </c>
      <c r="AW342" s="35">
        <f t="shared" si="82"/>
        <v>145</v>
      </c>
      <c r="AX342" s="35"/>
      <c r="AY342" s="35">
        <f t="shared" si="83"/>
        <v>145</v>
      </c>
      <c r="AZ342" s="35">
        <v>0</v>
      </c>
      <c r="BA342" s="35">
        <f t="shared" si="84"/>
        <v>145</v>
      </c>
      <c r="BB342" s="35"/>
      <c r="BC342" s="35">
        <f t="shared" si="85"/>
        <v>145</v>
      </c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10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10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10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10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10"/>
      <c r="GZ342" s="9"/>
      <c r="HA342" s="9"/>
    </row>
    <row r="343" spans="1:209" s="2" customFormat="1" ht="17" customHeight="1">
      <c r="A343" s="46" t="s">
        <v>335</v>
      </c>
      <c r="B343" s="35">
        <v>110</v>
      </c>
      <c r="C343" s="35">
        <v>107.6</v>
      </c>
      <c r="D343" s="4">
        <f t="shared" si="74"/>
        <v>0.97818181818181815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126.6</v>
      </c>
      <c r="O343" s="35">
        <v>77.099999999999994</v>
      </c>
      <c r="P343" s="4">
        <f t="shared" si="75"/>
        <v>0.60900473933649291</v>
      </c>
      <c r="Q343" s="11">
        <v>20</v>
      </c>
      <c r="R343" s="35">
        <v>49</v>
      </c>
      <c r="S343" s="35">
        <v>48.9</v>
      </c>
      <c r="T343" s="4">
        <f t="shared" si="76"/>
        <v>0.99795918367346936</v>
      </c>
      <c r="U343" s="11">
        <v>30</v>
      </c>
      <c r="V343" s="35">
        <v>6</v>
      </c>
      <c r="W343" s="35">
        <v>6.1</v>
      </c>
      <c r="X343" s="4">
        <f t="shared" si="77"/>
        <v>1.0166666666666666</v>
      </c>
      <c r="Y343" s="11">
        <v>20</v>
      </c>
      <c r="Z343" s="11" t="s">
        <v>385</v>
      </c>
      <c r="AA343" s="11" t="s">
        <v>385</v>
      </c>
      <c r="AB343" s="11" t="s">
        <v>385</v>
      </c>
      <c r="AC343" s="11" t="s">
        <v>385</v>
      </c>
      <c r="AD343" s="11">
        <v>560</v>
      </c>
      <c r="AE343" s="11">
        <v>560</v>
      </c>
      <c r="AF343" s="4">
        <f t="shared" si="78"/>
        <v>1</v>
      </c>
      <c r="AG343" s="11">
        <v>20</v>
      </c>
      <c r="AH343" s="5" t="s">
        <v>362</v>
      </c>
      <c r="AI343" s="5" t="s">
        <v>362</v>
      </c>
      <c r="AJ343" s="5" t="s">
        <v>362</v>
      </c>
      <c r="AK343" s="5" t="s">
        <v>362</v>
      </c>
      <c r="AL343" s="5" t="s">
        <v>362</v>
      </c>
      <c r="AM343" s="5" t="s">
        <v>362</v>
      </c>
      <c r="AN343" s="5" t="s">
        <v>362</v>
      </c>
      <c r="AO343" s="5" t="s">
        <v>362</v>
      </c>
      <c r="AP343" s="44">
        <f t="shared" si="86"/>
        <v>0.92234021812085454</v>
      </c>
      <c r="AQ343" s="45">
        <v>538</v>
      </c>
      <c r="AR343" s="35">
        <f t="shared" si="79"/>
        <v>146.72727272727272</v>
      </c>
      <c r="AS343" s="35">
        <f t="shared" si="80"/>
        <v>135.30000000000001</v>
      </c>
      <c r="AT343" s="35">
        <f t="shared" si="81"/>
        <v>-11.427272727272708</v>
      </c>
      <c r="AU343" s="35">
        <v>43.5</v>
      </c>
      <c r="AV343" s="35">
        <v>44.4</v>
      </c>
      <c r="AW343" s="35">
        <f t="shared" si="82"/>
        <v>47.4</v>
      </c>
      <c r="AX343" s="35"/>
      <c r="AY343" s="35">
        <f t="shared" si="83"/>
        <v>47.4</v>
      </c>
      <c r="AZ343" s="35">
        <v>0</v>
      </c>
      <c r="BA343" s="35">
        <f t="shared" si="84"/>
        <v>47.4</v>
      </c>
      <c r="BB343" s="35"/>
      <c r="BC343" s="35">
        <f t="shared" si="85"/>
        <v>47.4</v>
      </c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209" s="2" customFormat="1" ht="17" customHeight="1">
      <c r="A344" s="46" t="s">
        <v>336</v>
      </c>
      <c r="B344" s="35">
        <v>69</v>
      </c>
      <c r="C344" s="35">
        <v>75.2</v>
      </c>
      <c r="D344" s="4">
        <f t="shared" si="74"/>
        <v>1.0898550724637681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131.4</v>
      </c>
      <c r="O344" s="35">
        <v>127.8</v>
      </c>
      <c r="P344" s="4">
        <f t="shared" si="75"/>
        <v>0.97260273972602729</v>
      </c>
      <c r="Q344" s="11">
        <v>20</v>
      </c>
      <c r="R344" s="35">
        <v>4</v>
      </c>
      <c r="S344" s="35">
        <v>16</v>
      </c>
      <c r="T344" s="4">
        <f t="shared" si="76"/>
        <v>1.3</v>
      </c>
      <c r="U344" s="11">
        <v>25</v>
      </c>
      <c r="V344" s="35">
        <v>4.4000000000000004</v>
      </c>
      <c r="W344" s="35">
        <v>4.5</v>
      </c>
      <c r="X344" s="4">
        <f t="shared" si="77"/>
        <v>1.0227272727272727</v>
      </c>
      <c r="Y344" s="11">
        <v>25</v>
      </c>
      <c r="Z344" s="11" t="s">
        <v>385</v>
      </c>
      <c r="AA344" s="11" t="s">
        <v>385</v>
      </c>
      <c r="AB344" s="11" t="s">
        <v>385</v>
      </c>
      <c r="AC344" s="11" t="s">
        <v>385</v>
      </c>
      <c r="AD344" s="11">
        <v>355</v>
      </c>
      <c r="AE344" s="11">
        <v>355</v>
      </c>
      <c r="AF344" s="4">
        <f t="shared" si="78"/>
        <v>1</v>
      </c>
      <c r="AG344" s="11">
        <v>20</v>
      </c>
      <c r="AH344" s="5" t="s">
        <v>362</v>
      </c>
      <c r="AI344" s="5" t="s">
        <v>362</v>
      </c>
      <c r="AJ344" s="5" t="s">
        <v>362</v>
      </c>
      <c r="AK344" s="5" t="s">
        <v>362</v>
      </c>
      <c r="AL344" s="5" t="s">
        <v>362</v>
      </c>
      <c r="AM344" s="5" t="s">
        <v>362</v>
      </c>
      <c r="AN344" s="5" t="s">
        <v>362</v>
      </c>
      <c r="AO344" s="5" t="s">
        <v>362</v>
      </c>
      <c r="AP344" s="44">
        <f t="shared" si="86"/>
        <v>1.0841878733734005</v>
      </c>
      <c r="AQ344" s="45">
        <v>1335</v>
      </c>
      <c r="AR344" s="35">
        <f t="shared" si="79"/>
        <v>364.09090909090907</v>
      </c>
      <c r="AS344" s="35">
        <f t="shared" si="80"/>
        <v>394.7</v>
      </c>
      <c r="AT344" s="35">
        <f t="shared" si="81"/>
        <v>30.609090909090924</v>
      </c>
      <c r="AU344" s="35">
        <v>131.80000000000001</v>
      </c>
      <c r="AV344" s="35">
        <v>110.6</v>
      </c>
      <c r="AW344" s="35">
        <f t="shared" si="82"/>
        <v>152.30000000000001</v>
      </c>
      <c r="AX344" s="35"/>
      <c r="AY344" s="35">
        <f t="shared" si="83"/>
        <v>152.30000000000001</v>
      </c>
      <c r="AZ344" s="35">
        <v>0</v>
      </c>
      <c r="BA344" s="35">
        <f t="shared" si="84"/>
        <v>152.30000000000001</v>
      </c>
      <c r="BB344" s="35">
        <f>MIN(BA344,4)</f>
        <v>4</v>
      </c>
      <c r="BC344" s="35">
        <f t="shared" si="85"/>
        <v>148.30000000000001</v>
      </c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209" s="2" customFormat="1" ht="17" customHeight="1">
      <c r="A345" s="18" t="s">
        <v>337</v>
      </c>
      <c r="B345" s="6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35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209" s="2" customFormat="1" ht="17" customHeight="1">
      <c r="A346" s="46" t="s">
        <v>338</v>
      </c>
      <c r="B346" s="35">
        <v>95</v>
      </c>
      <c r="C346" s="35">
        <v>95.9</v>
      </c>
      <c r="D346" s="4">
        <f t="shared" si="74"/>
        <v>1.0094736842105263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65</v>
      </c>
      <c r="O346" s="35">
        <v>33.9</v>
      </c>
      <c r="P346" s="4">
        <f t="shared" si="75"/>
        <v>0.52153846153846151</v>
      </c>
      <c r="Q346" s="11">
        <v>20</v>
      </c>
      <c r="R346" s="35">
        <v>12.5</v>
      </c>
      <c r="S346" s="35">
        <v>13.3</v>
      </c>
      <c r="T346" s="4">
        <f t="shared" si="76"/>
        <v>1.0640000000000001</v>
      </c>
      <c r="U346" s="11">
        <v>15</v>
      </c>
      <c r="V346" s="35">
        <v>2</v>
      </c>
      <c r="W346" s="35">
        <v>2</v>
      </c>
      <c r="X346" s="4">
        <f t="shared" si="77"/>
        <v>1</v>
      </c>
      <c r="Y346" s="11">
        <v>35</v>
      </c>
      <c r="Z346" s="11" t="s">
        <v>385</v>
      </c>
      <c r="AA346" s="11" t="s">
        <v>385</v>
      </c>
      <c r="AB346" s="11" t="s">
        <v>385</v>
      </c>
      <c r="AC346" s="11" t="s">
        <v>385</v>
      </c>
      <c r="AD346" s="11">
        <v>114</v>
      </c>
      <c r="AE346" s="11">
        <v>114</v>
      </c>
      <c r="AF346" s="4">
        <f t="shared" si="78"/>
        <v>1</v>
      </c>
      <c r="AG346" s="11">
        <v>20</v>
      </c>
      <c r="AH346" s="5" t="s">
        <v>362</v>
      </c>
      <c r="AI346" s="5" t="s">
        <v>362</v>
      </c>
      <c r="AJ346" s="5" t="s">
        <v>362</v>
      </c>
      <c r="AK346" s="5" t="s">
        <v>362</v>
      </c>
      <c r="AL346" s="5" t="s">
        <v>362</v>
      </c>
      <c r="AM346" s="5" t="s">
        <v>362</v>
      </c>
      <c r="AN346" s="5" t="s">
        <v>362</v>
      </c>
      <c r="AO346" s="5" t="s">
        <v>362</v>
      </c>
      <c r="AP346" s="44">
        <f t="shared" si="86"/>
        <v>0.91485506072874501</v>
      </c>
      <c r="AQ346" s="45">
        <v>769</v>
      </c>
      <c r="AR346" s="35">
        <f t="shared" si="79"/>
        <v>209.72727272727272</v>
      </c>
      <c r="AS346" s="35">
        <f t="shared" si="80"/>
        <v>191.9</v>
      </c>
      <c r="AT346" s="35">
        <f t="shared" si="81"/>
        <v>-17.827272727272714</v>
      </c>
      <c r="AU346" s="35">
        <v>67.2</v>
      </c>
      <c r="AV346" s="35">
        <v>60.6</v>
      </c>
      <c r="AW346" s="35">
        <f t="shared" si="82"/>
        <v>64.099999999999994</v>
      </c>
      <c r="AX346" s="35"/>
      <c r="AY346" s="35">
        <f t="shared" si="83"/>
        <v>64.099999999999994</v>
      </c>
      <c r="AZ346" s="35">
        <v>0</v>
      </c>
      <c r="BA346" s="35">
        <f t="shared" si="84"/>
        <v>64.099999999999994</v>
      </c>
      <c r="BB346" s="35"/>
      <c r="BC346" s="35">
        <f t="shared" si="85"/>
        <v>64.099999999999994</v>
      </c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209" s="2" customFormat="1" ht="17" customHeight="1">
      <c r="A347" s="46" t="s">
        <v>53</v>
      </c>
      <c r="B347" s="35">
        <v>71</v>
      </c>
      <c r="C347" s="35">
        <v>72.7</v>
      </c>
      <c r="D347" s="4">
        <f t="shared" si="74"/>
        <v>1.023943661971831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160.19999999999999</v>
      </c>
      <c r="O347" s="35">
        <v>104.9</v>
      </c>
      <c r="P347" s="4">
        <f t="shared" si="75"/>
        <v>0.65480649188514362</v>
      </c>
      <c r="Q347" s="11">
        <v>20</v>
      </c>
      <c r="R347" s="35">
        <v>104</v>
      </c>
      <c r="S347" s="35">
        <v>107.1</v>
      </c>
      <c r="T347" s="4">
        <f t="shared" si="76"/>
        <v>1.0298076923076922</v>
      </c>
      <c r="U347" s="11">
        <v>30</v>
      </c>
      <c r="V347" s="35">
        <v>3</v>
      </c>
      <c r="W347" s="35">
        <v>3.1</v>
      </c>
      <c r="X347" s="4">
        <f t="shared" si="77"/>
        <v>1.0333333333333334</v>
      </c>
      <c r="Y347" s="11">
        <v>20</v>
      </c>
      <c r="Z347" s="11" t="s">
        <v>385</v>
      </c>
      <c r="AA347" s="11" t="s">
        <v>385</v>
      </c>
      <c r="AB347" s="11" t="s">
        <v>385</v>
      </c>
      <c r="AC347" s="11" t="s">
        <v>385</v>
      </c>
      <c r="AD347" s="11">
        <v>258</v>
      </c>
      <c r="AE347" s="11">
        <v>258</v>
      </c>
      <c r="AF347" s="4">
        <f t="shared" si="78"/>
        <v>1</v>
      </c>
      <c r="AG347" s="11">
        <v>20</v>
      </c>
      <c r="AH347" s="5" t="s">
        <v>362</v>
      </c>
      <c r="AI347" s="5" t="s">
        <v>362</v>
      </c>
      <c r="AJ347" s="5" t="s">
        <v>362</v>
      </c>
      <c r="AK347" s="5" t="s">
        <v>362</v>
      </c>
      <c r="AL347" s="5" t="s">
        <v>362</v>
      </c>
      <c r="AM347" s="5" t="s">
        <v>362</v>
      </c>
      <c r="AN347" s="5" t="s">
        <v>362</v>
      </c>
      <c r="AO347" s="5" t="s">
        <v>362</v>
      </c>
      <c r="AP347" s="44">
        <f t="shared" si="86"/>
        <v>0.94896463893318606</v>
      </c>
      <c r="AQ347" s="45">
        <v>2759</v>
      </c>
      <c r="AR347" s="35">
        <f t="shared" si="79"/>
        <v>752.4545454545455</v>
      </c>
      <c r="AS347" s="35">
        <f t="shared" si="80"/>
        <v>714.1</v>
      </c>
      <c r="AT347" s="35">
        <f t="shared" si="81"/>
        <v>-38.354545454545473</v>
      </c>
      <c r="AU347" s="35">
        <v>236.6</v>
      </c>
      <c r="AV347" s="35">
        <v>222.4</v>
      </c>
      <c r="AW347" s="35">
        <f t="shared" si="82"/>
        <v>255.1</v>
      </c>
      <c r="AX347" s="35"/>
      <c r="AY347" s="35">
        <f t="shared" si="83"/>
        <v>255.1</v>
      </c>
      <c r="AZ347" s="35">
        <v>0</v>
      </c>
      <c r="BA347" s="35">
        <f t="shared" si="84"/>
        <v>255.1</v>
      </c>
      <c r="BB347" s="35"/>
      <c r="BC347" s="35">
        <f t="shared" si="85"/>
        <v>255.1</v>
      </c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209" s="2" customFormat="1" ht="17" customHeight="1">
      <c r="A348" s="46" t="s">
        <v>339</v>
      </c>
      <c r="B348" s="35">
        <v>235</v>
      </c>
      <c r="C348" s="35">
        <v>235</v>
      </c>
      <c r="D348" s="4">
        <f t="shared" si="74"/>
        <v>1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102.4</v>
      </c>
      <c r="O348" s="35">
        <v>137.1</v>
      </c>
      <c r="P348" s="4">
        <f t="shared" si="75"/>
        <v>1.21388671875</v>
      </c>
      <c r="Q348" s="11">
        <v>20</v>
      </c>
      <c r="R348" s="35">
        <v>25</v>
      </c>
      <c r="S348" s="35">
        <v>25.8</v>
      </c>
      <c r="T348" s="4">
        <f t="shared" si="76"/>
        <v>1.032</v>
      </c>
      <c r="U348" s="11">
        <v>30</v>
      </c>
      <c r="V348" s="35">
        <v>2.2999999999999998</v>
      </c>
      <c r="W348" s="35">
        <v>2.9</v>
      </c>
      <c r="X348" s="4">
        <f t="shared" si="77"/>
        <v>1.2060869565217391</v>
      </c>
      <c r="Y348" s="11">
        <v>20</v>
      </c>
      <c r="Z348" s="11" t="s">
        <v>385</v>
      </c>
      <c r="AA348" s="11" t="s">
        <v>385</v>
      </c>
      <c r="AB348" s="11" t="s">
        <v>385</v>
      </c>
      <c r="AC348" s="11" t="s">
        <v>385</v>
      </c>
      <c r="AD348" s="11">
        <v>220</v>
      </c>
      <c r="AE348" s="11">
        <v>220</v>
      </c>
      <c r="AF348" s="4">
        <f t="shared" si="78"/>
        <v>1</v>
      </c>
      <c r="AG348" s="11">
        <v>20</v>
      </c>
      <c r="AH348" s="5" t="s">
        <v>362</v>
      </c>
      <c r="AI348" s="5" t="s">
        <v>362</v>
      </c>
      <c r="AJ348" s="5" t="s">
        <v>362</v>
      </c>
      <c r="AK348" s="5" t="s">
        <v>362</v>
      </c>
      <c r="AL348" s="5" t="s">
        <v>362</v>
      </c>
      <c r="AM348" s="5" t="s">
        <v>362</v>
      </c>
      <c r="AN348" s="5" t="s">
        <v>362</v>
      </c>
      <c r="AO348" s="5" t="s">
        <v>362</v>
      </c>
      <c r="AP348" s="44">
        <f t="shared" si="86"/>
        <v>1.0935947350543478</v>
      </c>
      <c r="AQ348" s="45">
        <v>779</v>
      </c>
      <c r="AR348" s="35">
        <f t="shared" si="79"/>
        <v>212.45454545454544</v>
      </c>
      <c r="AS348" s="35">
        <f t="shared" si="80"/>
        <v>232.3</v>
      </c>
      <c r="AT348" s="35">
        <f t="shared" si="81"/>
        <v>19.845454545454572</v>
      </c>
      <c r="AU348" s="35">
        <v>68.3</v>
      </c>
      <c r="AV348" s="35">
        <v>82.4</v>
      </c>
      <c r="AW348" s="35">
        <f t="shared" si="82"/>
        <v>81.599999999999994</v>
      </c>
      <c r="AX348" s="35"/>
      <c r="AY348" s="35">
        <f t="shared" si="83"/>
        <v>81.599999999999994</v>
      </c>
      <c r="AZ348" s="35">
        <v>0</v>
      </c>
      <c r="BA348" s="35">
        <f t="shared" si="84"/>
        <v>81.599999999999994</v>
      </c>
      <c r="BB348" s="35"/>
      <c r="BC348" s="35">
        <f t="shared" si="85"/>
        <v>81.599999999999994</v>
      </c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209" s="2" customFormat="1" ht="17" customHeight="1">
      <c r="A349" s="46" t="s">
        <v>340</v>
      </c>
      <c r="B349" s="35">
        <v>5451</v>
      </c>
      <c r="C349" s="35">
        <v>15497.7</v>
      </c>
      <c r="D349" s="4">
        <f t="shared" si="74"/>
        <v>1.3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226.9</v>
      </c>
      <c r="O349" s="35">
        <v>95</v>
      </c>
      <c r="P349" s="4">
        <f t="shared" si="75"/>
        <v>0.41868664609960332</v>
      </c>
      <c r="Q349" s="11">
        <v>20</v>
      </c>
      <c r="R349" s="35">
        <v>455</v>
      </c>
      <c r="S349" s="35">
        <v>528.4</v>
      </c>
      <c r="T349" s="4">
        <f t="shared" si="76"/>
        <v>1.1613186813186813</v>
      </c>
      <c r="U349" s="11">
        <v>30</v>
      </c>
      <c r="V349" s="35">
        <v>7.5</v>
      </c>
      <c r="W349" s="35">
        <v>8.5</v>
      </c>
      <c r="X349" s="4">
        <f t="shared" si="77"/>
        <v>1.1333333333333333</v>
      </c>
      <c r="Y349" s="11">
        <v>20</v>
      </c>
      <c r="Z349" s="11" t="s">
        <v>385</v>
      </c>
      <c r="AA349" s="11" t="s">
        <v>385</v>
      </c>
      <c r="AB349" s="11" t="s">
        <v>385</v>
      </c>
      <c r="AC349" s="11" t="s">
        <v>385</v>
      </c>
      <c r="AD349" s="11">
        <v>1030</v>
      </c>
      <c r="AE349" s="11">
        <v>1030</v>
      </c>
      <c r="AF349" s="4">
        <f t="shared" si="78"/>
        <v>1</v>
      </c>
      <c r="AG349" s="11">
        <v>20</v>
      </c>
      <c r="AH349" s="5" t="s">
        <v>362</v>
      </c>
      <c r="AI349" s="5" t="s">
        <v>362</v>
      </c>
      <c r="AJ349" s="5" t="s">
        <v>362</v>
      </c>
      <c r="AK349" s="5" t="s">
        <v>362</v>
      </c>
      <c r="AL349" s="5" t="s">
        <v>362</v>
      </c>
      <c r="AM349" s="5" t="s">
        <v>362</v>
      </c>
      <c r="AN349" s="5" t="s">
        <v>362</v>
      </c>
      <c r="AO349" s="5" t="s">
        <v>362</v>
      </c>
      <c r="AP349" s="44">
        <f t="shared" si="86"/>
        <v>0.9887996002821916</v>
      </c>
      <c r="AQ349" s="45">
        <v>1055</v>
      </c>
      <c r="AR349" s="35">
        <f t="shared" si="79"/>
        <v>287.72727272727275</v>
      </c>
      <c r="AS349" s="35">
        <f t="shared" si="80"/>
        <v>284.5</v>
      </c>
      <c r="AT349" s="35">
        <f t="shared" si="81"/>
        <v>-3.2272727272727479</v>
      </c>
      <c r="AU349" s="35">
        <v>93.2</v>
      </c>
      <c r="AV349" s="35">
        <v>111.2</v>
      </c>
      <c r="AW349" s="35">
        <f t="shared" si="82"/>
        <v>80.099999999999994</v>
      </c>
      <c r="AX349" s="35"/>
      <c r="AY349" s="35">
        <f t="shared" si="83"/>
        <v>80.099999999999994</v>
      </c>
      <c r="AZ349" s="35">
        <v>0</v>
      </c>
      <c r="BA349" s="35">
        <f t="shared" si="84"/>
        <v>80.099999999999994</v>
      </c>
      <c r="BB349" s="35"/>
      <c r="BC349" s="35">
        <f t="shared" si="85"/>
        <v>80.099999999999994</v>
      </c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209" s="2" customFormat="1" ht="17" customHeight="1">
      <c r="A350" s="46" t="s">
        <v>341</v>
      </c>
      <c r="B350" s="35">
        <v>147073</v>
      </c>
      <c r="C350" s="35">
        <v>120402</v>
      </c>
      <c r="D350" s="4">
        <f t="shared" si="74"/>
        <v>0.81865468168868516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319.10000000000002</v>
      </c>
      <c r="O350" s="35">
        <v>226.7</v>
      </c>
      <c r="P350" s="4">
        <f t="shared" si="75"/>
        <v>0.71043560012535245</v>
      </c>
      <c r="Q350" s="11">
        <v>20</v>
      </c>
      <c r="R350" s="35">
        <v>0</v>
      </c>
      <c r="S350" s="35">
        <v>0</v>
      </c>
      <c r="T350" s="4">
        <f t="shared" si="76"/>
        <v>1</v>
      </c>
      <c r="U350" s="11">
        <v>25</v>
      </c>
      <c r="V350" s="35">
        <v>1.9</v>
      </c>
      <c r="W350" s="35">
        <v>2</v>
      </c>
      <c r="X350" s="4">
        <f t="shared" si="77"/>
        <v>1.0526315789473684</v>
      </c>
      <c r="Y350" s="11">
        <v>25</v>
      </c>
      <c r="Z350" s="11" t="s">
        <v>385</v>
      </c>
      <c r="AA350" s="11" t="s">
        <v>385</v>
      </c>
      <c r="AB350" s="11" t="s">
        <v>385</v>
      </c>
      <c r="AC350" s="11" t="s">
        <v>385</v>
      </c>
      <c r="AD350" s="11">
        <v>40</v>
      </c>
      <c r="AE350" s="11">
        <v>41</v>
      </c>
      <c r="AF350" s="4">
        <f t="shared" si="78"/>
        <v>1.0249999999999999</v>
      </c>
      <c r="AG350" s="11">
        <v>20</v>
      </c>
      <c r="AH350" s="5" t="s">
        <v>362</v>
      </c>
      <c r="AI350" s="5" t="s">
        <v>362</v>
      </c>
      <c r="AJ350" s="5" t="s">
        <v>362</v>
      </c>
      <c r="AK350" s="5" t="s">
        <v>362</v>
      </c>
      <c r="AL350" s="5" t="s">
        <v>362</v>
      </c>
      <c r="AM350" s="5" t="s">
        <v>362</v>
      </c>
      <c r="AN350" s="5" t="s">
        <v>362</v>
      </c>
      <c r="AO350" s="5" t="s">
        <v>362</v>
      </c>
      <c r="AP350" s="44">
        <f t="shared" si="86"/>
        <v>0.94211048293078103</v>
      </c>
      <c r="AQ350" s="45">
        <v>570</v>
      </c>
      <c r="AR350" s="35">
        <f t="shared" si="79"/>
        <v>155.45454545454547</v>
      </c>
      <c r="AS350" s="35">
        <f t="shared" si="80"/>
        <v>146.5</v>
      </c>
      <c r="AT350" s="35">
        <f t="shared" si="81"/>
        <v>-8.9545454545454675</v>
      </c>
      <c r="AU350" s="35">
        <v>45.5</v>
      </c>
      <c r="AV350" s="35">
        <v>49</v>
      </c>
      <c r="AW350" s="35">
        <f t="shared" si="82"/>
        <v>52</v>
      </c>
      <c r="AX350" s="35"/>
      <c r="AY350" s="35">
        <f t="shared" si="83"/>
        <v>52</v>
      </c>
      <c r="AZ350" s="35">
        <v>0</v>
      </c>
      <c r="BA350" s="35">
        <f t="shared" si="84"/>
        <v>52</v>
      </c>
      <c r="BB350" s="35"/>
      <c r="BC350" s="35">
        <f t="shared" si="85"/>
        <v>52</v>
      </c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209" s="2" customFormat="1" ht="17" customHeight="1">
      <c r="A351" s="46" t="s">
        <v>342</v>
      </c>
      <c r="B351" s="35">
        <v>94</v>
      </c>
      <c r="C351" s="35">
        <v>101</v>
      </c>
      <c r="D351" s="4">
        <f t="shared" si="74"/>
        <v>1.074468085106383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750.3</v>
      </c>
      <c r="O351" s="35">
        <v>646.9</v>
      </c>
      <c r="P351" s="4">
        <f t="shared" si="75"/>
        <v>0.86218845795015331</v>
      </c>
      <c r="Q351" s="11">
        <v>20</v>
      </c>
      <c r="R351" s="35">
        <v>428</v>
      </c>
      <c r="S351" s="35">
        <v>371</v>
      </c>
      <c r="T351" s="4">
        <f t="shared" si="76"/>
        <v>0.86682242990654201</v>
      </c>
      <c r="U351" s="11">
        <v>30</v>
      </c>
      <c r="V351" s="35">
        <v>9</v>
      </c>
      <c r="W351" s="35">
        <v>9.3000000000000007</v>
      </c>
      <c r="X351" s="4">
        <f t="shared" si="77"/>
        <v>1.0333333333333334</v>
      </c>
      <c r="Y351" s="11">
        <v>20</v>
      </c>
      <c r="Z351" s="11" t="s">
        <v>385</v>
      </c>
      <c r="AA351" s="11" t="s">
        <v>385</v>
      </c>
      <c r="AB351" s="11" t="s">
        <v>385</v>
      </c>
      <c r="AC351" s="11" t="s">
        <v>385</v>
      </c>
      <c r="AD351" s="11">
        <v>765</v>
      </c>
      <c r="AE351" s="11">
        <v>889</v>
      </c>
      <c r="AF351" s="4">
        <f t="shared" si="78"/>
        <v>1.1620915032679739</v>
      </c>
      <c r="AG351" s="11">
        <v>20</v>
      </c>
      <c r="AH351" s="5" t="s">
        <v>362</v>
      </c>
      <c r="AI351" s="5" t="s">
        <v>362</v>
      </c>
      <c r="AJ351" s="5" t="s">
        <v>362</v>
      </c>
      <c r="AK351" s="5" t="s">
        <v>362</v>
      </c>
      <c r="AL351" s="5" t="s">
        <v>362</v>
      </c>
      <c r="AM351" s="5" t="s">
        <v>362</v>
      </c>
      <c r="AN351" s="5" t="s">
        <v>362</v>
      </c>
      <c r="AO351" s="5" t="s">
        <v>362</v>
      </c>
      <c r="AP351" s="44">
        <f t="shared" si="86"/>
        <v>0.97901619639289306</v>
      </c>
      <c r="AQ351" s="45">
        <v>271</v>
      </c>
      <c r="AR351" s="35">
        <f t="shared" si="79"/>
        <v>73.909090909090907</v>
      </c>
      <c r="AS351" s="35">
        <f t="shared" si="80"/>
        <v>72.400000000000006</v>
      </c>
      <c r="AT351" s="35">
        <f t="shared" si="81"/>
        <v>-1.5090909090909008</v>
      </c>
      <c r="AU351" s="35">
        <v>18.2</v>
      </c>
      <c r="AV351" s="35">
        <v>18.899999999999999</v>
      </c>
      <c r="AW351" s="35">
        <f t="shared" si="82"/>
        <v>35.299999999999997</v>
      </c>
      <c r="AX351" s="35"/>
      <c r="AY351" s="35">
        <f t="shared" si="83"/>
        <v>35.299999999999997</v>
      </c>
      <c r="AZ351" s="35">
        <v>0</v>
      </c>
      <c r="BA351" s="35">
        <f t="shared" si="84"/>
        <v>35.299999999999997</v>
      </c>
      <c r="BB351" s="35"/>
      <c r="BC351" s="35">
        <f t="shared" si="85"/>
        <v>35.299999999999997</v>
      </c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209" s="2" customFormat="1" ht="17" customHeight="1">
      <c r="A352" s="46" t="s">
        <v>343</v>
      </c>
      <c r="B352" s="35">
        <v>86</v>
      </c>
      <c r="C352" s="35">
        <v>82</v>
      </c>
      <c r="D352" s="4">
        <f t="shared" si="74"/>
        <v>0.95348837209302328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352.7</v>
      </c>
      <c r="O352" s="35">
        <v>210.2</v>
      </c>
      <c r="P352" s="4">
        <f t="shared" si="75"/>
        <v>0.59597391550893108</v>
      </c>
      <c r="Q352" s="11">
        <v>20</v>
      </c>
      <c r="R352" s="35">
        <v>3</v>
      </c>
      <c r="S352" s="35">
        <v>3.5</v>
      </c>
      <c r="T352" s="4">
        <f t="shared" si="76"/>
        <v>1.1666666666666667</v>
      </c>
      <c r="U352" s="11">
        <v>20</v>
      </c>
      <c r="V352" s="35">
        <v>1.4</v>
      </c>
      <c r="W352" s="35">
        <v>1.8</v>
      </c>
      <c r="X352" s="4">
        <f t="shared" si="77"/>
        <v>1.2085714285714286</v>
      </c>
      <c r="Y352" s="11">
        <v>30</v>
      </c>
      <c r="Z352" s="11" t="s">
        <v>385</v>
      </c>
      <c r="AA352" s="11" t="s">
        <v>385</v>
      </c>
      <c r="AB352" s="11" t="s">
        <v>385</v>
      </c>
      <c r="AC352" s="11" t="s">
        <v>385</v>
      </c>
      <c r="AD352" s="11">
        <v>110</v>
      </c>
      <c r="AE352" s="11">
        <v>110</v>
      </c>
      <c r="AF352" s="4">
        <f t="shared" si="78"/>
        <v>1</v>
      </c>
      <c r="AG352" s="11">
        <v>20</v>
      </c>
      <c r="AH352" s="5" t="s">
        <v>362</v>
      </c>
      <c r="AI352" s="5" t="s">
        <v>362</v>
      </c>
      <c r="AJ352" s="5" t="s">
        <v>362</v>
      </c>
      <c r="AK352" s="5" t="s">
        <v>362</v>
      </c>
      <c r="AL352" s="5" t="s">
        <v>362</v>
      </c>
      <c r="AM352" s="5" t="s">
        <v>362</v>
      </c>
      <c r="AN352" s="5" t="s">
        <v>362</v>
      </c>
      <c r="AO352" s="5" t="s">
        <v>362</v>
      </c>
      <c r="AP352" s="44">
        <f t="shared" si="86"/>
        <v>1.0104483822158505</v>
      </c>
      <c r="AQ352" s="45">
        <v>1339</v>
      </c>
      <c r="AR352" s="35">
        <f t="shared" si="79"/>
        <v>365.18181818181819</v>
      </c>
      <c r="AS352" s="35">
        <f t="shared" si="80"/>
        <v>369</v>
      </c>
      <c r="AT352" s="35">
        <f t="shared" si="81"/>
        <v>3.818181818181813</v>
      </c>
      <c r="AU352" s="35">
        <v>122.1</v>
      </c>
      <c r="AV352" s="35">
        <v>122.1</v>
      </c>
      <c r="AW352" s="35">
        <f t="shared" si="82"/>
        <v>124.8</v>
      </c>
      <c r="AX352" s="35"/>
      <c r="AY352" s="35">
        <f t="shared" si="83"/>
        <v>124.8</v>
      </c>
      <c r="AZ352" s="35">
        <v>0</v>
      </c>
      <c r="BA352" s="35">
        <f t="shared" si="84"/>
        <v>124.8</v>
      </c>
      <c r="BB352" s="35"/>
      <c r="BC352" s="35">
        <f t="shared" si="85"/>
        <v>124.8</v>
      </c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s="2" customFormat="1" ht="17" customHeight="1">
      <c r="A353" s="46" t="s">
        <v>344</v>
      </c>
      <c r="B353" s="35">
        <v>124</v>
      </c>
      <c r="C353" s="35">
        <v>124.7</v>
      </c>
      <c r="D353" s="4">
        <f t="shared" si="74"/>
        <v>1.0056451612903226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184.7</v>
      </c>
      <c r="O353" s="35">
        <v>63.5</v>
      </c>
      <c r="P353" s="4">
        <f t="shared" si="75"/>
        <v>0.34380075798592313</v>
      </c>
      <c r="Q353" s="11">
        <v>20</v>
      </c>
      <c r="R353" s="35">
        <v>22</v>
      </c>
      <c r="S353" s="35">
        <v>23.8</v>
      </c>
      <c r="T353" s="4">
        <f t="shared" si="76"/>
        <v>1.0818181818181818</v>
      </c>
      <c r="U353" s="11">
        <v>15</v>
      </c>
      <c r="V353" s="35">
        <v>1.9</v>
      </c>
      <c r="W353" s="35">
        <v>2.5</v>
      </c>
      <c r="X353" s="4">
        <f t="shared" si="77"/>
        <v>1.2115789473684211</v>
      </c>
      <c r="Y353" s="11">
        <v>35</v>
      </c>
      <c r="Z353" s="11" t="s">
        <v>385</v>
      </c>
      <c r="AA353" s="11" t="s">
        <v>385</v>
      </c>
      <c r="AB353" s="11" t="s">
        <v>385</v>
      </c>
      <c r="AC353" s="11" t="s">
        <v>385</v>
      </c>
      <c r="AD353" s="11">
        <v>205</v>
      </c>
      <c r="AE353" s="11">
        <v>205</v>
      </c>
      <c r="AF353" s="4">
        <f t="shared" si="78"/>
        <v>1</v>
      </c>
      <c r="AG353" s="11">
        <v>20</v>
      </c>
      <c r="AH353" s="5" t="s">
        <v>362</v>
      </c>
      <c r="AI353" s="5" t="s">
        <v>362</v>
      </c>
      <c r="AJ353" s="5" t="s">
        <v>362</v>
      </c>
      <c r="AK353" s="5" t="s">
        <v>362</v>
      </c>
      <c r="AL353" s="5" t="s">
        <v>362</v>
      </c>
      <c r="AM353" s="5" t="s">
        <v>362</v>
      </c>
      <c r="AN353" s="5" t="s">
        <v>362</v>
      </c>
      <c r="AO353" s="5" t="s">
        <v>362</v>
      </c>
      <c r="AP353" s="44">
        <f t="shared" si="86"/>
        <v>0.95565002657789155</v>
      </c>
      <c r="AQ353" s="45">
        <v>1017</v>
      </c>
      <c r="AR353" s="35">
        <f t="shared" si="79"/>
        <v>277.36363636363637</v>
      </c>
      <c r="AS353" s="35">
        <f t="shared" si="80"/>
        <v>265.10000000000002</v>
      </c>
      <c r="AT353" s="35">
        <f t="shared" si="81"/>
        <v>-12.263636363636351</v>
      </c>
      <c r="AU353" s="35">
        <v>102.7</v>
      </c>
      <c r="AV353" s="35">
        <v>93.2</v>
      </c>
      <c r="AW353" s="35">
        <f t="shared" si="82"/>
        <v>69.2</v>
      </c>
      <c r="AX353" s="35"/>
      <c r="AY353" s="35">
        <f t="shared" si="83"/>
        <v>69.2</v>
      </c>
      <c r="AZ353" s="35">
        <v>0</v>
      </c>
      <c r="BA353" s="35">
        <f t="shared" si="84"/>
        <v>69.2</v>
      </c>
      <c r="BB353" s="35"/>
      <c r="BC353" s="35">
        <f t="shared" si="85"/>
        <v>69.2</v>
      </c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s="2" customFormat="1" ht="17" customHeight="1">
      <c r="A354" s="46" t="s">
        <v>345</v>
      </c>
      <c r="B354" s="35">
        <v>30</v>
      </c>
      <c r="C354" s="35">
        <v>30.1</v>
      </c>
      <c r="D354" s="4">
        <f t="shared" si="74"/>
        <v>1.0033333333333334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127.8</v>
      </c>
      <c r="O354" s="35">
        <v>52.5</v>
      </c>
      <c r="P354" s="4">
        <f t="shared" si="75"/>
        <v>0.41079812206572769</v>
      </c>
      <c r="Q354" s="11">
        <v>20</v>
      </c>
      <c r="R354" s="35">
        <v>19</v>
      </c>
      <c r="S354" s="35">
        <v>20.5</v>
      </c>
      <c r="T354" s="4">
        <f t="shared" si="76"/>
        <v>1.0789473684210527</v>
      </c>
      <c r="U354" s="11">
        <v>10</v>
      </c>
      <c r="V354" s="35">
        <v>2.8</v>
      </c>
      <c r="W354" s="35">
        <v>2.9</v>
      </c>
      <c r="X354" s="4">
        <f t="shared" si="77"/>
        <v>1.0357142857142858</v>
      </c>
      <c r="Y354" s="11">
        <v>40</v>
      </c>
      <c r="Z354" s="11" t="s">
        <v>385</v>
      </c>
      <c r="AA354" s="11" t="s">
        <v>385</v>
      </c>
      <c r="AB354" s="11" t="s">
        <v>385</v>
      </c>
      <c r="AC354" s="11" t="s">
        <v>385</v>
      </c>
      <c r="AD354" s="11">
        <v>185</v>
      </c>
      <c r="AE354" s="11">
        <v>185</v>
      </c>
      <c r="AF354" s="4">
        <f t="shared" si="78"/>
        <v>1</v>
      </c>
      <c r="AG354" s="11">
        <v>20</v>
      </c>
      <c r="AH354" s="5" t="s">
        <v>362</v>
      </c>
      <c r="AI354" s="5" t="s">
        <v>362</v>
      </c>
      <c r="AJ354" s="5" t="s">
        <v>362</v>
      </c>
      <c r="AK354" s="5" t="s">
        <v>362</v>
      </c>
      <c r="AL354" s="5" t="s">
        <v>362</v>
      </c>
      <c r="AM354" s="5" t="s">
        <v>362</v>
      </c>
      <c r="AN354" s="5" t="s">
        <v>362</v>
      </c>
      <c r="AO354" s="5" t="s">
        <v>362</v>
      </c>
      <c r="AP354" s="44">
        <f t="shared" si="86"/>
        <v>0.90467340887429859</v>
      </c>
      <c r="AQ354" s="45">
        <v>812</v>
      </c>
      <c r="AR354" s="35">
        <f t="shared" si="79"/>
        <v>221.45454545454544</v>
      </c>
      <c r="AS354" s="35">
        <f t="shared" si="80"/>
        <v>200.3</v>
      </c>
      <c r="AT354" s="35">
        <f t="shared" si="81"/>
        <v>-21.154545454545428</v>
      </c>
      <c r="AU354" s="35">
        <v>73</v>
      </c>
      <c r="AV354" s="35">
        <v>67.2</v>
      </c>
      <c r="AW354" s="35">
        <f t="shared" si="82"/>
        <v>60.1</v>
      </c>
      <c r="AX354" s="35"/>
      <c r="AY354" s="35">
        <f t="shared" si="83"/>
        <v>60.1</v>
      </c>
      <c r="AZ354" s="35">
        <v>0</v>
      </c>
      <c r="BA354" s="35">
        <f t="shared" si="84"/>
        <v>60.1</v>
      </c>
      <c r="BB354" s="35"/>
      <c r="BC354" s="35">
        <f t="shared" si="85"/>
        <v>60.1</v>
      </c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s="2" customFormat="1" ht="17" customHeight="1">
      <c r="A355" s="46" t="s">
        <v>346</v>
      </c>
      <c r="B355" s="35">
        <v>24707</v>
      </c>
      <c r="C355" s="35">
        <v>24214</v>
      </c>
      <c r="D355" s="4">
        <f t="shared" si="74"/>
        <v>0.98004614076982233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1896.1</v>
      </c>
      <c r="O355" s="35">
        <v>1522.7</v>
      </c>
      <c r="P355" s="4">
        <f t="shared" si="75"/>
        <v>0.8030694583619008</v>
      </c>
      <c r="Q355" s="11">
        <v>20</v>
      </c>
      <c r="R355" s="35">
        <v>3</v>
      </c>
      <c r="S355" s="35">
        <v>3</v>
      </c>
      <c r="T355" s="4">
        <f t="shared" si="76"/>
        <v>1</v>
      </c>
      <c r="U355" s="11">
        <v>25</v>
      </c>
      <c r="V355" s="35">
        <v>2.2999999999999998</v>
      </c>
      <c r="W355" s="35">
        <v>2.2999999999999998</v>
      </c>
      <c r="X355" s="4">
        <f t="shared" si="77"/>
        <v>1</v>
      </c>
      <c r="Y355" s="11">
        <v>25</v>
      </c>
      <c r="Z355" s="11" t="s">
        <v>385</v>
      </c>
      <c r="AA355" s="11" t="s">
        <v>385</v>
      </c>
      <c r="AB355" s="11" t="s">
        <v>385</v>
      </c>
      <c r="AC355" s="11" t="s">
        <v>385</v>
      </c>
      <c r="AD355" s="11">
        <v>73</v>
      </c>
      <c r="AE355" s="11">
        <v>73</v>
      </c>
      <c r="AF355" s="4">
        <f t="shared" si="78"/>
        <v>1</v>
      </c>
      <c r="AG355" s="11">
        <v>20</v>
      </c>
      <c r="AH355" s="5" t="s">
        <v>362</v>
      </c>
      <c r="AI355" s="5" t="s">
        <v>362</v>
      </c>
      <c r="AJ355" s="5" t="s">
        <v>362</v>
      </c>
      <c r="AK355" s="5" t="s">
        <v>362</v>
      </c>
      <c r="AL355" s="5" t="s">
        <v>362</v>
      </c>
      <c r="AM355" s="5" t="s">
        <v>362</v>
      </c>
      <c r="AN355" s="5" t="s">
        <v>362</v>
      </c>
      <c r="AO355" s="5" t="s">
        <v>362</v>
      </c>
      <c r="AP355" s="44">
        <f t="shared" si="86"/>
        <v>0.95861850574936236</v>
      </c>
      <c r="AQ355" s="45">
        <v>1529</v>
      </c>
      <c r="AR355" s="35">
        <f t="shared" si="79"/>
        <v>417</v>
      </c>
      <c r="AS355" s="35">
        <f t="shared" si="80"/>
        <v>399.7</v>
      </c>
      <c r="AT355" s="35">
        <f t="shared" si="81"/>
        <v>-17.300000000000011</v>
      </c>
      <c r="AU355" s="35">
        <v>127</v>
      </c>
      <c r="AV355" s="35">
        <v>140.5</v>
      </c>
      <c r="AW355" s="35">
        <f t="shared" si="82"/>
        <v>132.19999999999999</v>
      </c>
      <c r="AX355" s="35"/>
      <c r="AY355" s="35">
        <f t="shared" si="83"/>
        <v>132.19999999999999</v>
      </c>
      <c r="AZ355" s="35">
        <v>0</v>
      </c>
      <c r="BA355" s="35">
        <f t="shared" si="84"/>
        <v>132.19999999999999</v>
      </c>
      <c r="BB355" s="35"/>
      <c r="BC355" s="35">
        <f t="shared" si="85"/>
        <v>132.19999999999999</v>
      </c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s="2" customFormat="1" ht="17" customHeight="1">
      <c r="A356" s="18" t="s">
        <v>347</v>
      </c>
      <c r="B356" s="6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35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s="2" customFormat="1" ht="17" customHeight="1">
      <c r="A357" s="14" t="s">
        <v>348</v>
      </c>
      <c r="B357" s="35">
        <v>2700</v>
      </c>
      <c r="C357" s="35">
        <v>2324</v>
      </c>
      <c r="D357" s="4">
        <f t="shared" si="74"/>
        <v>0.8607407407407407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174.4</v>
      </c>
      <c r="O357" s="35">
        <v>133.9</v>
      </c>
      <c r="P357" s="4">
        <f t="shared" si="75"/>
        <v>0.76777522935779818</v>
      </c>
      <c r="Q357" s="11">
        <v>20</v>
      </c>
      <c r="R357" s="35">
        <v>3</v>
      </c>
      <c r="S357" s="35">
        <v>4</v>
      </c>
      <c r="T357" s="4">
        <f t="shared" si="76"/>
        <v>1.2133333333333334</v>
      </c>
      <c r="U357" s="11">
        <v>15</v>
      </c>
      <c r="V357" s="35">
        <v>0</v>
      </c>
      <c r="W357" s="35">
        <v>0</v>
      </c>
      <c r="X357" s="4">
        <f t="shared" si="77"/>
        <v>1</v>
      </c>
      <c r="Y357" s="11">
        <v>35</v>
      </c>
      <c r="Z357" s="11" t="s">
        <v>385</v>
      </c>
      <c r="AA357" s="11" t="s">
        <v>385</v>
      </c>
      <c r="AB357" s="11" t="s">
        <v>385</v>
      </c>
      <c r="AC357" s="11" t="s">
        <v>385</v>
      </c>
      <c r="AD357" s="11">
        <v>816</v>
      </c>
      <c r="AE357" s="11">
        <v>1049</v>
      </c>
      <c r="AF357" s="4">
        <f t="shared" si="78"/>
        <v>1.2085539215686274</v>
      </c>
      <c r="AG357" s="11">
        <v>20</v>
      </c>
      <c r="AH357" s="5" t="s">
        <v>362</v>
      </c>
      <c r="AI357" s="5" t="s">
        <v>362</v>
      </c>
      <c r="AJ357" s="5" t="s">
        <v>362</v>
      </c>
      <c r="AK357" s="5" t="s">
        <v>362</v>
      </c>
      <c r="AL357" s="5" t="s">
        <v>362</v>
      </c>
      <c r="AM357" s="5" t="s">
        <v>362</v>
      </c>
      <c r="AN357" s="5" t="s">
        <v>362</v>
      </c>
      <c r="AO357" s="5" t="s">
        <v>362</v>
      </c>
      <c r="AP357" s="44">
        <f t="shared" si="86"/>
        <v>1.0133399042593592</v>
      </c>
      <c r="AQ357" s="45">
        <v>1832</v>
      </c>
      <c r="AR357" s="35">
        <f t="shared" si="79"/>
        <v>499.63636363636363</v>
      </c>
      <c r="AS357" s="35">
        <f t="shared" si="80"/>
        <v>506.3</v>
      </c>
      <c r="AT357" s="35">
        <f t="shared" si="81"/>
        <v>6.6636363636363853</v>
      </c>
      <c r="AU357" s="35">
        <v>146.6</v>
      </c>
      <c r="AV357" s="35">
        <v>155.9</v>
      </c>
      <c r="AW357" s="35">
        <f t="shared" si="82"/>
        <v>203.8</v>
      </c>
      <c r="AX357" s="35"/>
      <c r="AY357" s="35">
        <f t="shared" si="83"/>
        <v>203.8</v>
      </c>
      <c r="AZ357" s="35">
        <v>0</v>
      </c>
      <c r="BA357" s="35">
        <f t="shared" si="84"/>
        <v>203.8</v>
      </c>
      <c r="BB357" s="35"/>
      <c r="BC357" s="35">
        <f t="shared" si="85"/>
        <v>203.8</v>
      </c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s="2" customFormat="1" ht="17" customHeight="1">
      <c r="A358" s="14" t="s">
        <v>349</v>
      </c>
      <c r="B358" s="35">
        <v>0</v>
      </c>
      <c r="C358" s="35">
        <v>0</v>
      </c>
      <c r="D358" s="4">
        <f t="shared" si="74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171.1</v>
      </c>
      <c r="O358" s="35">
        <v>115.7</v>
      </c>
      <c r="P358" s="4">
        <f t="shared" si="75"/>
        <v>0.67621274108708362</v>
      </c>
      <c r="Q358" s="11">
        <v>20</v>
      </c>
      <c r="R358" s="35">
        <v>30</v>
      </c>
      <c r="S358" s="35">
        <v>33</v>
      </c>
      <c r="T358" s="4">
        <f t="shared" si="76"/>
        <v>1.1000000000000001</v>
      </c>
      <c r="U358" s="11">
        <v>25</v>
      </c>
      <c r="V358" s="35">
        <v>0</v>
      </c>
      <c r="W358" s="35">
        <v>2.4</v>
      </c>
      <c r="X358" s="4">
        <f t="shared" si="77"/>
        <v>1</v>
      </c>
      <c r="Y358" s="11">
        <v>25</v>
      </c>
      <c r="Z358" s="11" t="s">
        <v>385</v>
      </c>
      <c r="AA358" s="11" t="s">
        <v>385</v>
      </c>
      <c r="AB358" s="11" t="s">
        <v>385</v>
      </c>
      <c r="AC358" s="11" t="s">
        <v>385</v>
      </c>
      <c r="AD358" s="11">
        <v>83</v>
      </c>
      <c r="AE358" s="11">
        <v>89</v>
      </c>
      <c r="AF358" s="4">
        <f t="shared" si="78"/>
        <v>1.072289156626506</v>
      </c>
      <c r="AG358" s="11">
        <v>20</v>
      </c>
      <c r="AH358" s="5" t="s">
        <v>362</v>
      </c>
      <c r="AI358" s="5" t="s">
        <v>362</v>
      </c>
      <c r="AJ358" s="5" t="s">
        <v>362</v>
      </c>
      <c r="AK358" s="5" t="s">
        <v>362</v>
      </c>
      <c r="AL358" s="5" t="s">
        <v>362</v>
      </c>
      <c r="AM358" s="5" t="s">
        <v>362</v>
      </c>
      <c r="AN358" s="5" t="s">
        <v>362</v>
      </c>
      <c r="AO358" s="5" t="s">
        <v>362</v>
      </c>
      <c r="AP358" s="44">
        <f t="shared" si="86"/>
        <v>0.97188931060301997</v>
      </c>
      <c r="AQ358" s="45">
        <v>1461</v>
      </c>
      <c r="AR358" s="35">
        <f t="shared" si="79"/>
        <v>398.45454545454544</v>
      </c>
      <c r="AS358" s="35">
        <f t="shared" si="80"/>
        <v>387.3</v>
      </c>
      <c r="AT358" s="35">
        <f t="shared" si="81"/>
        <v>-11.154545454545428</v>
      </c>
      <c r="AU358" s="35">
        <v>148.5</v>
      </c>
      <c r="AV358" s="35">
        <v>111.1</v>
      </c>
      <c r="AW358" s="35">
        <f t="shared" si="82"/>
        <v>127.7</v>
      </c>
      <c r="AX358" s="35"/>
      <c r="AY358" s="35">
        <f t="shared" si="83"/>
        <v>127.7</v>
      </c>
      <c r="AZ358" s="35">
        <v>0</v>
      </c>
      <c r="BA358" s="35">
        <f t="shared" si="84"/>
        <v>127.7</v>
      </c>
      <c r="BB358" s="35"/>
      <c r="BC358" s="35">
        <f t="shared" si="85"/>
        <v>127.7</v>
      </c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s="2" customFormat="1" ht="17" customHeight="1">
      <c r="A359" s="46" t="s">
        <v>350</v>
      </c>
      <c r="B359" s="35">
        <v>4800</v>
      </c>
      <c r="C359" s="35">
        <v>4745</v>
      </c>
      <c r="D359" s="4">
        <f t="shared" si="74"/>
        <v>0.98854166666666665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1008.3</v>
      </c>
      <c r="O359" s="35">
        <v>536.79999999999995</v>
      </c>
      <c r="P359" s="4">
        <f t="shared" si="75"/>
        <v>0.53238123574333029</v>
      </c>
      <c r="Q359" s="11">
        <v>20</v>
      </c>
      <c r="R359" s="35">
        <v>0</v>
      </c>
      <c r="S359" s="35">
        <v>0</v>
      </c>
      <c r="T359" s="4">
        <f t="shared" si="76"/>
        <v>1</v>
      </c>
      <c r="U359" s="11">
        <v>15</v>
      </c>
      <c r="V359" s="35">
        <v>0</v>
      </c>
      <c r="W359" s="35">
        <v>0</v>
      </c>
      <c r="X359" s="4">
        <f t="shared" si="77"/>
        <v>1</v>
      </c>
      <c r="Y359" s="11">
        <v>35</v>
      </c>
      <c r="Z359" s="11" t="s">
        <v>385</v>
      </c>
      <c r="AA359" s="11" t="s">
        <v>385</v>
      </c>
      <c r="AB359" s="11" t="s">
        <v>385</v>
      </c>
      <c r="AC359" s="11" t="s">
        <v>385</v>
      </c>
      <c r="AD359" s="11">
        <v>14</v>
      </c>
      <c r="AE359" s="11">
        <v>15</v>
      </c>
      <c r="AF359" s="4">
        <f t="shared" si="78"/>
        <v>1.0714285714285714</v>
      </c>
      <c r="AG359" s="11">
        <v>20</v>
      </c>
      <c r="AH359" s="5" t="s">
        <v>362</v>
      </c>
      <c r="AI359" s="5" t="s">
        <v>362</v>
      </c>
      <c r="AJ359" s="5" t="s">
        <v>362</v>
      </c>
      <c r="AK359" s="5" t="s">
        <v>362</v>
      </c>
      <c r="AL359" s="5" t="s">
        <v>362</v>
      </c>
      <c r="AM359" s="5" t="s">
        <v>362</v>
      </c>
      <c r="AN359" s="5" t="s">
        <v>362</v>
      </c>
      <c r="AO359" s="5" t="s">
        <v>362</v>
      </c>
      <c r="AP359" s="44">
        <f t="shared" si="86"/>
        <v>0.91961612810104709</v>
      </c>
      <c r="AQ359" s="45">
        <v>15</v>
      </c>
      <c r="AR359" s="35">
        <f t="shared" si="79"/>
        <v>4.0909090909090908</v>
      </c>
      <c r="AS359" s="35">
        <f t="shared" si="80"/>
        <v>3.8</v>
      </c>
      <c r="AT359" s="35">
        <f t="shared" si="81"/>
        <v>-0.29090909090909101</v>
      </c>
      <c r="AU359" s="35">
        <v>1.4</v>
      </c>
      <c r="AV359" s="35">
        <v>1.2</v>
      </c>
      <c r="AW359" s="35">
        <f t="shared" si="82"/>
        <v>1.2</v>
      </c>
      <c r="AX359" s="35"/>
      <c r="AY359" s="35">
        <f t="shared" si="83"/>
        <v>1.2</v>
      </c>
      <c r="AZ359" s="35">
        <v>0</v>
      </c>
      <c r="BA359" s="35">
        <f t="shared" si="84"/>
        <v>1.2</v>
      </c>
      <c r="BB359" s="35">
        <f>MIN(BA359,0.7)</f>
        <v>0.7</v>
      </c>
      <c r="BC359" s="35">
        <f t="shared" si="85"/>
        <v>0.5</v>
      </c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s="2" customFormat="1" ht="17" customHeight="1">
      <c r="A360" s="14" t="s">
        <v>351</v>
      </c>
      <c r="B360" s="35">
        <v>0</v>
      </c>
      <c r="C360" s="35">
        <v>0</v>
      </c>
      <c r="D360" s="4">
        <f t="shared" si="74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56.1</v>
      </c>
      <c r="O360" s="35">
        <v>45.8</v>
      </c>
      <c r="P360" s="4">
        <f t="shared" si="75"/>
        <v>0.81639928698752218</v>
      </c>
      <c r="Q360" s="11">
        <v>20</v>
      </c>
      <c r="R360" s="35">
        <v>0</v>
      </c>
      <c r="S360" s="35">
        <v>0</v>
      </c>
      <c r="T360" s="4">
        <f t="shared" si="76"/>
        <v>1</v>
      </c>
      <c r="U360" s="11">
        <v>20</v>
      </c>
      <c r="V360" s="35">
        <v>0</v>
      </c>
      <c r="W360" s="35">
        <v>0</v>
      </c>
      <c r="X360" s="4">
        <f t="shared" si="77"/>
        <v>1</v>
      </c>
      <c r="Y360" s="11">
        <v>30</v>
      </c>
      <c r="Z360" s="11" t="s">
        <v>385</v>
      </c>
      <c r="AA360" s="11" t="s">
        <v>385</v>
      </c>
      <c r="AB360" s="11" t="s">
        <v>385</v>
      </c>
      <c r="AC360" s="11" t="s">
        <v>385</v>
      </c>
      <c r="AD360" s="11">
        <v>78</v>
      </c>
      <c r="AE360" s="11">
        <v>78</v>
      </c>
      <c r="AF360" s="4">
        <f t="shared" si="78"/>
        <v>1</v>
      </c>
      <c r="AG360" s="11">
        <v>20</v>
      </c>
      <c r="AH360" s="5" t="s">
        <v>362</v>
      </c>
      <c r="AI360" s="5" t="s">
        <v>362</v>
      </c>
      <c r="AJ360" s="5" t="s">
        <v>362</v>
      </c>
      <c r="AK360" s="5" t="s">
        <v>362</v>
      </c>
      <c r="AL360" s="5" t="s">
        <v>362</v>
      </c>
      <c r="AM360" s="5" t="s">
        <v>362</v>
      </c>
      <c r="AN360" s="5" t="s">
        <v>362</v>
      </c>
      <c r="AO360" s="5" t="s">
        <v>362</v>
      </c>
      <c r="AP360" s="44">
        <f t="shared" si="86"/>
        <v>0.95919984155278271</v>
      </c>
      <c r="AQ360" s="45">
        <v>950</v>
      </c>
      <c r="AR360" s="35">
        <f t="shared" si="79"/>
        <v>259.09090909090907</v>
      </c>
      <c r="AS360" s="35">
        <f t="shared" si="80"/>
        <v>248.5</v>
      </c>
      <c r="AT360" s="35">
        <f t="shared" si="81"/>
        <v>-10.590909090909065</v>
      </c>
      <c r="AU360" s="35">
        <v>76.2</v>
      </c>
      <c r="AV360" s="35">
        <v>76.3</v>
      </c>
      <c r="AW360" s="35">
        <f t="shared" si="82"/>
        <v>96</v>
      </c>
      <c r="AX360" s="35"/>
      <c r="AY360" s="35">
        <f t="shared" si="83"/>
        <v>96</v>
      </c>
      <c r="AZ360" s="35">
        <v>0</v>
      </c>
      <c r="BA360" s="35">
        <f t="shared" si="84"/>
        <v>96</v>
      </c>
      <c r="BB360" s="35">
        <f>MIN(BA360,43.2)</f>
        <v>43.2</v>
      </c>
      <c r="BC360" s="35">
        <f t="shared" si="85"/>
        <v>52.8</v>
      </c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s="2" customFormat="1" ht="17" customHeight="1">
      <c r="A361" s="14" t="s">
        <v>352</v>
      </c>
      <c r="B361" s="35">
        <v>4450</v>
      </c>
      <c r="C361" s="35">
        <v>4091.9</v>
      </c>
      <c r="D361" s="4">
        <f t="shared" si="74"/>
        <v>0.91952808988764045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704.4</v>
      </c>
      <c r="O361" s="35">
        <v>447.1</v>
      </c>
      <c r="P361" s="4">
        <f t="shared" si="75"/>
        <v>0.6347245883021011</v>
      </c>
      <c r="Q361" s="11">
        <v>20</v>
      </c>
      <c r="R361" s="35">
        <v>30</v>
      </c>
      <c r="S361" s="35">
        <v>33</v>
      </c>
      <c r="T361" s="4">
        <f t="shared" si="76"/>
        <v>1.1000000000000001</v>
      </c>
      <c r="U361" s="11">
        <v>20</v>
      </c>
      <c r="V361" s="35">
        <v>80</v>
      </c>
      <c r="W361" s="35">
        <v>82</v>
      </c>
      <c r="X361" s="4">
        <f t="shared" si="77"/>
        <v>1.0249999999999999</v>
      </c>
      <c r="Y361" s="11">
        <v>30</v>
      </c>
      <c r="Z361" s="11" t="s">
        <v>385</v>
      </c>
      <c r="AA361" s="11" t="s">
        <v>385</v>
      </c>
      <c r="AB361" s="11" t="s">
        <v>385</v>
      </c>
      <c r="AC361" s="11" t="s">
        <v>385</v>
      </c>
      <c r="AD361" s="11">
        <v>129</v>
      </c>
      <c r="AE361" s="11">
        <v>127</v>
      </c>
      <c r="AF361" s="4">
        <f t="shared" si="78"/>
        <v>0.98449612403100772</v>
      </c>
      <c r="AG361" s="11">
        <v>20</v>
      </c>
      <c r="AH361" s="5" t="s">
        <v>362</v>
      </c>
      <c r="AI361" s="5" t="s">
        <v>362</v>
      </c>
      <c r="AJ361" s="5" t="s">
        <v>362</v>
      </c>
      <c r="AK361" s="5" t="s">
        <v>362</v>
      </c>
      <c r="AL361" s="5" t="s">
        <v>362</v>
      </c>
      <c r="AM361" s="5" t="s">
        <v>362</v>
      </c>
      <c r="AN361" s="5" t="s">
        <v>362</v>
      </c>
      <c r="AO361" s="5" t="s">
        <v>362</v>
      </c>
      <c r="AP361" s="44">
        <f t="shared" si="86"/>
        <v>0.94329695145538583</v>
      </c>
      <c r="AQ361" s="45">
        <v>1750</v>
      </c>
      <c r="AR361" s="35">
        <f t="shared" si="79"/>
        <v>477.27272727272725</v>
      </c>
      <c r="AS361" s="35">
        <f t="shared" si="80"/>
        <v>450.2</v>
      </c>
      <c r="AT361" s="35">
        <f t="shared" si="81"/>
        <v>-27.072727272727263</v>
      </c>
      <c r="AU361" s="35">
        <v>124.1</v>
      </c>
      <c r="AV361" s="35">
        <v>163.4</v>
      </c>
      <c r="AW361" s="35">
        <f t="shared" si="82"/>
        <v>162.69999999999999</v>
      </c>
      <c r="AX361" s="35"/>
      <c r="AY361" s="35">
        <f t="shared" si="83"/>
        <v>162.69999999999999</v>
      </c>
      <c r="AZ361" s="35">
        <v>0</v>
      </c>
      <c r="BA361" s="35">
        <f t="shared" si="84"/>
        <v>162.69999999999999</v>
      </c>
      <c r="BB361" s="35">
        <f>MIN(BA361,15.7)</f>
        <v>15.7</v>
      </c>
      <c r="BC361" s="35">
        <f t="shared" si="85"/>
        <v>147</v>
      </c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2" customFormat="1" ht="17" customHeight="1">
      <c r="A362" s="14" t="s">
        <v>353</v>
      </c>
      <c r="B362" s="35">
        <v>180</v>
      </c>
      <c r="C362" s="35">
        <v>227.7</v>
      </c>
      <c r="D362" s="4">
        <f t="shared" si="74"/>
        <v>1.2064999999999999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235.1</v>
      </c>
      <c r="O362" s="35">
        <v>122.1</v>
      </c>
      <c r="P362" s="4">
        <f t="shared" si="75"/>
        <v>0.51935346660995318</v>
      </c>
      <c r="Q362" s="11">
        <v>20</v>
      </c>
      <c r="R362" s="35">
        <v>30</v>
      </c>
      <c r="S362" s="35">
        <v>34</v>
      </c>
      <c r="T362" s="4">
        <f t="shared" si="76"/>
        <v>1.1333333333333333</v>
      </c>
      <c r="U362" s="11">
        <v>20</v>
      </c>
      <c r="V362" s="35">
        <v>0</v>
      </c>
      <c r="W362" s="35">
        <v>1.4</v>
      </c>
      <c r="X362" s="4">
        <f t="shared" si="77"/>
        <v>1</v>
      </c>
      <c r="Y362" s="11">
        <v>30</v>
      </c>
      <c r="Z362" s="11" t="s">
        <v>385</v>
      </c>
      <c r="AA362" s="11" t="s">
        <v>385</v>
      </c>
      <c r="AB362" s="11" t="s">
        <v>385</v>
      </c>
      <c r="AC362" s="11" t="s">
        <v>385</v>
      </c>
      <c r="AD362" s="11">
        <v>236</v>
      </c>
      <c r="AE362" s="11">
        <v>257</v>
      </c>
      <c r="AF362" s="4">
        <f t="shared" si="78"/>
        <v>1.0889830508474576</v>
      </c>
      <c r="AG362" s="11">
        <v>20</v>
      </c>
      <c r="AH362" s="5" t="s">
        <v>362</v>
      </c>
      <c r="AI362" s="5" t="s">
        <v>362</v>
      </c>
      <c r="AJ362" s="5" t="s">
        <v>362</v>
      </c>
      <c r="AK362" s="5" t="s">
        <v>362</v>
      </c>
      <c r="AL362" s="5" t="s">
        <v>362</v>
      </c>
      <c r="AM362" s="5" t="s">
        <v>362</v>
      </c>
      <c r="AN362" s="5" t="s">
        <v>362</v>
      </c>
      <c r="AO362" s="5" t="s">
        <v>362</v>
      </c>
      <c r="AP362" s="44">
        <f t="shared" si="86"/>
        <v>0.96898397015814874</v>
      </c>
      <c r="AQ362" s="45">
        <v>2522</v>
      </c>
      <c r="AR362" s="35">
        <f t="shared" si="79"/>
        <v>687.81818181818187</v>
      </c>
      <c r="AS362" s="35">
        <f t="shared" si="80"/>
        <v>666.5</v>
      </c>
      <c r="AT362" s="35">
        <f t="shared" si="81"/>
        <v>-21.31818181818187</v>
      </c>
      <c r="AU362" s="35">
        <v>206.4</v>
      </c>
      <c r="AV362" s="35">
        <v>189</v>
      </c>
      <c r="AW362" s="35">
        <f t="shared" si="82"/>
        <v>271.10000000000002</v>
      </c>
      <c r="AX362" s="35"/>
      <c r="AY362" s="35">
        <f t="shared" si="83"/>
        <v>271.10000000000002</v>
      </c>
      <c r="AZ362" s="35">
        <v>0</v>
      </c>
      <c r="BA362" s="35">
        <f t="shared" si="84"/>
        <v>271.10000000000002</v>
      </c>
      <c r="BB362" s="35"/>
      <c r="BC362" s="35">
        <f t="shared" si="85"/>
        <v>271.10000000000002</v>
      </c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s="2" customFormat="1" ht="17" customHeight="1">
      <c r="A363" s="14" t="s">
        <v>354</v>
      </c>
      <c r="B363" s="35">
        <v>3240</v>
      </c>
      <c r="C363" s="35">
        <v>1651.8</v>
      </c>
      <c r="D363" s="4">
        <f t="shared" si="74"/>
        <v>0.50981481481481483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110.7</v>
      </c>
      <c r="O363" s="35">
        <v>390.8</v>
      </c>
      <c r="P363" s="4">
        <f t="shared" si="75"/>
        <v>1.3</v>
      </c>
      <c r="Q363" s="11">
        <v>20</v>
      </c>
      <c r="R363" s="35">
        <v>0</v>
      </c>
      <c r="S363" s="35">
        <v>2.7</v>
      </c>
      <c r="T363" s="4">
        <f t="shared" si="76"/>
        <v>1</v>
      </c>
      <c r="U363" s="11">
        <v>30</v>
      </c>
      <c r="V363" s="35">
        <v>0</v>
      </c>
      <c r="W363" s="35">
        <v>0.5</v>
      </c>
      <c r="X363" s="4">
        <f t="shared" si="77"/>
        <v>1</v>
      </c>
      <c r="Y363" s="11">
        <v>20</v>
      </c>
      <c r="Z363" s="11" t="s">
        <v>385</v>
      </c>
      <c r="AA363" s="11" t="s">
        <v>385</v>
      </c>
      <c r="AB363" s="11" t="s">
        <v>385</v>
      </c>
      <c r="AC363" s="11" t="s">
        <v>385</v>
      </c>
      <c r="AD363" s="11">
        <v>51</v>
      </c>
      <c r="AE363" s="11">
        <v>52</v>
      </c>
      <c r="AF363" s="4">
        <f t="shared" si="78"/>
        <v>1.0196078431372548</v>
      </c>
      <c r="AG363" s="11">
        <v>20</v>
      </c>
      <c r="AH363" s="5" t="s">
        <v>362</v>
      </c>
      <c r="AI363" s="5" t="s">
        <v>362</v>
      </c>
      <c r="AJ363" s="5" t="s">
        <v>362</v>
      </c>
      <c r="AK363" s="5" t="s">
        <v>362</v>
      </c>
      <c r="AL363" s="5" t="s">
        <v>362</v>
      </c>
      <c r="AM363" s="5" t="s">
        <v>362</v>
      </c>
      <c r="AN363" s="5" t="s">
        <v>362</v>
      </c>
      <c r="AO363" s="5" t="s">
        <v>362</v>
      </c>
      <c r="AP363" s="44">
        <f t="shared" si="86"/>
        <v>1.0149030501089324</v>
      </c>
      <c r="AQ363" s="45">
        <v>1041</v>
      </c>
      <c r="AR363" s="35">
        <f t="shared" si="79"/>
        <v>283.90909090909093</v>
      </c>
      <c r="AS363" s="35">
        <f t="shared" si="80"/>
        <v>288.10000000000002</v>
      </c>
      <c r="AT363" s="35">
        <f t="shared" si="81"/>
        <v>4.1909090909090878</v>
      </c>
      <c r="AU363" s="35">
        <v>89.5</v>
      </c>
      <c r="AV363" s="35">
        <v>96</v>
      </c>
      <c r="AW363" s="35">
        <f t="shared" si="82"/>
        <v>102.6</v>
      </c>
      <c r="AX363" s="35"/>
      <c r="AY363" s="35">
        <f t="shared" si="83"/>
        <v>102.6</v>
      </c>
      <c r="AZ363" s="35">
        <v>0</v>
      </c>
      <c r="BA363" s="35">
        <f t="shared" si="84"/>
        <v>102.6</v>
      </c>
      <c r="BB363" s="35"/>
      <c r="BC363" s="35">
        <f t="shared" si="85"/>
        <v>102.6</v>
      </c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2" customFormat="1" ht="17" customHeight="1">
      <c r="A364" s="14" t="s">
        <v>355</v>
      </c>
      <c r="B364" s="35">
        <v>0</v>
      </c>
      <c r="C364" s="35">
        <v>0</v>
      </c>
      <c r="D364" s="4">
        <f t="shared" si="74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76.400000000000006</v>
      </c>
      <c r="O364" s="35">
        <v>110.2</v>
      </c>
      <c r="P364" s="4">
        <f t="shared" si="75"/>
        <v>1.224240837696335</v>
      </c>
      <c r="Q364" s="11">
        <v>20</v>
      </c>
      <c r="R364" s="35">
        <v>0</v>
      </c>
      <c r="S364" s="35">
        <v>3</v>
      </c>
      <c r="T364" s="4">
        <f t="shared" si="76"/>
        <v>1</v>
      </c>
      <c r="U364" s="11">
        <v>25</v>
      </c>
      <c r="V364" s="35">
        <v>1</v>
      </c>
      <c r="W364" s="35">
        <v>0</v>
      </c>
      <c r="X364" s="4">
        <f t="shared" si="77"/>
        <v>0</v>
      </c>
      <c r="Y364" s="11">
        <v>25</v>
      </c>
      <c r="Z364" s="11" t="s">
        <v>385</v>
      </c>
      <c r="AA364" s="11" t="s">
        <v>385</v>
      </c>
      <c r="AB364" s="11" t="s">
        <v>385</v>
      </c>
      <c r="AC364" s="11" t="s">
        <v>385</v>
      </c>
      <c r="AD364" s="11">
        <v>75</v>
      </c>
      <c r="AE364" s="11">
        <v>70</v>
      </c>
      <c r="AF364" s="4">
        <f t="shared" si="78"/>
        <v>0.93333333333333335</v>
      </c>
      <c r="AG364" s="11">
        <v>20</v>
      </c>
      <c r="AH364" s="5" t="s">
        <v>362</v>
      </c>
      <c r="AI364" s="5" t="s">
        <v>362</v>
      </c>
      <c r="AJ364" s="5" t="s">
        <v>362</v>
      </c>
      <c r="AK364" s="5" t="s">
        <v>362</v>
      </c>
      <c r="AL364" s="5" t="s">
        <v>362</v>
      </c>
      <c r="AM364" s="5" t="s">
        <v>362</v>
      </c>
      <c r="AN364" s="5" t="s">
        <v>362</v>
      </c>
      <c r="AO364" s="5" t="s">
        <v>362</v>
      </c>
      <c r="AP364" s="44">
        <f t="shared" si="86"/>
        <v>0.7572387046732596</v>
      </c>
      <c r="AQ364" s="45">
        <v>1264</v>
      </c>
      <c r="AR364" s="35">
        <f t="shared" si="79"/>
        <v>344.72727272727275</v>
      </c>
      <c r="AS364" s="35">
        <f t="shared" si="80"/>
        <v>261</v>
      </c>
      <c r="AT364" s="35">
        <f t="shared" si="81"/>
        <v>-83.727272727272748</v>
      </c>
      <c r="AU364" s="35">
        <v>107.2</v>
      </c>
      <c r="AV364" s="35">
        <v>124</v>
      </c>
      <c r="AW364" s="35">
        <f t="shared" si="82"/>
        <v>29.8</v>
      </c>
      <c r="AX364" s="35"/>
      <c r="AY364" s="35">
        <f t="shared" si="83"/>
        <v>29.8</v>
      </c>
      <c r="AZ364" s="35">
        <v>0</v>
      </c>
      <c r="BA364" s="35">
        <f t="shared" si="84"/>
        <v>29.8</v>
      </c>
      <c r="BB364" s="35">
        <f>MIN(BA364,57.5)</f>
        <v>29.8</v>
      </c>
      <c r="BC364" s="35">
        <f t="shared" si="85"/>
        <v>0</v>
      </c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s="2" customFormat="1" ht="17" customHeight="1">
      <c r="A365" s="14" t="s">
        <v>356</v>
      </c>
      <c r="B365" s="35">
        <v>0</v>
      </c>
      <c r="C365" s="35">
        <v>0</v>
      </c>
      <c r="D365" s="4">
        <f t="shared" si="74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80.5</v>
      </c>
      <c r="O365" s="35">
        <v>116</v>
      </c>
      <c r="P365" s="4">
        <f t="shared" si="75"/>
        <v>1.2240993788819876</v>
      </c>
      <c r="Q365" s="11">
        <v>20</v>
      </c>
      <c r="R365" s="35">
        <v>0</v>
      </c>
      <c r="S365" s="35">
        <v>0</v>
      </c>
      <c r="T365" s="4">
        <f t="shared" si="76"/>
        <v>1</v>
      </c>
      <c r="U365" s="11">
        <v>20</v>
      </c>
      <c r="V365" s="35">
        <v>1</v>
      </c>
      <c r="W365" s="35">
        <v>7.8</v>
      </c>
      <c r="X365" s="4">
        <f t="shared" si="77"/>
        <v>1.3</v>
      </c>
      <c r="Y365" s="11">
        <v>30</v>
      </c>
      <c r="Z365" s="11" t="s">
        <v>385</v>
      </c>
      <c r="AA365" s="11" t="s">
        <v>385</v>
      </c>
      <c r="AB365" s="11" t="s">
        <v>385</v>
      </c>
      <c r="AC365" s="11" t="s">
        <v>385</v>
      </c>
      <c r="AD365" s="11">
        <v>74</v>
      </c>
      <c r="AE365" s="11">
        <v>75</v>
      </c>
      <c r="AF365" s="4">
        <f t="shared" si="78"/>
        <v>1.0135135135135136</v>
      </c>
      <c r="AG365" s="11">
        <v>20</v>
      </c>
      <c r="AH365" s="5" t="s">
        <v>362</v>
      </c>
      <c r="AI365" s="5" t="s">
        <v>362</v>
      </c>
      <c r="AJ365" s="5" t="s">
        <v>362</v>
      </c>
      <c r="AK365" s="5" t="s">
        <v>362</v>
      </c>
      <c r="AL365" s="5" t="s">
        <v>362</v>
      </c>
      <c r="AM365" s="5" t="s">
        <v>362</v>
      </c>
      <c r="AN365" s="5" t="s">
        <v>362</v>
      </c>
      <c r="AO365" s="5" t="s">
        <v>362</v>
      </c>
      <c r="AP365" s="44">
        <f t="shared" si="86"/>
        <v>1.1528028649767781</v>
      </c>
      <c r="AQ365" s="45">
        <v>1901</v>
      </c>
      <c r="AR365" s="35">
        <f t="shared" si="79"/>
        <v>518.4545454545455</v>
      </c>
      <c r="AS365" s="35">
        <f t="shared" si="80"/>
        <v>597.70000000000005</v>
      </c>
      <c r="AT365" s="35">
        <f t="shared" si="81"/>
        <v>79.24545454545455</v>
      </c>
      <c r="AU365" s="35">
        <v>187.6</v>
      </c>
      <c r="AV365" s="35">
        <v>171.8</v>
      </c>
      <c r="AW365" s="35">
        <f t="shared" si="82"/>
        <v>238.3</v>
      </c>
      <c r="AX365" s="35"/>
      <c r="AY365" s="35">
        <f t="shared" si="83"/>
        <v>238.3</v>
      </c>
      <c r="AZ365" s="35">
        <v>0</v>
      </c>
      <c r="BA365" s="35">
        <f t="shared" si="84"/>
        <v>238.3</v>
      </c>
      <c r="BB365" s="35">
        <f>MIN(BA365,86.4)</f>
        <v>86.4</v>
      </c>
      <c r="BC365" s="35">
        <f t="shared" si="85"/>
        <v>151.9</v>
      </c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s="2" customFormat="1" ht="17" customHeight="1">
      <c r="A366" s="14" t="s">
        <v>357</v>
      </c>
      <c r="B366" s="35">
        <v>0</v>
      </c>
      <c r="C366" s="35">
        <v>0</v>
      </c>
      <c r="D366" s="4">
        <f t="shared" si="74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55.4</v>
      </c>
      <c r="O366" s="35">
        <v>113</v>
      </c>
      <c r="P366" s="4">
        <f t="shared" si="75"/>
        <v>1.2839711191335739</v>
      </c>
      <c r="Q366" s="11">
        <v>20</v>
      </c>
      <c r="R366" s="35">
        <v>24</v>
      </c>
      <c r="S366" s="35">
        <v>28.2</v>
      </c>
      <c r="T366" s="4">
        <f t="shared" si="76"/>
        <v>1.175</v>
      </c>
      <c r="U366" s="11">
        <v>20</v>
      </c>
      <c r="V366" s="35">
        <v>0</v>
      </c>
      <c r="W366" s="35">
        <v>0.7</v>
      </c>
      <c r="X366" s="4">
        <f t="shared" si="77"/>
        <v>1</v>
      </c>
      <c r="Y366" s="11">
        <v>30</v>
      </c>
      <c r="Z366" s="11" t="s">
        <v>385</v>
      </c>
      <c r="AA366" s="11" t="s">
        <v>385</v>
      </c>
      <c r="AB366" s="11" t="s">
        <v>385</v>
      </c>
      <c r="AC366" s="11" t="s">
        <v>385</v>
      </c>
      <c r="AD366" s="11">
        <v>288</v>
      </c>
      <c r="AE366" s="11">
        <v>291</v>
      </c>
      <c r="AF366" s="4">
        <f t="shared" si="78"/>
        <v>1.0104166666666667</v>
      </c>
      <c r="AG366" s="11">
        <v>20</v>
      </c>
      <c r="AH366" s="5" t="s">
        <v>362</v>
      </c>
      <c r="AI366" s="5" t="s">
        <v>362</v>
      </c>
      <c r="AJ366" s="5" t="s">
        <v>362</v>
      </c>
      <c r="AK366" s="5" t="s">
        <v>362</v>
      </c>
      <c r="AL366" s="5" t="s">
        <v>362</v>
      </c>
      <c r="AM366" s="5" t="s">
        <v>362</v>
      </c>
      <c r="AN366" s="5" t="s">
        <v>362</v>
      </c>
      <c r="AO366" s="5" t="s">
        <v>362</v>
      </c>
      <c r="AP366" s="44">
        <f t="shared" si="86"/>
        <v>1.104308396844498</v>
      </c>
      <c r="AQ366" s="45">
        <v>1628</v>
      </c>
      <c r="AR366" s="35">
        <f t="shared" si="79"/>
        <v>444</v>
      </c>
      <c r="AS366" s="35">
        <f t="shared" si="80"/>
        <v>490.3</v>
      </c>
      <c r="AT366" s="35">
        <f t="shared" si="81"/>
        <v>46.300000000000011</v>
      </c>
      <c r="AU366" s="35">
        <v>141.19999999999999</v>
      </c>
      <c r="AV366" s="35">
        <v>166.5</v>
      </c>
      <c r="AW366" s="35">
        <f t="shared" si="82"/>
        <v>182.6</v>
      </c>
      <c r="AX366" s="35"/>
      <c r="AY366" s="35">
        <f t="shared" si="83"/>
        <v>182.6</v>
      </c>
      <c r="AZ366" s="35">
        <v>0</v>
      </c>
      <c r="BA366" s="35">
        <f t="shared" si="84"/>
        <v>182.6</v>
      </c>
      <c r="BB366" s="35"/>
      <c r="BC366" s="35">
        <f t="shared" si="85"/>
        <v>182.6</v>
      </c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s="2" customFormat="1" ht="17" customHeight="1">
      <c r="A367" s="14" t="s">
        <v>358</v>
      </c>
      <c r="B367" s="35">
        <v>5700</v>
      </c>
      <c r="C367" s="35">
        <v>6598</v>
      </c>
      <c r="D367" s="4">
        <f t="shared" ref="D367:D368" si="87">IF(E367=0,0,IF(B367=0,1,IF(C367&lt;0,0,IF(C367/B367&gt;1.2,IF((C367/B367-1.2)*0.1+1.2&gt;1.3,1.3,(C367/B367-1.2)*0.1+1.2),C367/B367))))</f>
        <v>1.1575438596491228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179.5</v>
      </c>
      <c r="O367" s="35">
        <v>220.4</v>
      </c>
      <c r="P367" s="4">
        <f t="shared" ref="P367:P368" si="88">IF(Q367=0,0,IF(N367=0,1,IF(O367&lt;0,0,IF(O367/N367&gt;1.2,IF((O367/N367-1.2)*0.1+1.2&gt;1.3,1.3,(O367/N367-1.2)*0.1+1.2),O367/N367))))</f>
        <v>1.2027855153203342</v>
      </c>
      <c r="Q367" s="11">
        <v>20</v>
      </c>
      <c r="R367" s="35">
        <v>2</v>
      </c>
      <c r="S367" s="35">
        <v>3.7</v>
      </c>
      <c r="T367" s="4">
        <f t="shared" ref="T367:T368" si="89">IF(U367=0,0,IF(R367=0,1,IF(S367&lt;0,0,IF(S367/R367&gt;1.2,IF((S367/R367-1.2)*0.1+1.2&gt;1.3,1.3,(S367/R367-1.2)*0.1+1.2),S367/R367))))</f>
        <v>1.2649999999999999</v>
      </c>
      <c r="U367" s="11">
        <v>20</v>
      </c>
      <c r="V367" s="35">
        <v>0</v>
      </c>
      <c r="W367" s="35">
        <v>0</v>
      </c>
      <c r="X367" s="4">
        <f t="shared" ref="X367:X368" si="90">IF(Y367=0,0,IF(V367=0,1,IF(W367&lt;0,0,IF(W367/V367&gt;1.2,IF((W367/V367-1.2)*0.1+1.2&gt;1.3,1.3,(W367/V367-1.2)*0.1+1.2),W367/V367))))</f>
        <v>1</v>
      </c>
      <c r="Y367" s="11">
        <v>30</v>
      </c>
      <c r="Z367" s="11" t="s">
        <v>385</v>
      </c>
      <c r="AA367" s="11" t="s">
        <v>385</v>
      </c>
      <c r="AB367" s="11" t="s">
        <v>385</v>
      </c>
      <c r="AC367" s="11" t="s">
        <v>385</v>
      </c>
      <c r="AD367" s="11">
        <v>70</v>
      </c>
      <c r="AE367" s="11">
        <v>66</v>
      </c>
      <c r="AF367" s="4">
        <f t="shared" ref="AF367:AF368" si="91">IF(AG367=0,0,IF(AD367=0,1,IF(AE367&lt;0,0,IF(AE367/AD367&gt;1.2,IF((AE367/AD367-1.2)*0.1+1.2&gt;1.3,1.3,(AE367/AD367-1.2)*0.1+1.2),AE367/AD367))))</f>
        <v>0.94285714285714284</v>
      </c>
      <c r="AG367" s="11">
        <v>20</v>
      </c>
      <c r="AH367" s="5" t="s">
        <v>362</v>
      </c>
      <c r="AI367" s="5" t="s">
        <v>362</v>
      </c>
      <c r="AJ367" s="5" t="s">
        <v>362</v>
      </c>
      <c r="AK367" s="5" t="s">
        <v>362</v>
      </c>
      <c r="AL367" s="5" t="s">
        <v>362</v>
      </c>
      <c r="AM367" s="5" t="s">
        <v>362</v>
      </c>
      <c r="AN367" s="5" t="s">
        <v>362</v>
      </c>
      <c r="AO367" s="5" t="s">
        <v>362</v>
      </c>
      <c r="AP367" s="44">
        <f t="shared" si="86"/>
        <v>1.0978829176004077</v>
      </c>
      <c r="AQ367" s="45">
        <v>1248</v>
      </c>
      <c r="AR367" s="35">
        <f t="shared" ref="AR367" si="92">AQ367/11*3</f>
        <v>340.36363636363637</v>
      </c>
      <c r="AS367" s="35">
        <f t="shared" ref="AS367:AS368" si="93">ROUND(AP367*AR367,1)</f>
        <v>373.7</v>
      </c>
      <c r="AT367" s="35">
        <f t="shared" ref="AT367:AT368" si="94">AS367-AR367</f>
        <v>33.336363636363615</v>
      </c>
      <c r="AU367" s="35">
        <v>117</v>
      </c>
      <c r="AV367" s="35">
        <v>128.19999999999999</v>
      </c>
      <c r="AW367" s="35">
        <f t="shared" ref="AW367:AW368" si="95">ROUND(AS367-SUM(AU367:AV367),1)</f>
        <v>128.5</v>
      </c>
      <c r="AX367" s="35"/>
      <c r="AY367" s="35">
        <f t="shared" ref="AY367:AY368" si="96">IF(OR(AW367&lt;0,AX367="+"),0,AW367)</f>
        <v>128.5</v>
      </c>
      <c r="AZ367" s="35">
        <v>0</v>
      </c>
      <c r="BA367" s="35">
        <f t="shared" ref="BA367:BA368" si="97">AY367+AZ367</f>
        <v>128.5</v>
      </c>
      <c r="BB367" s="35">
        <f>MIN(BA367,56.7)</f>
        <v>56.7</v>
      </c>
      <c r="BC367" s="35">
        <f t="shared" ref="BC367:BC368" si="98">IF((BA367-BB367)&gt;0,ROUND(BA367-BB367,1),0)</f>
        <v>71.8</v>
      </c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s="2" customFormat="1" ht="17" customHeight="1">
      <c r="A368" s="14" t="s">
        <v>359</v>
      </c>
      <c r="B368" s="35">
        <v>35900</v>
      </c>
      <c r="C368" s="35">
        <v>35669.300000000003</v>
      </c>
      <c r="D368" s="4">
        <f t="shared" si="87"/>
        <v>0.99357381615598894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2302.8000000000002</v>
      </c>
      <c r="O368" s="35">
        <v>1971.6</v>
      </c>
      <c r="P368" s="4">
        <f t="shared" si="88"/>
        <v>0.8561750911933298</v>
      </c>
      <c r="Q368" s="11">
        <v>20</v>
      </c>
      <c r="R368" s="35">
        <v>1</v>
      </c>
      <c r="S368" s="35">
        <v>0</v>
      </c>
      <c r="T368" s="4">
        <f t="shared" si="89"/>
        <v>0</v>
      </c>
      <c r="U368" s="11">
        <v>20</v>
      </c>
      <c r="V368" s="35">
        <v>0</v>
      </c>
      <c r="W368" s="35">
        <v>0.4</v>
      </c>
      <c r="X368" s="4">
        <f t="shared" si="90"/>
        <v>1</v>
      </c>
      <c r="Y368" s="11">
        <v>30</v>
      </c>
      <c r="Z368" s="11" t="s">
        <v>385</v>
      </c>
      <c r="AA368" s="11" t="s">
        <v>385</v>
      </c>
      <c r="AB368" s="11" t="s">
        <v>385</v>
      </c>
      <c r="AC368" s="11" t="s">
        <v>385</v>
      </c>
      <c r="AD368" s="11">
        <v>56</v>
      </c>
      <c r="AE368" s="11">
        <v>56</v>
      </c>
      <c r="AF368" s="4">
        <f t="shared" si="91"/>
        <v>1</v>
      </c>
      <c r="AG368" s="11">
        <v>20</v>
      </c>
      <c r="AH368" s="5" t="s">
        <v>362</v>
      </c>
      <c r="AI368" s="5" t="s">
        <v>362</v>
      </c>
      <c r="AJ368" s="5" t="s">
        <v>362</v>
      </c>
      <c r="AK368" s="5" t="s">
        <v>362</v>
      </c>
      <c r="AL368" s="5" t="s">
        <v>362</v>
      </c>
      <c r="AM368" s="5" t="s">
        <v>362</v>
      </c>
      <c r="AN368" s="5" t="s">
        <v>362</v>
      </c>
      <c r="AO368" s="5" t="s">
        <v>362</v>
      </c>
      <c r="AP368" s="44">
        <f>(D368*E368+P368*Q368+T368*U368+X368*Y368+AF368*AG368)/(E368+Q368+U368+Y368+AG368)</f>
        <v>0.77059239985426486</v>
      </c>
      <c r="AQ368" s="45">
        <v>1295</v>
      </c>
      <c r="AR368" s="35">
        <f>AQ368/11*3</f>
        <v>353.18181818181819</v>
      </c>
      <c r="AS368" s="35">
        <f t="shared" si="93"/>
        <v>272.2</v>
      </c>
      <c r="AT368" s="35">
        <f t="shared" si="94"/>
        <v>-80.981818181818198</v>
      </c>
      <c r="AU368" s="35">
        <v>105.9</v>
      </c>
      <c r="AV368" s="35">
        <v>119.6</v>
      </c>
      <c r="AW368" s="35">
        <f t="shared" si="95"/>
        <v>46.7</v>
      </c>
      <c r="AX368" s="35"/>
      <c r="AY368" s="35">
        <f t="shared" si="96"/>
        <v>46.7</v>
      </c>
      <c r="AZ368" s="35">
        <v>0</v>
      </c>
      <c r="BA368" s="35">
        <f t="shared" si="97"/>
        <v>46.7</v>
      </c>
      <c r="BB368" s="35">
        <f>MIN(BA368,58.9)</f>
        <v>46.7</v>
      </c>
      <c r="BC368" s="35">
        <f t="shared" si="98"/>
        <v>0</v>
      </c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s="41" customFormat="1" ht="17" customHeight="1">
      <c r="A369" s="40" t="s">
        <v>369</v>
      </c>
      <c r="B369" s="42">
        <f>B6+B17</f>
        <v>230121434</v>
      </c>
      <c r="C369" s="42">
        <f>C6+C17</f>
        <v>218243223.49999997</v>
      </c>
      <c r="D369" s="43">
        <f>IF(C369/B369&gt;1.2,IF((C369/B369-1.2)*0.1+1.2&gt;1.3,1.3,(C369/B369-1.2)*0.1+1.2),C369/B369)</f>
        <v>0.94838285902563935</v>
      </c>
      <c r="E369" s="40"/>
      <c r="F369" s="40"/>
      <c r="G369" s="40"/>
      <c r="H369" s="40"/>
      <c r="I369" s="40"/>
      <c r="J369" s="42">
        <f>J6+J17</f>
        <v>22915</v>
      </c>
      <c r="K369" s="42">
        <f>K6+K17</f>
        <v>26224</v>
      </c>
      <c r="L369" s="43">
        <f>IF(J369/K369&gt;1.2,IF((J369/K369-1.2)*0.1+1.2&gt;1.3,1.3,(J369/K369-1.2)*0.1+1.2),J369/K369)</f>
        <v>0.87381787675411837</v>
      </c>
      <c r="M369" s="40"/>
      <c r="N369" s="42">
        <f>N6+N17</f>
        <v>6141987.6000000015</v>
      </c>
      <c r="O369" s="42">
        <f>O6+O17</f>
        <v>5956980.1000000006</v>
      </c>
      <c r="P369" s="43">
        <f>IF(O369/N369&gt;1.2,IF((O369/N369-1.2)*0.1+1.2&gt;1.3,1.3,(O369/N369-1.2)*0.1+1.2),O369/N369)</f>
        <v>0.96987823615925228</v>
      </c>
      <c r="Q369" s="40"/>
      <c r="R369" s="42">
        <f>R17</f>
        <v>35712.400000000001</v>
      </c>
      <c r="S369" s="42">
        <f>S17</f>
        <v>38588.400000000001</v>
      </c>
      <c r="T369" s="43">
        <f>IF(S369/R369&gt;1.2,IF((S369/R369-1.2)*0.1+1.2&gt;1.3,1.3,(S369/R369-1.2)*0.1+1.2),S369/R369)</f>
        <v>1.080532252102911</v>
      </c>
      <c r="U369" s="40"/>
      <c r="V369" s="42">
        <f t="shared" ref="V369:W369" si="99">V17</f>
        <v>15720.699999999999</v>
      </c>
      <c r="W369" s="42">
        <f t="shared" si="99"/>
        <v>19938.099999999999</v>
      </c>
      <c r="X369" s="43">
        <f>IF(W369/V369&gt;1.2,IF((W369/V369-1.2)*0.1+1.2&gt;1.3,1.3,(W369/V369-1.2)*0.1+1.2),W369/V369)</f>
        <v>1.2068270496860827</v>
      </c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63">
        <f>SUM(AQ7:AQ368)-AQ17-AQ45</f>
        <v>3552990</v>
      </c>
      <c r="AR369" s="42">
        <f>SUM(AR7:AR368)-AR17-AR45</f>
        <v>968997.27272727131</v>
      </c>
      <c r="AS369" s="42">
        <f>SUM(AS7:AS368)-AS17-AS45</f>
        <v>948240.60000000184</v>
      </c>
      <c r="AT369" s="42">
        <f>SUM(AT7:AT368)-AT17-AT45</f>
        <v>-20756.672727272715</v>
      </c>
      <c r="AU369" s="42">
        <f t="shared" ref="AU369:AW369" si="100">SUM(AU7:AU368)-AU17-AU45</f>
        <v>319467.5</v>
      </c>
      <c r="AV369" s="42">
        <f t="shared" si="100"/>
        <v>313621.59999999992</v>
      </c>
      <c r="AW369" s="42">
        <f t="shared" si="100"/>
        <v>315151.5</v>
      </c>
      <c r="AX369" s="69">
        <f>COUNTIF(AX6:AX368,"+")</f>
        <v>0</v>
      </c>
      <c r="AY369" s="42">
        <f>SUM(AY7:AY368)-AY17-AY45</f>
        <v>315151.5</v>
      </c>
      <c r="AZ369" s="42">
        <f>SUM(AZ7:AZ368)-AZ17-AZ45</f>
        <v>2360.5999999999995</v>
      </c>
      <c r="BA369" s="42">
        <f>SUM(BA7:BA368)-BA17-BA45</f>
        <v>317512.09999999992</v>
      </c>
      <c r="BB369" s="42">
        <f>SUM(BB7:BB368)-BB17-BB45</f>
        <v>51396.600000000006</v>
      </c>
      <c r="BC369" s="42">
        <f t="shared" ref="BC369" si="101">SUM(BC7:BC368)-BC17-BC45</f>
        <v>266115.5</v>
      </c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</sheetData>
  <mergeCells count="25">
    <mergeCell ref="A1:AK1"/>
    <mergeCell ref="A3:A4"/>
    <mergeCell ref="N3:Q3"/>
    <mergeCell ref="R3:U3"/>
    <mergeCell ref="V3:Y3"/>
    <mergeCell ref="AD3:AG3"/>
    <mergeCell ref="AH3:AK3"/>
    <mergeCell ref="F3:I3"/>
    <mergeCell ref="B3:E3"/>
    <mergeCell ref="J3:M3"/>
    <mergeCell ref="BC3:BC4"/>
    <mergeCell ref="AQ3:AQ4"/>
    <mergeCell ref="AT3:AT4"/>
    <mergeCell ref="AS3:AS4"/>
    <mergeCell ref="Z3:AC3"/>
    <mergeCell ref="AU3:AV3"/>
    <mergeCell ref="AW3:AW4"/>
    <mergeCell ref="AX3:AX4"/>
    <mergeCell ref="AZ3:AZ4"/>
    <mergeCell ref="BA3:BA4"/>
    <mergeCell ref="BB3:BB4"/>
    <mergeCell ref="AY3:AY4"/>
    <mergeCell ref="AL3:AO3"/>
    <mergeCell ref="AP3:AP4"/>
    <mergeCell ref="AR3:AR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7" fitToHeight="0" pageOrder="overThenDown" orientation="landscape" r:id="rId1"/>
  <headerFooter alignWithMargins="0"/>
  <colBreaks count="1" manualBreakCount="1">
    <brk id="37" max="3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13" style="23" bestFit="1" customWidth="1"/>
    <col min="22" max="22" width="13.5546875" style="23" bestFit="1" customWidth="1"/>
    <col min="23" max="23" width="16.21875" style="23" bestFit="1" customWidth="1"/>
    <col min="24" max="32" width="14.44140625" style="23" customWidth="1"/>
    <col min="33" max="33" width="8.33203125" style="23" customWidth="1"/>
    <col min="34" max="34" width="63.6640625" style="23" customWidth="1"/>
    <col min="35" max="16384" width="9.109375" style="23"/>
  </cols>
  <sheetData>
    <row r="1" spans="1:33" ht="15.55">
      <c r="A1" s="85" t="s">
        <v>428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5.55" customHeight="1">
      <c r="AG2" s="47" t="s">
        <v>383</v>
      </c>
    </row>
    <row r="3" spans="1:33" ht="191.95" customHeight="1">
      <c r="A3" s="86" t="s">
        <v>15</v>
      </c>
      <c r="B3" s="87" t="s">
        <v>363</v>
      </c>
      <c r="C3" s="89" t="s">
        <v>370</v>
      </c>
      <c r="D3" s="89"/>
      <c r="E3" s="89"/>
      <c r="F3" s="89" t="s">
        <v>17</v>
      </c>
      <c r="G3" s="89"/>
      <c r="H3" s="89"/>
      <c r="I3" s="89" t="s">
        <v>386</v>
      </c>
      <c r="J3" s="89"/>
      <c r="K3" s="89"/>
      <c r="L3" s="89" t="s">
        <v>384</v>
      </c>
      <c r="M3" s="89"/>
      <c r="N3" s="89"/>
      <c r="O3" s="89" t="s">
        <v>18</v>
      </c>
      <c r="P3" s="89"/>
      <c r="Q3" s="89"/>
      <c r="R3" s="89" t="s">
        <v>19</v>
      </c>
      <c r="S3" s="89"/>
      <c r="T3" s="89"/>
      <c r="U3" s="90" t="s">
        <v>417</v>
      </c>
      <c r="V3" s="90"/>
      <c r="W3" s="90"/>
      <c r="X3" s="90" t="s">
        <v>395</v>
      </c>
      <c r="Y3" s="90"/>
      <c r="Z3" s="90"/>
      <c r="AA3" s="90" t="s">
        <v>396</v>
      </c>
      <c r="AB3" s="90"/>
      <c r="AC3" s="90"/>
      <c r="AD3" s="90" t="s">
        <v>397</v>
      </c>
      <c r="AE3" s="90"/>
      <c r="AF3" s="90"/>
      <c r="AG3" s="88" t="s">
        <v>366</v>
      </c>
    </row>
    <row r="4" spans="1:33" ht="32" customHeight="1">
      <c r="A4" s="86"/>
      <c r="B4" s="87"/>
      <c r="C4" s="24" t="s">
        <v>364</v>
      </c>
      <c r="D4" s="24" t="s">
        <v>365</v>
      </c>
      <c r="E4" s="70" t="s">
        <v>418</v>
      </c>
      <c r="F4" s="24" t="s">
        <v>364</v>
      </c>
      <c r="G4" s="24" t="s">
        <v>365</v>
      </c>
      <c r="H4" s="70" t="s">
        <v>419</v>
      </c>
      <c r="I4" s="24" t="s">
        <v>364</v>
      </c>
      <c r="J4" s="24" t="s">
        <v>365</v>
      </c>
      <c r="K4" s="70" t="s">
        <v>420</v>
      </c>
      <c r="L4" s="24" t="s">
        <v>364</v>
      </c>
      <c r="M4" s="24" t="s">
        <v>365</v>
      </c>
      <c r="N4" s="70" t="s">
        <v>421</v>
      </c>
      <c r="O4" s="24" t="s">
        <v>364</v>
      </c>
      <c r="P4" s="24" t="s">
        <v>365</v>
      </c>
      <c r="Q4" s="70" t="s">
        <v>422</v>
      </c>
      <c r="R4" s="24" t="s">
        <v>364</v>
      </c>
      <c r="S4" s="24" t="s">
        <v>365</v>
      </c>
      <c r="T4" s="70" t="s">
        <v>423</v>
      </c>
      <c r="U4" s="24" t="s">
        <v>364</v>
      </c>
      <c r="V4" s="24" t="s">
        <v>365</v>
      </c>
      <c r="W4" s="72" t="s">
        <v>424</v>
      </c>
      <c r="X4" s="24" t="s">
        <v>364</v>
      </c>
      <c r="Y4" s="24" t="s">
        <v>365</v>
      </c>
      <c r="Z4" s="72" t="s">
        <v>425</v>
      </c>
      <c r="AA4" s="24" t="s">
        <v>364</v>
      </c>
      <c r="AB4" s="24" t="s">
        <v>365</v>
      </c>
      <c r="AC4" s="72" t="s">
        <v>426</v>
      </c>
      <c r="AD4" s="24" t="s">
        <v>364</v>
      </c>
      <c r="AE4" s="24" t="s">
        <v>365</v>
      </c>
      <c r="AF4" s="72" t="s">
        <v>427</v>
      </c>
      <c r="AG4" s="88"/>
    </row>
    <row r="5" spans="1:33">
      <c r="A5" s="25">
        <v>1</v>
      </c>
      <c r="B5" s="48">
        <v>2</v>
      </c>
      <c r="C5" s="25">
        <v>3</v>
      </c>
      <c r="D5" s="48">
        <v>4</v>
      </c>
      <c r="E5" s="25">
        <v>5</v>
      </c>
      <c r="F5" s="48">
        <v>6</v>
      </c>
      <c r="G5" s="25">
        <v>7</v>
      </c>
      <c r="H5" s="48">
        <v>8</v>
      </c>
      <c r="I5" s="25">
        <v>9</v>
      </c>
      <c r="J5" s="48">
        <v>10</v>
      </c>
      <c r="K5" s="25">
        <v>11</v>
      </c>
      <c r="L5" s="48">
        <v>12</v>
      </c>
      <c r="M5" s="25">
        <v>13</v>
      </c>
      <c r="N5" s="48">
        <v>14</v>
      </c>
      <c r="O5" s="25">
        <v>15</v>
      </c>
      <c r="P5" s="48">
        <v>16</v>
      </c>
      <c r="Q5" s="25">
        <v>17</v>
      </c>
      <c r="R5" s="48">
        <v>18</v>
      </c>
      <c r="S5" s="25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  <c r="Z5" s="48">
        <v>26</v>
      </c>
      <c r="AA5" s="48">
        <v>27</v>
      </c>
      <c r="AB5" s="48">
        <v>28</v>
      </c>
      <c r="AC5" s="48">
        <v>29</v>
      </c>
      <c r="AD5" s="48">
        <v>30</v>
      </c>
      <c r="AE5" s="48">
        <v>31</v>
      </c>
      <c r="AF5" s="48">
        <v>32</v>
      </c>
      <c r="AG5" s="25">
        <v>33</v>
      </c>
    </row>
    <row r="6" spans="1:33" ht="15" customHeight="1">
      <c r="A6" s="26" t="s">
        <v>4</v>
      </c>
      <c r="B6" s="51">
        <f>'Расчет субсидий'!AT6</f>
        <v>-30295.090909090901</v>
      </c>
      <c r="C6" s="51"/>
      <c r="D6" s="51"/>
      <c r="E6" s="51">
        <f>SUM(E7:E16)</f>
        <v>-13353.806640457817</v>
      </c>
      <c r="F6" s="51"/>
      <c r="G6" s="51"/>
      <c r="H6" s="51">
        <f>SUM(H7:H16)</f>
        <v>0</v>
      </c>
      <c r="I6" s="51"/>
      <c r="J6" s="51"/>
      <c r="K6" s="51">
        <f>SUM(K7:K16)</f>
        <v>-16273.608591966657</v>
      </c>
      <c r="L6" s="51"/>
      <c r="M6" s="51"/>
      <c r="N6" s="51">
        <f>SUM(N7:N16)</f>
        <v>-667.6756766664289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5" customHeight="1">
      <c r="A7" s="28" t="s">
        <v>5</v>
      </c>
      <c r="B7" s="52">
        <f>'Расчет субсидий'!AT7</f>
        <v>-9219.0454545454413</v>
      </c>
      <c r="C7" s="54">
        <f>'Расчет субсидий'!D7-1</f>
        <v>-4.9751381653171056E-2</v>
      </c>
      <c r="D7" s="54">
        <f>C7*'Расчет субсидий'!E7</f>
        <v>-0.74627072479756584</v>
      </c>
      <c r="E7" s="55">
        <f t="shared" ref="E7:E16" si="0">$B7*D7/$AG7</f>
        <v>-2552.6612064615101</v>
      </c>
      <c r="F7" s="60" t="s">
        <v>385</v>
      </c>
      <c r="G7" s="60" t="s">
        <v>385</v>
      </c>
      <c r="H7" s="61" t="s">
        <v>385</v>
      </c>
      <c r="I7" s="54">
        <f>'Расчет субсидий'!L7-1</f>
        <v>-0.12610411576771285</v>
      </c>
      <c r="J7" s="54">
        <f>I7*'Расчет субсидий'!M7</f>
        <v>-0.63052057883856427</v>
      </c>
      <c r="K7" s="55">
        <f t="shared" ref="K7:K16" si="1">$B7*J7/$AG7</f>
        <v>-2156.7312879832657</v>
      </c>
      <c r="L7" s="54">
        <f>'Расчет субсидий'!P7-1</f>
        <v>-6.5919871673549402E-2</v>
      </c>
      <c r="M7" s="54">
        <f>L7*'Расчет субсидий'!Q7</f>
        <v>-1.318397433470988</v>
      </c>
      <c r="N7" s="55">
        <f t="shared" ref="N7:N16" si="2">$B7*M7/$AG7</f>
        <v>-4509.6529601006641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60" t="s">
        <v>385</v>
      </c>
      <c r="V7" s="60" t="s">
        <v>385</v>
      </c>
      <c r="W7" s="61" t="s">
        <v>385</v>
      </c>
      <c r="X7" s="27" t="s">
        <v>367</v>
      </c>
      <c r="Y7" s="27" t="s">
        <v>367</v>
      </c>
      <c r="Z7" s="27" t="s">
        <v>367</v>
      </c>
      <c r="AA7" s="27" t="s">
        <v>367</v>
      </c>
      <c r="AB7" s="27" t="s">
        <v>367</v>
      </c>
      <c r="AC7" s="27" t="s">
        <v>367</v>
      </c>
      <c r="AD7" s="27" t="s">
        <v>367</v>
      </c>
      <c r="AE7" s="27" t="s">
        <v>367</v>
      </c>
      <c r="AF7" s="27" t="s">
        <v>367</v>
      </c>
      <c r="AG7" s="54">
        <f>D7+J7+M7</f>
        <v>-2.6951887371071184</v>
      </c>
    </row>
    <row r="8" spans="1:33" ht="15" customHeight="1">
      <c r="A8" s="28" t="s">
        <v>6</v>
      </c>
      <c r="B8" s="52">
        <f>'Расчет субсидий'!AT8</f>
        <v>-10123.709090909091</v>
      </c>
      <c r="C8" s="54">
        <f>'Расчет субсидий'!D8-1</f>
        <v>-6.559997124432182E-2</v>
      </c>
      <c r="D8" s="54">
        <f>C8*'Расчет субсидий'!E8</f>
        <v>-0.9839995686648273</v>
      </c>
      <c r="E8" s="55">
        <f t="shared" si="0"/>
        <v>-2229.9753989287847</v>
      </c>
      <c r="F8" s="60" t="s">
        <v>385</v>
      </c>
      <c r="G8" s="60" t="s">
        <v>385</v>
      </c>
      <c r="H8" s="61" t="s">
        <v>385</v>
      </c>
      <c r="I8" s="54">
        <f>'Расчет субсидий'!L8-1</f>
        <v>-0.20579767695820506</v>
      </c>
      <c r="J8" s="54">
        <f>I8*'Расчет субсидий'!M8</f>
        <v>-3.0869651543730758</v>
      </c>
      <c r="K8" s="55">
        <f t="shared" si="1"/>
        <v>-6995.7920418023641</v>
      </c>
      <c r="L8" s="54">
        <f>'Расчет субсидий'!P8-1</f>
        <v>-1.9811299193832399E-2</v>
      </c>
      <c r="M8" s="54">
        <f>L8*'Расчет субсидий'!Q8</f>
        <v>-0.39622598387664798</v>
      </c>
      <c r="N8" s="55">
        <f t="shared" si="2"/>
        <v>-897.94165017794217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60" t="s">
        <v>385</v>
      </c>
      <c r="V8" s="60" t="s">
        <v>385</v>
      </c>
      <c r="W8" s="61" t="s">
        <v>385</v>
      </c>
      <c r="X8" s="27" t="s">
        <v>367</v>
      </c>
      <c r="Y8" s="27" t="s">
        <v>367</v>
      </c>
      <c r="Z8" s="27" t="s">
        <v>367</v>
      </c>
      <c r="AA8" s="27" t="s">
        <v>367</v>
      </c>
      <c r="AB8" s="27" t="s">
        <v>367</v>
      </c>
      <c r="AC8" s="27" t="s">
        <v>367</v>
      </c>
      <c r="AD8" s="27" t="s">
        <v>367</v>
      </c>
      <c r="AE8" s="27" t="s">
        <v>367</v>
      </c>
      <c r="AF8" s="27" t="s">
        <v>367</v>
      </c>
      <c r="AG8" s="54">
        <f t="shared" ref="AG8:AG16" si="3">D8+J8+M8</f>
        <v>-4.4671907069145513</v>
      </c>
    </row>
    <row r="9" spans="1:33" ht="15" customHeight="1">
      <c r="A9" s="28" t="s">
        <v>7</v>
      </c>
      <c r="B9" s="52">
        <f>'Расчет субсидий'!AT9</f>
        <v>-6076.55454545455</v>
      </c>
      <c r="C9" s="54">
        <f>'Расчет субсидий'!D9-1</f>
        <v>-0.2066682768001239</v>
      </c>
      <c r="D9" s="54">
        <f>C9*'Расчет субсидий'!E9</f>
        <v>-3.1000241520018585</v>
      </c>
      <c r="E9" s="55">
        <f t="shared" si="0"/>
        <v>-6417.4661887976654</v>
      </c>
      <c r="F9" s="60" t="s">
        <v>385</v>
      </c>
      <c r="G9" s="60" t="s">
        <v>385</v>
      </c>
      <c r="H9" s="61" t="s">
        <v>385</v>
      </c>
      <c r="I9" s="54">
        <f>'Расчет субсидий'!L9-1</f>
        <v>-4.3715846994535568E-2</v>
      </c>
      <c r="J9" s="54">
        <f>I9*'Расчет субсидий'!M9</f>
        <v>-0.21857923497267784</v>
      </c>
      <c r="K9" s="55">
        <f t="shared" si="1"/>
        <v>-452.488361777634</v>
      </c>
      <c r="L9" s="54">
        <f>'Расчет субсидий'!P9-1</f>
        <v>1.9163008465600706E-2</v>
      </c>
      <c r="M9" s="54">
        <f>L9*'Расчет субсидий'!Q9</f>
        <v>0.38326016931201412</v>
      </c>
      <c r="N9" s="55">
        <f t="shared" si="2"/>
        <v>793.40000512074857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60" t="s">
        <v>385</v>
      </c>
      <c r="V9" s="60" t="s">
        <v>385</v>
      </c>
      <c r="W9" s="61" t="s">
        <v>385</v>
      </c>
      <c r="X9" s="27" t="s">
        <v>367</v>
      </c>
      <c r="Y9" s="27" t="s">
        <v>367</v>
      </c>
      <c r="Z9" s="27" t="s">
        <v>367</v>
      </c>
      <c r="AA9" s="27" t="s">
        <v>367</v>
      </c>
      <c r="AB9" s="27" t="s">
        <v>367</v>
      </c>
      <c r="AC9" s="27" t="s">
        <v>367</v>
      </c>
      <c r="AD9" s="27" t="s">
        <v>367</v>
      </c>
      <c r="AE9" s="27" t="s">
        <v>367</v>
      </c>
      <c r="AF9" s="27" t="s">
        <v>367</v>
      </c>
      <c r="AG9" s="54">
        <f t="shared" si="3"/>
        <v>-2.9353432176625223</v>
      </c>
    </row>
    <row r="10" spans="1:33" ht="15" customHeight="1">
      <c r="A10" s="28" t="s">
        <v>8</v>
      </c>
      <c r="B10" s="52">
        <f>'Расчет субсидий'!AT10</f>
        <v>-958.5</v>
      </c>
      <c r="C10" s="54">
        <f>'Расчет субсидий'!D10-1</f>
        <v>-7.1753637500773459E-2</v>
      </c>
      <c r="D10" s="54">
        <f>C10*'Расчет субсидий'!E10</f>
        <v>-1.0763045625116019</v>
      </c>
      <c r="E10" s="55">
        <f t="shared" si="0"/>
        <v>-1036.8095444672208</v>
      </c>
      <c r="F10" s="60" t="s">
        <v>385</v>
      </c>
      <c r="G10" s="60" t="s">
        <v>385</v>
      </c>
      <c r="H10" s="61" t="s">
        <v>385</v>
      </c>
      <c r="I10" s="54">
        <f>'Расчет субсидий'!L10-1</f>
        <v>-0.13284132841328411</v>
      </c>
      <c r="J10" s="54">
        <f>I10*'Расчет субсидий'!M10</f>
        <v>-1.3284132841328411</v>
      </c>
      <c r="K10" s="55">
        <f t="shared" si="1"/>
        <v>-1279.6671313665729</v>
      </c>
      <c r="L10" s="54">
        <f>'Расчет субсидий'!P10-1</f>
        <v>7.04852930696791E-2</v>
      </c>
      <c r="M10" s="54">
        <f>L10*'Расчет субсидий'!Q10</f>
        <v>1.409705861393582</v>
      </c>
      <c r="N10" s="55">
        <f t="shared" si="2"/>
        <v>1357.9766758337937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60" t="s">
        <v>385</v>
      </c>
      <c r="V10" s="60" t="s">
        <v>385</v>
      </c>
      <c r="W10" s="61" t="s">
        <v>385</v>
      </c>
      <c r="X10" s="27" t="s">
        <v>367</v>
      </c>
      <c r="Y10" s="27" t="s">
        <v>367</v>
      </c>
      <c r="Z10" s="27" t="s">
        <v>367</v>
      </c>
      <c r="AA10" s="27" t="s">
        <v>367</v>
      </c>
      <c r="AB10" s="27" t="s">
        <v>367</v>
      </c>
      <c r="AC10" s="27" t="s">
        <v>367</v>
      </c>
      <c r="AD10" s="27" t="s">
        <v>367</v>
      </c>
      <c r="AE10" s="27" t="s">
        <v>367</v>
      </c>
      <c r="AF10" s="27" t="s">
        <v>367</v>
      </c>
      <c r="AG10" s="54">
        <f t="shared" si="3"/>
        <v>-0.99501198525086121</v>
      </c>
    </row>
    <row r="11" spans="1:33" ht="15" customHeight="1">
      <c r="A11" s="28" t="s">
        <v>9</v>
      </c>
      <c r="B11" s="52">
        <f>'Расчет субсидий'!AT11</f>
        <v>1665.0636363636368</v>
      </c>
      <c r="C11" s="54">
        <f>'Расчет субсидий'!D11-1</f>
        <v>-5.9755266876633573E-2</v>
      </c>
      <c r="D11" s="54">
        <f>C11*'Расчет субсидий'!E11</f>
        <v>-0.89632900314950359</v>
      </c>
      <c r="E11" s="55">
        <f t="shared" si="0"/>
        <v>-803.84462948451949</v>
      </c>
      <c r="F11" s="60" t="s">
        <v>385</v>
      </c>
      <c r="G11" s="60" t="s">
        <v>385</v>
      </c>
      <c r="H11" s="61" t="s">
        <v>385</v>
      </c>
      <c r="I11" s="54">
        <f>'Расчет субсидий'!L11-1</f>
        <v>5.0000000000000044E-2</v>
      </c>
      <c r="J11" s="54">
        <f>I11*'Расчет субсидий'!M11</f>
        <v>0.50000000000000044</v>
      </c>
      <c r="K11" s="55">
        <f t="shared" si="1"/>
        <v>448.40936010102678</v>
      </c>
      <c r="L11" s="54">
        <f>'Расчет субсидий'!P11-1</f>
        <v>0.11264812276063507</v>
      </c>
      <c r="M11" s="54">
        <f>L11*'Расчет субсидий'!Q11</f>
        <v>2.2529624552127014</v>
      </c>
      <c r="N11" s="55">
        <f t="shared" si="2"/>
        <v>2020.4989057471294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60" t="s">
        <v>385</v>
      </c>
      <c r="V11" s="60" t="s">
        <v>385</v>
      </c>
      <c r="W11" s="61" t="s">
        <v>385</v>
      </c>
      <c r="X11" s="27" t="s">
        <v>367</v>
      </c>
      <c r="Y11" s="27" t="s">
        <v>367</v>
      </c>
      <c r="Z11" s="27" t="s">
        <v>367</v>
      </c>
      <c r="AA11" s="27" t="s">
        <v>367</v>
      </c>
      <c r="AB11" s="27" t="s">
        <v>367</v>
      </c>
      <c r="AC11" s="27" t="s">
        <v>367</v>
      </c>
      <c r="AD11" s="27" t="s">
        <v>367</v>
      </c>
      <c r="AE11" s="27" t="s">
        <v>367</v>
      </c>
      <c r="AF11" s="27" t="s">
        <v>367</v>
      </c>
      <c r="AG11" s="54">
        <f t="shared" si="3"/>
        <v>1.8566334520631984</v>
      </c>
    </row>
    <row r="12" spans="1:33" ht="15" customHeight="1">
      <c r="A12" s="28" t="s">
        <v>10</v>
      </c>
      <c r="B12" s="52">
        <f>'Расчет субсидий'!AT12</f>
        <v>-69.754545454543404</v>
      </c>
      <c r="C12" s="54">
        <f>'Расчет субсидий'!D12-1</f>
        <v>-0.11155749637180634</v>
      </c>
      <c r="D12" s="54">
        <f>C12*'Расчет субсидий'!E12</f>
        <v>-1.6733624455770952</v>
      </c>
      <c r="E12" s="55">
        <f t="shared" si="0"/>
        <v>-797.92207752822867</v>
      </c>
      <c r="F12" s="60" t="s">
        <v>385</v>
      </c>
      <c r="G12" s="60" t="s">
        <v>385</v>
      </c>
      <c r="H12" s="61" t="s">
        <v>385</v>
      </c>
      <c r="I12" s="54">
        <f>'Расчет субсидий'!L12-1</f>
        <v>-1.9607843137254943E-2</v>
      </c>
      <c r="J12" s="54">
        <f>I12*'Расчет субсидий'!M12</f>
        <v>-0.29411764705882415</v>
      </c>
      <c r="K12" s="55">
        <f t="shared" si="1"/>
        <v>-140.24634328276429</v>
      </c>
      <c r="L12" s="54">
        <f>'Расчет субсидий'!P12-1</f>
        <v>9.1059716679423586E-2</v>
      </c>
      <c r="M12" s="54">
        <f>L12*'Расчет субсидий'!Q12</f>
        <v>1.8211943335884717</v>
      </c>
      <c r="N12" s="55">
        <f t="shared" si="2"/>
        <v>868.41387535644958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60" t="s">
        <v>385</v>
      </c>
      <c r="V12" s="60" t="s">
        <v>385</v>
      </c>
      <c r="W12" s="61" t="s">
        <v>385</v>
      </c>
      <c r="X12" s="27" t="s">
        <v>367</v>
      </c>
      <c r="Y12" s="27" t="s">
        <v>367</v>
      </c>
      <c r="Z12" s="27" t="s">
        <v>367</v>
      </c>
      <c r="AA12" s="27" t="s">
        <v>367</v>
      </c>
      <c r="AB12" s="27" t="s">
        <v>367</v>
      </c>
      <c r="AC12" s="27" t="s">
        <v>367</v>
      </c>
      <c r="AD12" s="27" t="s">
        <v>367</v>
      </c>
      <c r="AE12" s="27" t="s">
        <v>367</v>
      </c>
      <c r="AF12" s="27" t="s">
        <v>367</v>
      </c>
      <c r="AG12" s="54">
        <f t="shared" si="3"/>
        <v>-0.14628575904744778</v>
      </c>
    </row>
    <row r="13" spans="1:33" ht="15" customHeight="1">
      <c r="A13" s="28" t="s">
        <v>11</v>
      </c>
      <c r="B13" s="52">
        <f>'Расчет субсидий'!AT13</f>
        <v>1652.1090909090854</v>
      </c>
      <c r="C13" s="54">
        <f>'Расчет субсидий'!D13-1</f>
        <v>0.2125404541519611</v>
      </c>
      <c r="D13" s="54">
        <f>C13*'Расчет субсидий'!E13</f>
        <v>3.1881068122794165</v>
      </c>
      <c r="E13" s="55">
        <f t="shared" si="0"/>
        <v>2587.1518484391249</v>
      </c>
      <c r="F13" s="60" t="s">
        <v>385</v>
      </c>
      <c r="G13" s="60" t="s">
        <v>385</v>
      </c>
      <c r="H13" s="61" t="s">
        <v>385</v>
      </c>
      <c r="I13" s="54">
        <f>'Расчет субсидий'!L13-1</f>
        <v>-0.32008368200836823</v>
      </c>
      <c r="J13" s="54">
        <f>I13*'Расчет субсидий'!M13</f>
        <v>-3.2008368200836825</v>
      </c>
      <c r="K13" s="55">
        <f t="shared" si="1"/>
        <v>-2597.4822624310905</v>
      </c>
      <c r="L13" s="54">
        <f>'Расчет субсидий'!P13-1</f>
        <v>0.10242991175363492</v>
      </c>
      <c r="M13" s="54">
        <f>L13*'Расчет субсидий'!Q13</f>
        <v>2.0485982350726983</v>
      </c>
      <c r="N13" s="55">
        <f t="shared" si="2"/>
        <v>1662.4395049010507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60" t="s">
        <v>385</v>
      </c>
      <c r="V13" s="60" t="s">
        <v>385</v>
      </c>
      <c r="W13" s="61" t="s">
        <v>385</v>
      </c>
      <c r="X13" s="27" t="s">
        <v>367</v>
      </c>
      <c r="Y13" s="27" t="s">
        <v>367</v>
      </c>
      <c r="Z13" s="27" t="s">
        <v>367</v>
      </c>
      <c r="AA13" s="27" t="s">
        <v>367</v>
      </c>
      <c r="AB13" s="27" t="s">
        <v>367</v>
      </c>
      <c r="AC13" s="27" t="s">
        <v>367</v>
      </c>
      <c r="AD13" s="27" t="s">
        <v>367</v>
      </c>
      <c r="AE13" s="27" t="s">
        <v>367</v>
      </c>
      <c r="AF13" s="27" t="s">
        <v>367</v>
      </c>
      <c r="AG13" s="54">
        <f t="shared" si="3"/>
        <v>2.0358682272684323</v>
      </c>
    </row>
    <row r="14" spans="1:33" ht="15" customHeight="1">
      <c r="A14" s="28" t="s">
        <v>12</v>
      </c>
      <c r="B14" s="52">
        <f>'Расчет субсидий'!AT14</f>
        <v>-5260.0090909090904</v>
      </c>
      <c r="C14" s="54">
        <f>'Расчет субсидий'!D14-1</f>
        <v>-0.25589825072020433</v>
      </c>
      <c r="D14" s="54">
        <f>C14*'Расчет субсидий'!E14</f>
        <v>-3.838473760803065</v>
      </c>
      <c r="E14" s="55">
        <f t="shared" si="0"/>
        <v>-1813.8102002231001</v>
      </c>
      <c r="F14" s="60" t="s">
        <v>385</v>
      </c>
      <c r="G14" s="60" t="s">
        <v>385</v>
      </c>
      <c r="H14" s="61" t="s">
        <v>385</v>
      </c>
      <c r="I14" s="54">
        <f>'Расчет субсидий'!L14-1</f>
        <v>-0.3211488250652742</v>
      </c>
      <c r="J14" s="54">
        <f>I14*'Расчет субсидий'!M14</f>
        <v>-4.8172323759791134</v>
      </c>
      <c r="K14" s="55">
        <f t="shared" si="1"/>
        <v>-2276.3071379099001</v>
      </c>
      <c r="L14" s="54">
        <f>'Расчет субсидий'!P14-1</f>
        <v>-0.12378910415926048</v>
      </c>
      <c r="M14" s="54">
        <f>L14*'Расчет субсидий'!Q14</f>
        <v>-2.4757820831852095</v>
      </c>
      <c r="N14" s="55">
        <f t="shared" si="2"/>
        <v>-1169.8917527760902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60" t="s">
        <v>385</v>
      </c>
      <c r="V14" s="60" t="s">
        <v>385</v>
      </c>
      <c r="W14" s="61" t="s">
        <v>385</v>
      </c>
      <c r="X14" s="27" t="s">
        <v>367</v>
      </c>
      <c r="Y14" s="27" t="s">
        <v>367</v>
      </c>
      <c r="Z14" s="27" t="s">
        <v>367</v>
      </c>
      <c r="AA14" s="27" t="s">
        <v>367</v>
      </c>
      <c r="AB14" s="27" t="s">
        <v>367</v>
      </c>
      <c r="AC14" s="27" t="s">
        <v>367</v>
      </c>
      <c r="AD14" s="27" t="s">
        <v>367</v>
      </c>
      <c r="AE14" s="27" t="s">
        <v>367</v>
      </c>
      <c r="AF14" s="27" t="s">
        <v>367</v>
      </c>
      <c r="AG14" s="54">
        <f t="shared" si="3"/>
        <v>-11.131488219967387</v>
      </c>
    </row>
    <row r="15" spans="1:33" ht="15" customHeight="1">
      <c r="A15" s="28" t="s">
        <v>13</v>
      </c>
      <c r="B15" s="52">
        <f>'Расчет субсидий'!AT15</f>
        <v>-1758.4545454545441</v>
      </c>
      <c r="C15" s="54">
        <f>'Расчет субсидий'!D15-1</f>
        <v>-6.4677367977585831E-2</v>
      </c>
      <c r="D15" s="54">
        <f>C15*'Расчет субсидий'!E15</f>
        <v>-0.97016051966378747</v>
      </c>
      <c r="E15" s="55">
        <f t="shared" si="0"/>
        <v>-800.24338651266021</v>
      </c>
      <c r="F15" s="60" t="s">
        <v>385</v>
      </c>
      <c r="G15" s="60" t="s">
        <v>385</v>
      </c>
      <c r="H15" s="61" t="s">
        <v>385</v>
      </c>
      <c r="I15" s="54">
        <f>'Расчет субсидий'!L15-1</f>
        <v>2.132196162046851E-3</v>
      </c>
      <c r="J15" s="54">
        <f>I15*'Расчет субсидий'!M15</f>
        <v>2.132196162046851E-2</v>
      </c>
      <c r="K15" s="55">
        <f t="shared" si="1"/>
        <v>17.587562499626191</v>
      </c>
      <c r="L15" s="54">
        <f>'Расчет субсидий'!P15-1</f>
        <v>-5.9149591901436982E-2</v>
      </c>
      <c r="M15" s="54">
        <f>L15*'Расчет субсидий'!Q15</f>
        <v>-1.1829918380287396</v>
      </c>
      <c r="N15" s="55">
        <f t="shared" si="2"/>
        <v>-975.79872144151022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60" t="s">
        <v>385</v>
      </c>
      <c r="V15" s="60" t="s">
        <v>385</v>
      </c>
      <c r="W15" s="61" t="s">
        <v>385</v>
      </c>
      <c r="X15" s="27" t="s">
        <v>367</v>
      </c>
      <c r="Y15" s="27" t="s">
        <v>367</v>
      </c>
      <c r="Z15" s="27" t="s">
        <v>367</v>
      </c>
      <c r="AA15" s="27" t="s">
        <v>367</v>
      </c>
      <c r="AB15" s="27" t="s">
        <v>367</v>
      </c>
      <c r="AC15" s="27" t="s">
        <v>367</v>
      </c>
      <c r="AD15" s="27" t="s">
        <v>367</v>
      </c>
      <c r="AE15" s="27" t="s">
        <v>367</v>
      </c>
      <c r="AF15" s="27" t="s">
        <v>367</v>
      </c>
      <c r="AG15" s="54">
        <f t="shared" si="3"/>
        <v>-2.1318303960720586</v>
      </c>
    </row>
    <row r="16" spans="1:33" ht="15" customHeight="1">
      <c r="A16" s="28" t="s">
        <v>14</v>
      </c>
      <c r="B16" s="52">
        <f>'Расчет субсидий'!AT16</f>
        <v>-146.23636363636251</v>
      </c>
      <c r="C16" s="54">
        <f>'Расчет субсидий'!D16-1</f>
        <v>7.6761547171476208E-2</v>
      </c>
      <c r="D16" s="54">
        <f>C16*'Расчет субсидий'!E16</f>
        <v>1.1514232075721431</v>
      </c>
      <c r="E16" s="55">
        <f t="shared" si="0"/>
        <v>511.7741435067482</v>
      </c>
      <c r="F16" s="60" t="s">
        <v>385</v>
      </c>
      <c r="G16" s="60" t="s">
        <v>385</v>
      </c>
      <c r="H16" s="61" t="s">
        <v>385</v>
      </c>
      <c r="I16" s="54">
        <f>'Расчет субсидий'!L16-1</f>
        <v>-0.18918918918918914</v>
      </c>
      <c r="J16" s="54">
        <f>I16*'Расчет субсидий'!M16</f>
        <v>-1.8918918918918914</v>
      </c>
      <c r="K16" s="55">
        <f t="shared" si="1"/>
        <v>-840.89094801371698</v>
      </c>
      <c r="L16" s="54">
        <f>'Расчет субсидий'!P16-1</f>
        <v>2.0572823627486025E-2</v>
      </c>
      <c r="M16" s="54">
        <f>L16*'Расчет субсидий'!Q16</f>
        <v>0.41145647254972051</v>
      </c>
      <c r="N16" s="55">
        <f t="shared" si="2"/>
        <v>182.88044087060621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60" t="s">
        <v>385</v>
      </c>
      <c r="V16" s="60" t="s">
        <v>385</v>
      </c>
      <c r="W16" s="61" t="s">
        <v>385</v>
      </c>
      <c r="X16" s="27" t="s">
        <v>367</v>
      </c>
      <c r="Y16" s="27" t="s">
        <v>367</v>
      </c>
      <c r="Z16" s="27" t="s">
        <v>367</v>
      </c>
      <c r="AA16" s="27" t="s">
        <v>367</v>
      </c>
      <c r="AB16" s="27" t="s">
        <v>367</v>
      </c>
      <c r="AC16" s="27" t="s">
        <v>367</v>
      </c>
      <c r="AD16" s="27" t="s">
        <v>367</v>
      </c>
      <c r="AE16" s="27" t="s">
        <v>367</v>
      </c>
      <c r="AF16" s="27" t="s">
        <v>367</v>
      </c>
      <c r="AG16" s="54">
        <f t="shared" si="3"/>
        <v>-0.32901221177002782</v>
      </c>
    </row>
    <row r="17" spans="1:33" ht="15" customHeight="1">
      <c r="A17" s="29" t="s">
        <v>20</v>
      </c>
      <c r="B17" s="51">
        <f>'Расчет субсидий'!AT17</f>
        <v>9296.1909090909121</v>
      </c>
      <c r="C17" s="51"/>
      <c r="D17" s="51"/>
      <c r="E17" s="51">
        <f>SUM(E18:E44)</f>
        <v>849.92160038809516</v>
      </c>
      <c r="F17" s="51"/>
      <c r="G17" s="51"/>
      <c r="H17" s="51">
        <f>SUM(H18:H44)</f>
        <v>0</v>
      </c>
      <c r="I17" s="51"/>
      <c r="J17" s="51"/>
      <c r="K17" s="51">
        <f>SUM(K18:K44)</f>
        <v>534.90458147713071</v>
      </c>
      <c r="L17" s="51"/>
      <c r="M17" s="51"/>
      <c r="N17" s="51">
        <f>SUM(N18:N44)</f>
        <v>32.378186563792667</v>
      </c>
      <c r="O17" s="51"/>
      <c r="P17" s="51"/>
      <c r="Q17" s="51">
        <f>SUM(Q18:Q44)</f>
        <v>1702.7584683947584</v>
      </c>
      <c r="R17" s="51"/>
      <c r="S17" s="51"/>
      <c r="T17" s="51">
        <f>SUM(T18:T44)</f>
        <v>2925.9233800974853</v>
      </c>
      <c r="U17" s="51"/>
      <c r="V17" s="51"/>
      <c r="W17" s="51"/>
      <c r="X17" s="51"/>
      <c r="Y17" s="51"/>
      <c r="Z17" s="51">
        <f>SUM(Z18:Z44)</f>
        <v>855.58724045631186</v>
      </c>
      <c r="AA17" s="51"/>
      <c r="AB17" s="51"/>
      <c r="AC17" s="51">
        <f>SUM(AC18:AC44)</f>
        <v>853.3092182017208</v>
      </c>
      <c r="AD17" s="51"/>
      <c r="AE17" s="51"/>
      <c r="AF17" s="51">
        <f>SUM(AF18:AF44)</f>
        <v>1541.4082335116179</v>
      </c>
      <c r="AG17" s="51"/>
    </row>
    <row r="18" spans="1:33" ht="15" customHeight="1">
      <c r="A18" s="30" t="s">
        <v>0</v>
      </c>
      <c r="B18" s="52">
        <f>'Расчет субсидий'!AT18</f>
        <v>602.07272727272721</v>
      </c>
      <c r="C18" s="54">
        <f>'Расчет субсидий'!D18-1</f>
        <v>0.19084519214149909</v>
      </c>
      <c r="D18" s="54">
        <f>C18*'Расчет субсидий'!E18</f>
        <v>1.9084519214149909</v>
      </c>
      <c r="E18" s="55">
        <f t="shared" ref="E18:E44" si="4">$B18*D18/$AG18</f>
        <v>139.58215682596528</v>
      </c>
      <c r="F18" s="60" t="s">
        <v>385</v>
      </c>
      <c r="G18" s="60" t="s">
        <v>385</v>
      </c>
      <c r="H18" s="61" t="s">
        <v>385</v>
      </c>
      <c r="I18" s="54">
        <f>'Расчет субсидий'!L18-1</f>
        <v>-3.6144578313253017E-2</v>
      </c>
      <c r="J18" s="54">
        <f>I18*'Расчет субсидий'!M18</f>
        <v>-0.54216867469879526</v>
      </c>
      <c r="K18" s="55">
        <f t="shared" ref="K18:K44" si="5">$B18*J18/$AG18</f>
        <v>-39.653643944995721</v>
      </c>
      <c r="L18" s="54">
        <f>'Расчет субсидий'!P18-1</f>
        <v>0.10272351508974586</v>
      </c>
      <c r="M18" s="54">
        <f>L18*'Расчет субсидий'!Q18</f>
        <v>2.0544703017949173</v>
      </c>
      <c r="N18" s="55">
        <f t="shared" ref="N18:N44" si="6">$B18*M18/$AG18</f>
        <v>150.26178686587366</v>
      </c>
      <c r="O18" s="54">
        <f>'Расчет субсидий'!T18-1</f>
        <v>0.19393939393939386</v>
      </c>
      <c r="P18" s="54">
        <f>O18*'Расчет субсидий'!U18</f>
        <v>1.9393939393939386</v>
      </c>
      <c r="Q18" s="55">
        <f t="shared" ref="Q18:Q44" si="7">$B18*P18/$AG18</f>
        <v>141.84522332378259</v>
      </c>
      <c r="R18" s="54">
        <f>'Расчет субсидий'!X18-1</f>
        <v>6.6666666666666652E-2</v>
      </c>
      <c r="S18" s="54">
        <f>R18*'Расчет субсидий'!Y18</f>
        <v>0.66666666666666652</v>
      </c>
      <c r="T18" s="55">
        <f t="shared" ref="T18:T44" si="8">$B18*S18/$AG18</f>
        <v>48.759295517550278</v>
      </c>
      <c r="U18" s="60" t="s">
        <v>385</v>
      </c>
      <c r="V18" s="60" t="s">
        <v>385</v>
      </c>
      <c r="W18" s="61" t="s">
        <v>385</v>
      </c>
      <c r="X18" s="73">
        <f>'Расчет субсидий'!AF18-1</f>
        <v>-1.05289546252193E-2</v>
      </c>
      <c r="Y18" s="73">
        <f>X18*'Расчет субсидий'!AG18</f>
        <v>-0.1579343193782895</v>
      </c>
      <c r="Z18" s="55">
        <f>$B18*Y18/$AG18</f>
        <v>-11.551149226393779</v>
      </c>
      <c r="AA18" s="73">
        <f>'Расчет субсидий'!AJ18-1</f>
        <v>2.5176056338028108E-2</v>
      </c>
      <c r="AB18" s="73">
        <f>AA18*'Расчет субсидий'!AK18</f>
        <v>0.25176056338028108</v>
      </c>
      <c r="AC18" s="55">
        <f>$B18*AB18/$AG18</f>
        <v>18.413501564286111</v>
      </c>
      <c r="AD18" s="73">
        <f>'Расчет субсидий'!AN18-1</f>
        <v>0.21112631578947361</v>
      </c>
      <c r="AE18" s="73">
        <f>AD18*'Расчет субсидий'!AO18</f>
        <v>2.1112631578947361</v>
      </c>
      <c r="AF18" s="55">
        <f>$B18*AE18/$AG18</f>
        <v>154.4155563466588</v>
      </c>
      <c r="AG18" s="54">
        <f>D18+J18+M18+P18+S18+Y18+AB18+AE18</f>
        <v>8.2319035564684455</v>
      </c>
    </row>
    <row r="19" spans="1:33" ht="15" customHeight="1">
      <c r="A19" s="30" t="s">
        <v>21</v>
      </c>
      <c r="B19" s="52">
        <f>'Расчет субсидий'!AT19</f>
        <v>21.71818181818162</v>
      </c>
      <c r="C19" s="54">
        <f>'Расчет субсидий'!D19-1</f>
        <v>-0.15743837877229083</v>
      </c>
      <c r="D19" s="54">
        <f>C19*'Расчет субсидий'!E19</f>
        <v>-1.5743837877229083</v>
      </c>
      <c r="E19" s="55">
        <f t="shared" si="4"/>
        <v>-222.14295827174513</v>
      </c>
      <c r="F19" s="60" t="s">
        <v>385</v>
      </c>
      <c r="G19" s="60" t="s">
        <v>385</v>
      </c>
      <c r="H19" s="61" t="s">
        <v>385</v>
      </c>
      <c r="I19" s="54">
        <f>'Расчет субсидий'!L19-1</f>
        <v>8.0000000000000071E-2</v>
      </c>
      <c r="J19" s="54">
        <f>I19*'Расчет субсидий'!M19</f>
        <v>0.40000000000000036</v>
      </c>
      <c r="K19" s="55">
        <f t="shared" si="5"/>
        <v>56.439340903793031</v>
      </c>
      <c r="L19" s="54">
        <f>'Расчет субсидий'!P19-1</f>
        <v>9.3234860725563973E-3</v>
      </c>
      <c r="M19" s="54">
        <f>L19*'Расчет субсидий'!Q19</f>
        <v>0.18646972145112795</v>
      </c>
      <c r="N19" s="55">
        <f t="shared" si="6"/>
        <v>26.310570443038817</v>
      </c>
      <c r="O19" s="54">
        <f>'Расчет субсидий'!T19-1</f>
        <v>3.8782412626831908E-2</v>
      </c>
      <c r="P19" s="54">
        <f>O19*'Расчет субсидий'!U19</f>
        <v>0.19391206313415954</v>
      </c>
      <c r="Q19" s="55">
        <f t="shared" si="7"/>
        <v>27.360672591466638</v>
      </c>
      <c r="R19" s="54">
        <f>'Расчет субсидий'!X19-1</f>
        <v>1.9990004997501032E-3</v>
      </c>
      <c r="S19" s="54">
        <f>R19*'Расчет субсидий'!Y19</f>
        <v>9.9950024987505159E-3</v>
      </c>
      <c r="T19" s="55">
        <f t="shared" si="8"/>
        <v>1.4102783834031074</v>
      </c>
      <c r="U19" s="60" t="s">
        <v>385</v>
      </c>
      <c r="V19" s="60" t="s">
        <v>385</v>
      </c>
      <c r="W19" s="61" t="s">
        <v>385</v>
      </c>
      <c r="X19" s="73">
        <f>'Расчет субсидий'!AF19-1</f>
        <v>6.2000000000000055E-2</v>
      </c>
      <c r="Y19" s="73">
        <f>X19*'Расчет субсидий'!AG19</f>
        <v>1.2400000000000011</v>
      </c>
      <c r="Z19" s="55">
        <f t="shared" ref="Z19:Z42" si="9">$B19*Y19/$AG19</f>
        <v>174.96195680175836</v>
      </c>
      <c r="AA19" s="73">
        <f>'Расчет субсидий'!AJ19-1</f>
        <v>9.4545454545456042E-3</v>
      </c>
      <c r="AB19" s="73">
        <f>AA19*'Расчет субсидий'!AK19</f>
        <v>0.14181818181818406</v>
      </c>
      <c r="AC19" s="55">
        <f t="shared" ref="AC19:AC43" si="10">$B19*AB19/$AG19</f>
        <v>20.010311774981464</v>
      </c>
      <c r="AD19" s="73">
        <f>'Расчет субсидий'!AN19-1</f>
        <v>-8.8777777777777733E-2</v>
      </c>
      <c r="AE19" s="73">
        <f>AD19*'Расчет субсидий'!AO19</f>
        <v>-0.44388888888888867</v>
      </c>
      <c r="AF19" s="55">
        <f t="shared" ref="AF19:AF44" si="11">$B19*AE19/$AG19</f>
        <v>-62.631990808514672</v>
      </c>
      <c r="AG19" s="54">
        <f t="shared" ref="AG19:AG44" si="12">D19+J19+M19+P19+S19+Y19+AB19+AE19</f>
        <v>0.15392229229042653</v>
      </c>
    </row>
    <row r="20" spans="1:33" ht="15" customHeight="1">
      <c r="A20" s="30" t="s">
        <v>22</v>
      </c>
      <c r="B20" s="52">
        <f>'Расчет субсидий'!AT20</f>
        <v>-172.29999999999927</v>
      </c>
      <c r="C20" s="54">
        <f>'Расчет субсидий'!D20-1</f>
        <v>-7.7160024874928013E-2</v>
      </c>
      <c r="D20" s="54">
        <f>C20*'Расчет субсидий'!E20</f>
        <v>-0.77160024874928013</v>
      </c>
      <c r="E20" s="55">
        <f t="shared" si="4"/>
        <v>-67.957621238557991</v>
      </c>
      <c r="F20" s="60" t="s">
        <v>385</v>
      </c>
      <c r="G20" s="60" t="s">
        <v>385</v>
      </c>
      <c r="H20" s="61" t="s">
        <v>385</v>
      </c>
      <c r="I20" s="54">
        <f>'Расчет субсидий'!L20-1</f>
        <v>4.8387096774193505E-2</v>
      </c>
      <c r="J20" s="54">
        <f>I20*'Расчет субсидий'!M20</f>
        <v>0.48387096774193505</v>
      </c>
      <c r="K20" s="55">
        <f t="shared" si="5"/>
        <v>42.616264066065227</v>
      </c>
      <c r="L20" s="54">
        <f>'Расчет субсидий'!P20-1</f>
        <v>-7.0251173449388249E-2</v>
      </c>
      <c r="M20" s="54">
        <f>L20*'Расчет субсидий'!Q20</f>
        <v>-1.405023468987765</v>
      </c>
      <c r="N20" s="55">
        <f t="shared" si="6"/>
        <v>-123.74549242503009</v>
      </c>
      <c r="O20" s="54">
        <f>'Расчет субсидий'!T20-1</f>
        <v>4.576742823667157E-3</v>
      </c>
      <c r="P20" s="54">
        <f>O20*'Расчет субсидий'!U20</f>
        <v>4.576742823667157E-2</v>
      </c>
      <c r="Q20" s="55">
        <f t="shared" si="7"/>
        <v>4.0309027352079543</v>
      </c>
      <c r="R20" s="54">
        <f>'Расчет субсидий'!X20-1</f>
        <v>0.12385767062026054</v>
      </c>
      <c r="S20" s="54">
        <f>R20*'Расчет субсидий'!Y20</f>
        <v>0.6192883531013027</v>
      </c>
      <c r="T20" s="55">
        <f t="shared" si="8"/>
        <v>54.542962376861155</v>
      </c>
      <c r="U20" s="60" t="s">
        <v>385</v>
      </c>
      <c r="V20" s="60" t="s">
        <v>385</v>
      </c>
      <c r="W20" s="61" t="s">
        <v>385</v>
      </c>
      <c r="X20" s="73">
        <f>'Расчет субсидий'!AF20-1</f>
        <v>2.64026402640265E-2</v>
      </c>
      <c r="Y20" s="73">
        <f>X20*'Расчет субсидий'!AG20</f>
        <v>0.52805280528053</v>
      </c>
      <c r="Z20" s="55">
        <f t="shared" si="9"/>
        <v>46.507518100700658</v>
      </c>
      <c r="AA20" s="73">
        <f>'Расчет субсидий'!AJ20-1</f>
        <v>-8.0224999999999991E-2</v>
      </c>
      <c r="AB20" s="73">
        <f>AA20*'Расчет субсидий'!AK20</f>
        <v>-1.6044999999999998</v>
      </c>
      <c r="AC20" s="55">
        <f t="shared" si="10"/>
        <v>-141.31411110093688</v>
      </c>
      <c r="AD20" s="73">
        <f>'Расчет субсидий'!AN20-1</f>
        <v>2.9565217391304355E-2</v>
      </c>
      <c r="AE20" s="73">
        <f>AD20*'Расчет субсидий'!AO20</f>
        <v>0.14782608695652177</v>
      </c>
      <c r="AF20" s="55">
        <f t="shared" si="11"/>
        <v>13.019577485690668</v>
      </c>
      <c r="AG20" s="54">
        <f t="shared" si="12"/>
        <v>-1.9563180764200836</v>
      </c>
    </row>
    <row r="21" spans="1:33" ht="15" customHeight="1">
      <c r="A21" s="30" t="s">
        <v>23</v>
      </c>
      <c r="B21" s="52">
        <f>'Расчет субсидий'!AT21</f>
        <v>768.39090909090919</v>
      </c>
      <c r="C21" s="54">
        <f>'Расчет субсидий'!D21-1</f>
        <v>4.7591492557695014E-2</v>
      </c>
      <c r="D21" s="54">
        <f>C21*'Расчет субсидий'!E21</f>
        <v>0.47591492557695014</v>
      </c>
      <c r="E21" s="55">
        <f t="shared" si="4"/>
        <v>55.526860665813793</v>
      </c>
      <c r="F21" s="60" t="s">
        <v>385</v>
      </c>
      <c r="G21" s="60" t="s">
        <v>385</v>
      </c>
      <c r="H21" s="61" t="s">
        <v>385</v>
      </c>
      <c r="I21" s="54">
        <f>'Расчет субсидий'!L21-1</f>
        <v>5.6910569105691033E-2</v>
      </c>
      <c r="J21" s="54">
        <f>I21*'Расчет субсидий'!M21</f>
        <v>0.56910569105691033</v>
      </c>
      <c r="K21" s="55">
        <f t="shared" si="5"/>
        <v>66.399792721628472</v>
      </c>
      <c r="L21" s="54">
        <f>'Расчет субсидий'!P21-1</f>
        <v>9.1621024081139479E-2</v>
      </c>
      <c r="M21" s="54">
        <f>L21*'Расчет субсидий'!Q21</f>
        <v>1.8324204816227896</v>
      </c>
      <c r="N21" s="55">
        <f t="shared" si="6"/>
        <v>213.79568342157495</v>
      </c>
      <c r="O21" s="54">
        <f>'Расчет субсидий'!T21-1</f>
        <v>6.1603375527426119E-2</v>
      </c>
      <c r="P21" s="54">
        <f>O21*'Расчет субсидий'!U21</f>
        <v>0.30801687763713059</v>
      </c>
      <c r="Q21" s="55">
        <f t="shared" si="7"/>
        <v>35.937537001054963</v>
      </c>
      <c r="R21" s="54">
        <f>'Расчет субсидий'!X21-1</f>
        <v>0.11705426356589133</v>
      </c>
      <c r="S21" s="54">
        <f>R21*'Расчет субсидий'!Y21</f>
        <v>0.58527131782945663</v>
      </c>
      <c r="T21" s="55">
        <f t="shared" si="8"/>
        <v>68.28589979063149</v>
      </c>
      <c r="U21" s="60" t="s">
        <v>385</v>
      </c>
      <c r="V21" s="60" t="s">
        <v>385</v>
      </c>
      <c r="W21" s="61" t="s">
        <v>385</v>
      </c>
      <c r="X21" s="73">
        <f>'Расчет субсидий'!AF21-1</f>
        <v>0</v>
      </c>
      <c r="Y21" s="73">
        <f>X21*'Расчет субсидий'!AG21</f>
        <v>0</v>
      </c>
      <c r="Z21" s="55">
        <f t="shared" si="9"/>
        <v>0</v>
      </c>
      <c r="AA21" s="73">
        <f>'Расчет субсидий'!AJ21-1</f>
        <v>-1.9999999999997797E-4</v>
      </c>
      <c r="AB21" s="73">
        <f>AA21*'Расчет субсидий'!AK21</f>
        <v>-1.9999999999997797E-3</v>
      </c>
      <c r="AC21" s="55">
        <f t="shared" si="10"/>
        <v>-0.23334784299312586</v>
      </c>
      <c r="AD21" s="73">
        <f>'Расчет субсидий'!AN21-1</f>
        <v>0.28170689655172421</v>
      </c>
      <c r="AE21" s="73">
        <f>AD21*'Расчет субсидий'!AO21</f>
        <v>2.8170689655172421</v>
      </c>
      <c r="AF21" s="55">
        <f t="shared" si="11"/>
        <v>328.6784833331987</v>
      </c>
      <c r="AG21" s="54">
        <f t="shared" si="12"/>
        <v>6.5857982592404793</v>
      </c>
    </row>
    <row r="22" spans="1:33" ht="15" customHeight="1">
      <c r="A22" s="30" t="s">
        <v>24</v>
      </c>
      <c r="B22" s="52">
        <f>'Расчет субсидий'!AT22</f>
        <v>845.54545454545405</v>
      </c>
      <c r="C22" s="54">
        <f>'Расчет субсидий'!D22-1</f>
        <v>0.13387696441403452</v>
      </c>
      <c r="D22" s="54">
        <f>C22*'Расчет субсидий'!E22</f>
        <v>1.3387696441403452</v>
      </c>
      <c r="E22" s="55">
        <f t="shared" si="4"/>
        <v>193.93873488413982</v>
      </c>
      <c r="F22" s="60" t="s">
        <v>385</v>
      </c>
      <c r="G22" s="60" t="s">
        <v>385</v>
      </c>
      <c r="H22" s="61" t="s">
        <v>385</v>
      </c>
      <c r="I22" s="54">
        <f>'Расчет субсидий'!L22-1</f>
        <v>8.6956521739130377E-2</v>
      </c>
      <c r="J22" s="54">
        <f>I22*'Расчет субсидий'!M22</f>
        <v>0.86956521739130377</v>
      </c>
      <c r="K22" s="55">
        <f t="shared" si="5"/>
        <v>125.96818197831981</v>
      </c>
      <c r="L22" s="54">
        <f>'Расчет субсидий'!P22-1</f>
        <v>-0.14739760913454691</v>
      </c>
      <c r="M22" s="54">
        <f>L22*'Расчет субсидий'!Q22</f>
        <v>-2.9479521826909383</v>
      </c>
      <c r="N22" s="55">
        <f t="shared" si="6"/>
        <v>-427.05040356448711</v>
      </c>
      <c r="O22" s="54">
        <f>'Расчет субсидий'!T22-1</f>
        <v>0.200747380926666</v>
      </c>
      <c r="P22" s="54">
        <f>O22*'Расчет субсидий'!U22</f>
        <v>1.00373690463333</v>
      </c>
      <c r="Q22" s="55">
        <f t="shared" si="7"/>
        <v>145.40475002038787</v>
      </c>
      <c r="R22" s="54">
        <f>'Расчет субсидий'!X22-1</f>
        <v>0.17361702127659573</v>
      </c>
      <c r="S22" s="54">
        <f>R22*'Расчет субсидий'!Y22</f>
        <v>0.86808510638297864</v>
      </c>
      <c r="T22" s="55">
        <f t="shared" si="8"/>
        <v>125.75376805154828</v>
      </c>
      <c r="U22" s="60" t="s">
        <v>385</v>
      </c>
      <c r="V22" s="60" t="s">
        <v>385</v>
      </c>
      <c r="W22" s="61" t="s">
        <v>385</v>
      </c>
      <c r="X22" s="73">
        <f>'Расчет субсидий'!AF22-1</f>
        <v>-1.4510739856801957E-2</v>
      </c>
      <c r="Y22" s="73">
        <f>X22*'Расчет субсидий'!AG22</f>
        <v>-0.29021479713603915</v>
      </c>
      <c r="Z22" s="55">
        <f t="shared" si="9"/>
        <v>-42.041504935198837</v>
      </c>
      <c r="AA22" s="73">
        <f>'Расчет субсидий'!AJ22-1</f>
        <v>0.19948564080582942</v>
      </c>
      <c r="AB22" s="73">
        <f>AA22*'Расчет субсидий'!AK22</f>
        <v>1.9948564080582942</v>
      </c>
      <c r="AC22" s="55">
        <f t="shared" si="10"/>
        <v>288.98170028554051</v>
      </c>
      <c r="AD22" s="73">
        <f>'Расчет субсидий'!AN22-1</f>
        <v>0.30000000000000004</v>
      </c>
      <c r="AE22" s="73">
        <f>AD22*'Расчет субсидий'!AO22</f>
        <v>3.0000000000000004</v>
      </c>
      <c r="AF22" s="55">
        <f t="shared" si="11"/>
        <v>434.59022782520373</v>
      </c>
      <c r="AG22" s="54">
        <f t="shared" si="12"/>
        <v>5.8368463007792748</v>
      </c>
    </row>
    <row r="23" spans="1:33" ht="15" customHeight="1">
      <c r="A23" s="30" t="s">
        <v>25</v>
      </c>
      <c r="B23" s="52">
        <f>'Расчет субсидий'!AT23</f>
        <v>-64.318181818181984</v>
      </c>
      <c r="C23" s="54">
        <f>'Расчет субсидий'!D23-1</f>
        <v>0.10631239393985714</v>
      </c>
      <c r="D23" s="54">
        <f>C23*'Расчет субсидий'!E23</f>
        <v>1.0631239393985714</v>
      </c>
      <c r="E23" s="55">
        <f t="shared" si="4"/>
        <v>125.93043776388316</v>
      </c>
      <c r="F23" s="60" t="s">
        <v>385</v>
      </c>
      <c r="G23" s="60" t="s">
        <v>385</v>
      </c>
      <c r="H23" s="61" t="s">
        <v>385</v>
      </c>
      <c r="I23" s="54">
        <f>'Расчет субсидий'!L23-1</f>
        <v>0</v>
      </c>
      <c r="J23" s="54">
        <f>I23*'Расчет субсидий'!M23</f>
        <v>0</v>
      </c>
      <c r="K23" s="55">
        <f t="shared" si="5"/>
        <v>0</v>
      </c>
      <c r="L23" s="54">
        <f>'Расчет субсидий'!P23-1</f>
        <v>-6.0545619301700437E-2</v>
      </c>
      <c r="M23" s="54">
        <f>L23*'Расчет субсидий'!Q23</f>
        <v>-1.2109123860340087</v>
      </c>
      <c r="N23" s="55">
        <f t="shared" si="6"/>
        <v>-143.43645290617553</v>
      </c>
      <c r="O23" s="54">
        <f>'Расчет субсидий'!T23-1</f>
        <v>0.14366911507520119</v>
      </c>
      <c r="P23" s="54">
        <f>O23*'Расчет субсидий'!U23</f>
        <v>0.71834557537600596</v>
      </c>
      <c r="Q23" s="55">
        <f t="shared" si="7"/>
        <v>85.090335585919291</v>
      </c>
      <c r="R23" s="54">
        <f>'Расчет субсидий'!X23-1</f>
        <v>0.13551401869158886</v>
      </c>
      <c r="S23" s="54">
        <f>R23*'Расчет субсидий'!Y23</f>
        <v>0.67757009345794428</v>
      </c>
      <c r="T23" s="55">
        <f t="shared" si="8"/>
        <v>80.260349073829559</v>
      </c>
      <c r="U23" s="60" t="s">
        <v>385</v>
      </c>
      <c r="V23" s="60" t="s">
        <v>385</v>
      </c>
      <c r="W23" s="61" t="s">
        <v>385</v>
      </c>
      <c r="X23" s="73">
        <f>'Расчет субсидий'!AF23-1</f>
        <v>0</v>
      </c>
      <c r="Y23" s="73">
        <f>X23*'Расчет субсидий'!AG23</f>
        <v>0</v>
      </c>
      <c r="Z23" s="55">
        <f t="shared" si="9"/>
        <v>0</v>
      </c>
      <c r="AA23" s="73">
        <f>'Расчет субсидий'!AJ23-1</f>
        <v>-0.1529206349206349</v>
      </c>
      <c r="AB23" s="73">
        <f>AA23*'Расчет субсидий'!AK23</f>
        <v>-1.529206349206349</v>
      </c>
      <c r="AC23" s="55">
        <f t="shared" si="10"/>
        <v>-181.13939292516312</v>
      </c>
      <c r="AD23" s="73">
        <f>'Расчет субсидий'!AN23-1</f>
        <v>-2.6190476190476208E-2</v>
      </c>
      <c r="AE23" s="73">
        <f>AD23*'Расчет субсидий'!AO23</f>
        <v>-0.26190476190476208</v>
      </c>
      <c r="AF23" s="55">
        <f t="shared" si="11"/>
        <v>-31.023458410475339</v>
      </c>
      <c r="AG23" s="54">
        <f t="shared" si="12"/>
        <v>-0.54298388891259819</v>
      </c>
    </row>
    <row r="24" spans="1:33" ht="15" customHeight="1">
      <c r="A24" s="30" t="s">
        <v>26</v>
      </c>
      <c r="B24" s="52">
        <f>'Расчет субсидий'!AT24</f>
        <v>894.33636363636469</v>
      </c>
      <c r="C24" s="54">
        <f>'Расчет субсидий'!D24-1</f>
        <v>0.20109042499590712</v>
      </c>
      <c r="D24" s="54">
        <f>C24*'Расчет субсидий'!E24</f>
        <v>2.0109042499590712</v>
      </c>
      <c r="E24" s="55">
        <f t="shared" si="4"/>
        <v>217.94862400343445</v>
      </c>
      <c r="F24" s="60" t="s">
        <v>385</v>
      </c>
      <c r="G24" s="60" t="s">
        <v>385</v>
      </c>
      <c r="H24" s="61" t="s">
        <v>385</v>
      </c>
      <c r="I24" s="54">
        <f>'Расчет субсидий'!L24-1</f>
        <v>0</v>
      </c>
      <c r="J24" s="54">
        <f>I24*'Расчет субсидий'!M24</f>
        <v>0</v>
      </c>
      <c r="K24" s="55">
        <f t="shared" si="5"/>
        <v>0</v>
      </c>
      <c r="L24" s="54">
        <f>'Расчет субсидий'!P24-1</f>
        <v>8.1493096152245537E-2</v>
      </c>
      <c r="M24" s="54">
        <f>L24*'Расчет субсидий'!Q24</f>
        <v>1.6298619230449107</v>
      </c>
      <c r="N24" s="55">
        <f t="shared" si="6"/>
        <v>176.64996404003818</v>
      </c>
      <c r="O24" s="54">
        <f>'Расчет субсидий'!T24-1</f>
        <v>0.20874737158305789</v>
      </c>
      <c r="P24" s="54">
        <f>O24*'Расчет субсидий'!U24</f>
        <v>1.0437368579152895</v>
      </c>
      <c r="Q24" s="55">
        <f t="shared" si="7"/>
        <v>113.12374122683143</v>
      </c>
      <c r="R24" s="54">
        <f>'Расчет субсидий'!X24-1</f>
        <v>0.19213566902720847</v>
      </c>
      <c r="S24" s="54">
        <f>R24*'Расчет субсидий'!Y24</f>
        <v>0.96067834513604233</v>
      </c>
      <c r="T24" s="55">
        <f t="shared" si="8"/>
        <v>104.1215778605861</v>
      </c>
      <c r="U24" s="60" t="s">
        <v>385</v>
      </c>
      <c r="V24" s="60" t="s">
        <v>385</v>
      </c>
      <c r="W24" s="61" t="s">
        <v>385</v>
      </c>
      <c r="X24" s="73">
        <f>'Расчет субсидий'!AF24-1</f>
        <v>-7.5093867334167674E-2</v>
      </c>
      <c r="Y24" s="73">
        <f>X24*'Расчет субсидий'!AG24</f>
        <v>-1.5018773466833535</v>
      </c>
      <c r="Z24" s="55">
        <f t="shared" si="9"/>
        <v>-162.77856150447158</v>
      </c>
      <c r="AA24" s="73">
        <f>'Расчет субсидий'!AJ24-1</f>
        <v>0.12616129032258061</v>
      </c>
      <c r="AB24" s="73">
        <f>AA24*'Расчет субсидий'!AK24</f>
        <v>1.8924193548387092</v>
      </c>
      <c r="AC24" s="55">
        <f t="shared" si="10"/>
        <v>205.10682914562372</v>
      </c>
      <c r="AD24" s="73">
        <f>'Расчет субсидий'!AN24-1</f>
        <v>0.22158762886597927</v>
      </c>
      <c r="AE24" s="73">
        <f>AD24*'Расчет субсидий'!AO24</f>
        <v>2.2158762886597927</v>
      </c>
      <c r="AF24" s="55">
        <f t="shared" si="11"/>
        <v>240.1641888643224</v>
      </c>
      <c r="AG24" s="54">
        <f t="shared" si="12"/>
        <v>8.2515996728704621</v>
      </c>
    </row>
    <row r="25" spans="1:33" ht="15" customHeight="1">
      <c r="A25" s="30" t="s">
        <v>27</v>
      </c>
      <c r="B25" s="52">
        <f>'Расчет субсидий'!AT25</f>
        <v>74.754545454545223</v>
      </c>
      <c r="C25" s="54">
        <f>'Расчет субсидий'!D25-1</f>
        <v>0.16596914221005932</v>
      </c>
      <c r="D25" s="54">
        <f>C25*'Расчет субсидий'!E25</f>
        <v>1.6596914221005932</v>
      </c>
      <c r="E25" s="55">
        <f t="shared" si="4"/>
        <v>94.495081613635591</v>
      </c>
      <c r="F25" s="60" t="s">
        <v>385</v>
      </c>
      <c r="G25" s="60" t="s">
        <v>385</v>
      </c>
      <c r="H25" s="61" t="s">
        <v>385</v>
      </c>
      <c r="I25" s="54">
        <f>'Расчет субсидий'!L25-1</f>
        <v>7.6923076923076872E-2</v>
      </c>
      <c r="J25" s="54">
        <f>I25*'Расчет субсидий'!M25</f>
        <v>0.76923076923076872</v>
      </c>
      <c r="K25" s="55">
        <f t="shared" si="5"/>
        <v>43.796408989197964</v>
      </c>
      <c r="L25" s="54">
        <f>'Расчет субсидий'!P25-1</f>
        <v>-4.226898256917444E-2</v>
      </c>
      <c r="M25" s="54">
        <f>L25*'Расчет субсидий'!Q25</f>
        <v>-0.84537965138348881</v>
      </c>
      <c r="N25" s="55">
        <f t="shared" si="6"/>
        <v>-48.131970852077963</v>
      </c>
      <c r="O25" s="54">
        <f>'Расчет субсидий'!T25-1</f>
        <v>0.15860927152317883</v>
      </c>
      <c r="P25" s="54">
        <f>O25*'Расчет субсидий'!U25</f>
        <v>0.79304635761589415</v>
      </c>
      <c r="Q25" s="55">
        <f t="shared" si="7"/>
        <v>45.152357413201315</v>
      </c>
      <c r="R25" s="54">
        <f>'Расчет субсидий'!X25-1</f>
        <v>9.9999999999999867E-2</v>
      </c>
      <c r="S25" s="54">
        <f>R25*'Расчет субсидий'!Y25</f>
        <v>0.49999999999999933</v>
      </c>
      <c r="T25" s="55">
        <f t="shared" si="8"/>
        <v>28.467665842978658</v>
      </c>
      <c r="U25" s="60" t="s">
        <v>385</v>
      </c>
      <c r="V25" s="60" t="s">
        <v>385</v>
      </c>
      <c r="W25" s="61" t="s">
        <v>385</v>
      </c>
      <c r="X25" s="73">
        <f>'Расчет субсидий'!AF25-1</f>
        <v>-9.3520374081496271E-2</v>
      </c>
      <c r="Y25" s="73">
        <f>X25*'Расчет субсидий'!AG25</f>
        <v>-1.8704074816299254</v>
      </c>
      <c r="Z25" s="55">
        <f t="shared" si="9"/>
        <v>-106.49227035449607</v>
      </c>
      <c r="AA25" s="73">
        <f>'Расчет субсидий'!AJ25-1</f>
        <v>-3.6851719482169698E-2</v>
      </c>
      <c r="AB25" s="73">
        <f>AA25*'Расчет субсидий'!AK25</f>
        <v>-0.36851719482169698</v>
      </c>
      <c r="AC25" s="55">
        <f t="shared" si="10"/>
        <v>-20.981648719151895</v>
      </c>
      <c r="AD25" s="73">
        <f>'Расчет субсидий'!AN25-1</f>
        <v>0.1350617283950617</v>
      </c>
      <c r="AE25" s="73">
        <f>AD25*'Расчет субсидий'!AO25</f>
        <v>0.67530864197530849</v>
      </c>
      <c r="AF25" s="55">
        <f t="shared" si="11"/>
        <v>38.448921521257638</v>
      </c>
      <c r="AG25" s="54">
        <f t="shared" si="12"/>
        <v>1.3129728630874524</v>
      </c>
    </row>
    <row r="26" spans="1:33" ht="15" customHeight="1">
      <c r="A26" s="30" t="s">
        <v>28</v>
      </c>
      <c r="B26" s="52">
        <f>'Расчет субсидий'!AT26</f>
        <v>-68.581818181819472</v>
      </c>
      <c r="C26" s="54">
        <f>'Расчет субсидий'!D26-1</f>
        <v>-8.4378614002312835E-3</v>
      </c>
      <c r="D26" s="54">
        <f>C26*'Расчет субсидий'!E26</f>
        <v>-8.4378614002312835E-2</v>
      </c>
      <c r="E26" s="55">
        <f t="shared" si="4"/>
        <v>-11.00855201239629</v>
      </c>
      <c r="F26" s="60" t="s">
        <v>385</v>
      </c>
      <c r="G26" s="60" t="s">
        <v>385</v>
      </c>
      <c r="H26" s="61" t="s">
        <v>385</v>
      </c>
      <c r="I26" s="54">
        <f>'Расчет субсидий'!L26-1</f>
        <v>0.12745098039215685</v>
      </c>
      <c r="J26" s="54">
        <f>I26*'Расчет субсидий'!M26</f>
        <v>1.9117647058823528</v>
      </c>
      <c r="K26" s="55">
        <f t="shared" si="5"/>
        <v>249.42056051776945</v>
      </c>
      <c r="L26" s="54">
        <f>'Расчет субсидий'!P26-1</f>
        <v>-0.16523387804004397</v>
      </c>
      <c r="M26" s="54">
        <f>L26*'Расчет субсидий'!Q26</f>
        <v>-3.3046775608008794</v>
      </c>
      <c r="N26" s="55">
        <f t="shared" si="6"/>
        <v>-431.14852314685101</v>
      </c>
      <c r="O26" s="54">
        <f>'Расчет субсидий'!T26-1</f>
        <v>6.2824292452830166E-2</v>
      </c>
      <c r="P26" s="54">
        <f>O26*'Расчет субсидий'!U26</f>
        <v>0.31412146226415083</v>
      </c>
      <c r="Q26" s="55">
        <f t="shared" si="7"/>
        <v>40.982214467875686</v>
      </c>
      <c r="R26" s="54">
        <f>'Расчет субсидий'!X26-1</f>
        <v>1.387283236994219E-2</v>
      </c>
      <c r="S26" s="54">
        <f>R26*'Расчет субсидий'!Y26</f>
        <v>6.9364161849710948E-2</v>
      </c>
      <c r="T26" s="55">
        <f t="shared" si="8"/>
        <v>9.049674405624712</v>
      </c>
      <c r="U26" s="60" t="s">
        <v>385</v>
      </c>
      <c r="V26" s="60" t="s">
        <v>385</v>
      </c>
      <c r="W26" s="61" t="s">
        <v>385</v>
      </c>
      <c r="X26" s="73">
        <f>'Расчет субсидий'!AF26-1</f>
        <v>1.678264428980758E-2</v>
      </c>
      <c r="Y26" s="73">
        <f>X26*'Расчет субсидий'!AG26</f>
        <v>0.2517396643471137</v>
      </c>
      <c r="Z26" s="55">
        <f t="shared" si="9"/>
        <v>32.843502128067939</v>
      </c>
      <c r="AA26" s="73">
        <f>'Расчет субсидий'!AJ26-1</f>
        <v>1.1296121097445599E-2</v>
      </c>
      <c r="AB26" s="73">
        <f>AA26*'Расчет субсидий'!AK26</f>
        <v>0.22592242194891199</v>
      </c>
      <c r="AC26" s="55">
        <f t="shared" si="10"/>
        <v>29.475226183769355</v>
      </c>
      <c r="AD26" s="73">
        <f>'Расчет субсидий'!AN26-1</f>
        <v>1.8095238095237942E-2</v>
      </c>
      <c r="AE26" s="73">
        <f>AD26*'Расчет субсидий'!AO26</f>
        <v>9.0476190476189711E-2</v>
      </c>
      <c r="AF26" s="55">
        <f t="shared" si="11"/>
        <v>11.804079274320712</v>
      </c>
      <c r="AG26" s="54">
        <f t="shared" si="12"/>
        <v>-0.52566756803476222</v>
      </c>
    </row>
    <row r="27" spans="1:33" ht="15" customHeight="1">
      <c r="A27" s="30" t="s">
        <v>29</v>
      </c>
      <c r="B27" s="52">
        <f>'Расчет субсидий'!AT27</f>
        <v>-473.24545454545478</v>
      </c>
      <c r="C27" s="54">
        <f>'Расчет субсидий'!D27-1</f>
        <v>5.0210042008400624E-3</v>
      </c>
      <c r="D27" s="54">
        <f>C27*'Расчет субсидий'!E27</f>
        <v>5.0210042008400624E-2</v>
      </c>
      <c r="E27" s="55">
        <f t="shared" si="4"/>
        <v>2.4217471424436119</v>
      </c>
      <c r="F27" s="60" t="s">
        <v>385</v>
      </c>
      <c r="G27" s="60" t="s">
        <v>385</v>
      </c>
      <c r="H27" s="61" t="s">
        <v>385</v>
      </c>
      <c r="I27" s="54">
        <f>'Расчет субсидий'!L27-1</f>
        <v>-0.14473684210526316</v>
      </c>
      <c r="J27" s="54">
        <f>I27*'Расчет субсидий'!M27</f>
        <v>-2.1710526315789473</v>
      </c>
      <c r="K27" s="55">
        <f t="shared" si="5"/>
        <v>-104.71491949242601</v>
      </c>
      <c r="L27" s="54">
        <f>'Расчет субсидий'!P27-1</f>
        <v>-0.17060244962301518</v>
      </c>
      <c r="M27" s="54">
        <f>L27*'Расчет субсидий'!Q27</f>
        <v>-3.4120489924603037</v>
      </c>
      <c r="N27" s="55">
        <f t="shared" si="6"/>
        <v>-164.57106122288937</v>
      </c>
      <c r="O27" s="54">
        <f>'Расчет субсидий'!T27-1</f>
        <v>2.017543859649118E-2</v>
      </c>
      <c r="P27" s="54">
        <f>O27*'Расчет субсидий'!U27</f>
        <v>0.1008771929824559</v>
      </c>
      <c r="Q27" s="55">
        <f t="shared" si="7"/>
        <v>4.8655417137894803</v>
      </c>
      <c r="R27" s="54">
        <f>'Расчет субсидий'!X27-1</f>
        <v>0.14090909090909087</v>
      </c>
      <c r="S27" s="54">
        <f>R27*'Расчет субсидий'!Y27</f>
        <v>1.4090909090909087</v>
      </c>
      <c r="T27" s="55">
        <f t="shared" si="8"/>
        <v>67.963732871668228</v>
      </c>
      <c r="U27" s="60" t="s">
        <v>385</v>
      </c>
      <c r="V27" s="60" t="s">
        <v>385</v>
      </c>
      <c r="W27" s="61" t="s">
        <v>385</v>
      </c>
      <c r="X27" s="73">
        <f>'Расчет субсидий'!AF27-1</f>
        <v>-7.5999999999999956E-2</v>
      </c>
      <c r="Y27" s="73">
        <f>X27*'Расчет субсидий'!AG27</f>
        <v>-1.5199999999999991</v>
      </c>
      <c r="Z27" s="55">
        <f t="shared" si="9"/>
        <v>-73.313136362212404</v>
      </c>
      <c r="AA27" s="73">
        <f>'Расчет субсидий'!AJ27-1</f>
        <v>-9.6177980604677638E-2</v>
      </c>
      <c r="AB27" s="73">
        <f>AA27*'Расчет субсидий'!AK27</f>
        <v>-0.96177980604677638</v>
      </c>
      <c r="AC27" s="55">
        <f t="shared" si="10"/>
        <v>-46.388877678374705</v>
      </c>
      <c r="AD27" s="73">
        <f>'Расчет субсидий'!AN27-1</f>
        <v>-0.22047244094488194</v>
      </c>
      <c r="AE27" s="73">
        <f>AD27*'Расчет субсидий'!AO27</f>
        <v>-3.3070866141732291</v>
      </c>
      <c r="AF27" s="55">
        <f t="shared" si="11"/>
        <v>-159.50848151745356</v>
      </c>
      <c r="AG27" s="54">
        <f t="shared" si="12"/>
        <v>-9.8117899001774909</v>
      </c>
    </row>
    <row r="28" spans="1:33" ht="15" customHeight="1">
      <c r="A28" s="30" t="s">
        <v>30</v>
      </c>
      <c r="B28" s="52">
        <f>'Расчет субсидий'!AT28</f>
        <v>610.55454545454631</v>
      </c>
      <c r="C28" s="54">
        <f>'Расчет субсидий'!D28-1</f>
        <v>-9.7738451350251054E-3</v>
      </c>
      <c r="D28" s="54">
        <f>C28*'Расчет субсидий'!E28</f>
        <v>-9.7738451350251054E-2</v>
      </c>
      <c r="E28" s="55">
        <f t="shared" si="4"/>
        <v>-14.025317623488991</v>
      </c>
      <c r="F28" s="60" t="s">
        <v>385</v>
      </c>
      <c r="G28" s="60" t="s">
        <v>385</v>
      </c>
      <c r="H28" s="61" t="s">
        <v>385</v>
      </c>
      <c r="I28" s="54">
        <f>'Расчет субсидий'!L28-1</f>
        <v>3.3653846153846256E-2</v>
      </c>
      <c r="J28" s="54">
        <f>I28*'Расчет субсидий'!M28</f>
        <v>0.33653846153846256</v>
      </c>
      <c r="K28" s="55">
        <f t="shared" si="5"/>
        <v>48.292752242233547</v>
      </c>
      <c r="L28" s="54">
        <f>'Расчет субсидий'!P28-1</f>
        <v>2.5287663901525148E-2</v>
      </c>
      <c r="M28" s="54">
        <f>L28*'Расчет субсидий'!Q28</f>
        <v>0.50575327803050296</v>
      </c>
      <c r="N28" s="55">
        <f t="shared" si="6"/>
        <v>72.574818461969841</v>
      </c>
      <c r="O28" s="54">
        <f>'Расчет субсидий'!T28-1</f>
        <v>0.21281300232184308</v>
      </c>
      <c r="P28" s="54">
        <f>O28*'Расчет субсидий'!U28</f>
        <v>2.1281300232184308</v>
      </c>
      <c r="Q28" s="55">
        <f t="shared" si="7"/>
        <v>305.38338911019412</v>
      </c>
      <c r="R28" s="54">
        <f>'Расчет субсидий'!X28-1</f>
        <v>0.20271079405917436</v>
      </c>
      <c r="S28" s="54">
        <f>R28*'Расчет субсидий'!Y28</f>
        <v>2.0271079405917436</v>
      </c>
      <c r="T28" s="55">
        <f t="shared" si="8"/>
        <v>290.88687544283283</v>
      </c>
      <c r="U28" s="60" t="s">
        <v>385</v>
      </c>
      <c r="V28" s="60" t="s">
        <v>385</v>
      </c>
      <c r="W28" s="61" t="s">
        <v>385</v>
      </c>
      <c r="X28" s="73">
        <f>'Расчет субсидий'!AF28-1</f>
        <v>0.14138082673702734</v>
      </c>
      <c r="Y28" s="73">
        <f>X28*'Расчет субсидий'!AG28</f>
        <v>2.1207124010554104</v>
      </c>
      <c r="Z28" s="55">
        <f t="shared" si="9"/>
        <v>304.3189717247111</v>
      </c>
      <c r="AA28" s="73">
        <f>'Расчет субсидий'!AJ28-1</f>
        <v>0.16627779000660348</v>
      </c>
      <c r="AB28" s="73">
        <f>AA28*'Расчет субсидий'!AK28</f>
        <v>1.6627779000660348</v>
      </c>
      <c r="AC28" s="55">
        <f t="shared" si="10"/>
        <v>238.60607430920047</v>
      </c>
      <c r="AD28" s="73">
        <f>'Расчет субсидий'!AN28-1</f>
        <v>-0.44285004965243291</v>
      </c>
      <c r="AE28" s="73">
        <f>AD28*'Расчет субсидий'!AO28</f>
        <v>-4.4285004965243289</v>
      </c>
      <c r="AF28" s="55">
        <f t="shared" si="11"/>
        <v>-635.48301821310667</v>
      </c>
      <c r="AG28" s="54">
        <f t="shared" si="12"/>
        <v>4.2547810566260047</v>
      </c>
    </row>
    <row r="29" spans="1:33" ht="15" customHeight="1">
      <c r="A29" s="30" t="s">
        <v>31</v>
      </c>
      <c r="B29" s="52">
        <f>'Расчет субсидий'!AT29</f>
        <v>5508.9000000000015</v>
      </c>
      <c r="C29" s="54">
        <f>'Расчет субсидий'!D29-1</f>
        <v>0.20492455553635502</v>
      </c>
      <c r="D29" s="54">
        <f>C29*'Расчет субсидий'!E29</f>
        <v>2.0492455553635502</v>
      </c>
      <c r="E29" s="55">
        <f t="shared" si="4"/>
        <v>719.67696492091852</v>
      </c>
      <c r="F29" s="60" t="s">
        <v>385</v>
      </c>
      <c r="G29" s="60" t="s">
        <v>385</v>
      </c>
      <c r="H29" s="61" t="s">
        <v>385</v>
      </c>
      <c r="I29" s="54">
        <f>'Расчет субсидий'!L29-1</f>
        <v>9.3023255813953432E-2</v>
      </c>
      <c r="J29" s="54">
        <f>I29*'Расчет субсидий'!M29</f>
        <v>0.46511627906976716</v>
      </c>
      <c r="K29" s="55">
        <f t="shared" si="5"/>
        <v>163.34473493434365</v>
      </c>
      <c r="L29" s="54">
        <f>'Расчет субсидий'!P29-1</f>
        <v>0.20727596810385918</v>
      </c>
      <c r="M29" s="54">
        <f>L29*'Расчет субсидий'!Q29</f>
        <v>4.1455193620771835</v>
      </c>
      <c r="N29" s="55">
        <f t="shared" si="6"/>
        <v>1455.8698369319277</v>
      </c>
      <c r="O29" s="54">
        <f>'Расчет субсидий'!T29-1</f>
        <v>9.6692111959288951E-3</v>
      </c>
      <c r="P29" s="54">
        <f>O29*'Расчет субсидий'!U29</f>
        <v>4.8346055979644476E-2</v>
      </c>
      <c r="Q29" s="55">
        <f t="shared" si="7"/>
        <v>16.97870845309934</v>
      </c>
      <c r="R29" s="54">
        <f>'Расчет субсидий'!X29-1</f>
        <v>0.22968433416532075</v>
      </c>
      <c r="S29" s="54">
        <f>R29*'Расчет субсидий'!Y29</f>
        <v>3.445265012479811</v>
      </c>
      <c r="T29" s="55">
        <f t="shared" si="8"/>
        <v>1209.9466855204789</v>
      </c>
      <c r="U29" s="60" t="s">
        <v>385</v>
      </c>
      <c r="V29" s="60" t="s">
        <v>385</v>
      </c>
      <c r="W29" s="61" t="s">
        <v>385</v>
      </c>
      <c r="X29" s="73">
        <f>'Расчет субсидий'!AF29-1</f>
        <v>1.8927444794952786E-2</v>
      </c>
      <c r="Y29" s="73">
        <f>X29*'Расчет субсидий'!AG29</f>
        <v>0.18927444794952786</v>
      </c>
      <c r="Z29" s="55">
        <f t="shared" si="9"/>
        <v>66.471516739843722</v>
      </c>
      <c r="AA29" s="73">
        <f>'Расчет субсидий'!AJ29-1</f>
        <v>0.12190060076460951</v>
      </c>
      <c r="AB29" s="73">
        <f>AA29*'Расчет субсидий'!AK29</f>
        <v>1.2190060076460951</v>
      </c>
      <c r="AC29" s="55">
        <f t="shared" si="10"/>
        <v>428.10415838499665</v>
      </c>
      <c r="AD29" s="73">
        <f>'Расчет субсидий'!AN29-1</f>
        <v>0.20622775800711746</v>
      </c>
      <c r="AE29" s="73">
        <f>AD29*'Расчет субсидий'!AO29</f>
        <v>4.1245551601423491</v>
      </c>
      <c r="AF29" s="55">
        <f t="shared" si="11"/>
        <v>1448.507394114393</v>
      </c>
      <c r="AG29" s="54">
        <f t="shared" si="12"/>
        <v>15.686327880707928</v>
      </c>
    </row>
    <row r="30" spans="1:33" ht="15" customHeight="1">
      <c r="A30" s="30" t="s">
        <v>32</v>
      </c>
      <c r="B30" s="52">
        <f>'Расчет субсидий'!AT30</f>
        <v>-116.5363636363636</v>
      </c>
      <c r="C30" s="54">
        <f>'Расчет субсидий'!D30-1</f>
        <v>3.7139330350253186E-3</v>
      </c>
      <c r="D30" s="54">
        <f>C30*'Расчет субсидий'!E30</f>
        <v>3.7139330350253186E-2</v>
      </c>
      <c r="E30" s="55">
        <f t="shared" si="4"/>
        <v>2.1114259947740099</v>
      </c>
      <c r="F30" s="60" t="s">
        <v>385</v>
      </c>
      <c r="G30" s="60" t="s">
        <v>385</v>
      </c>
      <c r="H30" s="61" t="s">
        <v>385</v>
      </c>
      <c r="I30" s="54">
        <f>'Расчет субсидий'!L30-1</f>
        <v>6.9364161849710948E-2</v>
      </c>
      <c r="J30" s="54">
        <f>I30*'Расчет субсидий'!M30</f>
        <v>0.69364161849710948</v>
      </c>
      <c r="K30" s="55">
        <f t="shared" si="5"/>
        <v>39.434554434337805</v>
      </c>
      <c r="L30" s="54">
        <f>'Расчет субсидий'!P30-1</f>
        <v>-6.6999447638141585E-2</v>
      </c>
      <c r="M30" s="54">
        <f>L30*'Расчет субсидий'!Q30</f>
        <v>-1.3399889527628317</v>
      </c>
      <c r="N30" s="55">
        <f t="shared" si="6"/>
        <v>-76.180358689589511</v>
      </c>
      <c r="O30" s="54">
        <f>'Расчет субсидий'!T30-1</f>
        <v>-4.4610875936177297E-2</v>
      </c>
      <c r="P30" s="54">
        <f>O30*'Расчет субсидий'!U30</f>
        <v>-0.44610875936177297</v>
      </c>
      <c r="Q30" s="55">
        <f t="shared" si="7"/>
        <v>-25.3619443896734</v>
      </c>
      <c r="R30" s="54">
        <f>'Расчет субсидий'!X30-1</f>
        <v>5.6426332288401326E-2</v>
      </c>
      <c r="S30" s="54">
        <f>R30*'Расчет субсидий'!Y30</f>
        <v>0.56426332288401326</v>
      </c>
      <c r="T30" s="55">
        <f t="shared" si="8"/>
        <v>32.079206506930035</v>
      </c>
      <c r="U30" s="60" t="s">
        <v>385</v>
      </c>
      <c r="V30" s="60" t="s">
        <v>385</v>
      </c>
      <c r="W30" s="61" t="s">
        <v>385</v>
      </c>
      <c r="X30" s="73">
        <f>'Расчет субсидий'!AF30-1</f>
        <v>-1.3488657265481319E-2</v>
      </c>
      <c r="Y30" s="73">
        <f>X30*'Расчет субсидий'!AG30</f>
        <v>-0.26977314530962637</v>
      </c>
      <c r="Z30" s="55">
        <f t="shared" si="9"/>
        <v>-15.337003288073777</v>
      </c>
      <c r="AA30" s="73">
        <f>'Расчет субсидий'!AJ30-1</f>
        <v>-9.2455418381344301E-2</v>
      </c>
      <c r="AB30" s="73">
        <f>AA30*'Расчет субсидий'!AK30</f>
        <v>-0.92455418381344301</v>
      </c>
      <c r="AC30" s="55">
        <f t="shared" si="10"/>
        <v>-52.56227613343232</v>
      </c>
      <c r="AD30" s="73">
        <f>'Расчет субсидий'!AN30-1</f>
        <v>-3.6445783132530218E-2</v>
      </c>
      <c r="AE30" s="73">
        <f>AD30*'Расчет субсидий'!AO30</f>
        <v>-0.36445783132530218</v>
      </c>
      <c r="AF30" s="55">
        <f t="shared" si="11"/>
        <v>-20.719968071636448</v>
      </c>
      <c r="AG30" s="54">
        <f t="shared" si="12"/>
        <v>-2.0498386008416003</v>
      </c>
    </row>
    <row r="31" spans="1:33" ht="15" customHeight="1">
      <c r="A31" s="30" t="s">
        <v>33</v>
      </c>
      <c r="B31" s="52">
        <f>'Расчет субсидий'!AT31</f>
        <v>139</v>
      </c>
      <c r="C31" s="54">
        <f>'Расчет субсидий'!D31-1</f>
        <v>3.8939183521459642E-2</v>
      </c>
      <c r="D31" s="54">
        <f>C31*'Расчет субсидий'!E31</f>
        <v>0.38939183521459642</v>
      </c>
      <c r="E31" s="55">
        <f t="shared" si="4"/>
        <v>50.751339828239189</v>
      </c>
      <c r="F31" s="60" t="s">
        <v>385</v>
      </c>
      <c r="G31" s="60" t="s">
        <v>385</v>
      </c>
      <c r="H31" s="61" t="s">
        <v>385</v>
      </c>
      <c r="I31" s="54">
        <f>'Расчет субсидий'!L31-1</f>
        <v>5.504587155963292E-2</v>
      </c>
      <c r="J31" s="54">
        <f>I31*'Расчет субсидий'!M31</f>
        <v>0.5504587155963292</v>
      </c>
      <c r="K31" s="55">
        <f t="shared" si="5"/>
        <v>71.743973063146981</v>
      </c>
      <c r="L31" s="54">
        <f>'Расчет субсидий'!P31-1</f>
        <v>-0.15492710217412009</v>
      </c>
      <c r="M31" s="54">
        <f>L31*'Расчет субсидий'!Q31</f>
        <v>-3.0985420434824018</v>
      </c>
      <c r="N31" s="55">
        <f t="shared" si="6"/>
        <v>-403.84811903977828</v>
      </c>
      <c r="O31" s="54">
        <f>'Расчет субсидий'!T31-1</f>
        <v>5.0038333759264031E-2</v>
      </c>
      <c r="P31" s="54">
        <f>O31*'Расчет субсидий'!U31</f>
        <v>0.50038333759264031</v>
      </c>
      <c r="Q31" s="55">
        <f t="shared" si="7"/>
        <v>65.217404459847486</v>
      </c>
      <c r="R31" s="54">
        <f>'Расчет субсидий'!X31-1</f>
        <v>0.15847457627118633</v>
      </c>
      <c r="S31" s="54">
        <f>R31*'Расчет субсидий'!Y31</f>
        <v>0.79237288135593165</v>
      </c>
      <c r="T31" s="55">
        <f t="shared" si="8"/>
        <v>103.27382789167561</v>
      </c>
      <c r="U31" s="60" t="s">
        <v>385</v>
      </c>
      <c r="V31" s="60" t="s">
        <v>385</v>
      </c>
      <c r="W31" s="61" t="s">
        <v>385</v>
      </c>
      <c r="X31" s="73">
        <f>'Расчет субсидий'!AF31-1</f>
        <v>3.3123028391167209E-2</v>
      </c>
      <c r="Y31" s="73">
        <f>X31*'Расчет субсидий'!AG31</f>
        <v>0.33123028391167209</v>
      </c>
      <c r="Z31" s="55">
        <f t="shared" si="9"/>
        <v>43.170860762761251</v>
      </c>
      <c r="AA31" s="73">
        <f>'Расчет субсидий'!AJ31-1</f>
        <v>2.6676923076923043E-2</v>
      </c>
      <c r="AB31" s="73">
        <f>AA31*'Расчет субсидий'!AK31</f>
        <v>0.53353846153846085</v>
      </c>
      <c r="AC31" s="55">
        <f t="shared" si="10"/>
        <v>69.538673706529053</v>
      </c>
      <c r="AD31" s="73">
        <f>'Расчет субсидий'!AN31-1</f>
        <v>0.21353</v>
      </c>
      <c r="AE31" s="73">
        <f>AD31*'Расчет субсидий'!AO31</f>
        <v>1.06765</v>
      </c>
      <c r="AF31" s="55">
        <f t="shared" si="11"/>
        <v>139.15203932757871</v>
      </c>
      <c r="AG31" s="54">
        <f t="shared" si="12"/>
        <v>1.0664834717272287</v>
      </c>
    </row>
    <row r="32" spans="1:33" ht="15" customHeight="1">
      <c r="A32" s="30" t="s">
        <v>34</v>
      </c>
      <c r="B32" s="52">
        <f>'Расчет субсидий'!AT32</f>
        <v>653.40909090909008</v>
      </c>
      <c r="C32" s="54">
        <f>'Расчет субсидий'!D32-1</f>
        <v>5.7843996494303163E-2</v>
      </c>
      <c r="D32" s="54">
        <f>C32*'Расчет субсидий'!E32</f>
        <v>0.57843996494303163</v>
      </c>
      <c r="E32" s="55">
        <f t="shared" si="4"/>
        <v>52.287079843010176</v>
      </c>
      <c r="F32" s="60" t="s">
        <v>385</v>
      </c>
      <c r="G32" s="60" t="s">
        <v>385</v>
      </c>
      <c r="H32" s="61" t="s">
        <v>385</v>
      </c>
      <c r="I32" s="54">
        <f>'Расчет субсидий'!L32-1</f>
        <v>8.5858585858585856E-2</v>
      </c>
      <c r="J32" s="54">
        <f>I32*'Расчет субсидий'!M32</f>
        <v>1.2878787878787878</v>
      </c>
      <c r="K32" s="55">
        <f t="shared" si="5"/>
        <v>116.41557480657367</v>
      </c>
      <c r="L32" s="54">
        <f>'Расчет субсидий'!P32-1</f>
        <v>0.22813471875467073</v>
      </c>
      <c r="M32" s="54">
        <f>L32*'Расчет субсидий'!Q32</f>
        <v>4.5626943750934146</v>
      </c>
      <c r="N32" s="55">
        <f t="shared" si="6"/>
        <v>412.43686389002988</v>
      </c>
      <c r="O32" s="54">
        <f>'Расчет субсидий'!T32-1</f>
        <v>5.7836084073916716E-3</v>
      </c>
      <c r="P32" s="54">
        <f>O32*'Расчет субсидий'!U32</f>
        <v>5.7836084073916716E-2</v>
      </c>
      <c r="Q32" s="55">
        <f t="shared" si="7"/>
        <v>5.2279927547498604</v>
      </c>
      <c r="R32" s="54">
        <f>'Расчет субсидий'!X32-1</f>
        <v>0.10734463276836181</v>
      </c>
      <c r="S32" s="54">
        <f>R32*'Расчет субсидий'!Y32</f>
        <v>1.0734463276836181</v>
      </c>
      <c r="T32" s="55">
        <f t="shared" si="8"/>
        <v>97.032323567593025</v>
      </c>
      <c r="U32" s="60" t="s">
        <v>385</v>
      </c>
      <c r="V32" s="60" t="s">
        <v>385</v>
      </c>
      <c r="W32" s="61" t="s">
        <v>385</v>
      </c>
      <c r="X32" s="73">
        <f>'Расчет субсидий'!AF32-1</f>
        <v>-5.500868558193428E-3</v>
      </c>
      <c r="Y32" s="73">
        <f>X32*'Расчет субсидий'!AG32</f>
        <v>-5.500868558193428E-2</v>
      </c>
      <c r="Z32" s="55">
        <f t="shared" si="9"/>
        <v>-4.9724149598911458</v>
      </c>
      <c r="AA32" s="73">
        <f>'Расчет субсидий'!AJ32-1</f>
        <v>-8.6965740768788158E-2</v>
      </c>
      <c r="AB32" s="73">
        <f>AA32*'Расчет субсидий'!AK32</f>
        <v>-0.86965740768788158</v>
      </c>
      <c r="AC32" s="55">
        <f t="shared" si="10"/>
        <v>-78.611176730017036</v>
      </c>
      <c r="AD32" s="73">
        <f>'Расчет субсидий'!AN32-1</f>
        <v>5.9288537549407216E-2</v>
      </c>
      <c r="AE32" s="73">
        <f>AD32*'Расчет субсидий'!AO32</f>
        <v>0.59288537549407216</v>
      </c>
      <c r="AF32" s="55">
        <f t="shared" si="11"/>
        <v>53.59284773704168</v>
      </c>
      <c r="AG32" s="54">
        <f t="shared" si="12"/>
        <v>7.2285148218970248</v>
      </c>
    </row>
    <row r="33" spans="1:33" ht="15" customHeight="1">
      <c r="A33" s="30" t="s">
        <v>1</v>
      </c>
      <c r="B33" s="52">
        <f>'Расчет субсидий'!AT33</f>
        <v>-1456.4181818181787</v>
      </c>
      <c r="C33" s="54">
        <f>'Расчет субсидий'!D33-1</f>
        <v>-4.0052667619196569E-2</v>
      </c>
      <c r="D33" s="54">
        <f>C33*'Расчет субсидий'!E33</f>
        <v>-0.40052667619196569</v>
      </c>
      <c r="E33" s="55">
        <f t="shared" si="4"/>
        <v>-85.251129260042305</v>
      </c>
      <c r="F33" s="60" t="s">
        <v>385</v>
      </c>
      <c r="G33" s="60" t="s">
        <v>385</v>
      </c>
      <c r="H33" s="61" t="s">
        <v>385</v>
      </c>
      <c r="I33" s="54">
        <f>'Расчет субсидий'!L33-1</f>
        <v>3.7735849056603765E-2</v>
      </c>
      <c r="J33" s="54">
        <f>I33*'Расчет субсидий'!M33</f>
        <v>0.37735849056603765</v>
      </c>
      <c r="K33" s="55">
        <f t="shared" si="5"/>
        <v>80.319837276459154</v>
      </c>
      <c r="L33" s="54">
        <f>'Расчет субсидий'!P33-1</f>
        <v>-4.2697467188653526E-2</v>
      </c>
      <c r="M33" s="54">
        <f>L33*'Расчет субсидий'!Q33</f>
        <v>-0.85394934377307052</v>
      </c>
      <c r="N33" s="55">
        <f t="shared" si="6"/>
        <v>-181.76104168560914</v>
      </c>
      <c r="O33" s="54">
        <f>'Расчет субсидий'!T33-1</f>
        <v>-8.1949950445986186E-2</v>
      </c>
      <c r="P33" s="54">
        <f>O33*'Расчет субсидий'!U33</f>
        <v>-0.40974975222993093</v>
      </c>
      <c r="Q33" s="55">
        <f t="shared" si="7"/>
        <v>-87.214238571420424</v>
      </c>
      <c r="R33" s="54">
        <f>'Расчет субсидий'!X33-1</f>
        <v>-0.17523941159048273</v>
      </c>
      <c r="S33" s="54">
        <f>R33*'Расчет субсидий'!Y33</f>
        <v>-1.7523941159048273</v>
      </c>
      <c r="T33" s="55">
        <f t="shared" si="8"/>
        <v>-372.99282711930573</v>
      </c>
      <c r="U33" s="60" t="s">
        <v>385</v>
      </c>
      <c r="V33" s="60" t="s">
        <v>385</v>
      </c>
      <c r="W33" s="61" t="s">
        <v>385</v>
      </c>
      <c r="X33" s="73">
        <f>'Расчет субсидий'!AF33-1</f>
        <v>-7.6213397513036352E-3</v>
      </c>
      <c r="Y33" s="73">
        <f>X33*'Расчет субсидий'!AG33</f>
        <v>-7.6213397513036352E-2</v>
      </c>
      <c r="Z33" s="55">
        <f t="shared" si="9"/>
        <v>-16.221836369312921</v>
      </c>
      <c r="AA33" s="73">
        <f>'Расчет субсидий'!AJ33-1</f>
        <v>-0.1041403685937895</v>
      </c>
      <c r="AB33" s="73">
        <f>AA33*'Расчет субсидий'!AK33</f>
        <v>-1.5621055289068426</v>
      </c>
      <c r="AC33" s="55">
        <f t="shared" si="10"/>
        <v>-332.49036400970522</v>
      </c>
      <c r="AD33" s="73">
        <f>'Расчет субсидий'!AN33-1</f>
        <v>-0.21649605147703999</v>
      </c>
      <c r="AE33" s="73">
        <f>AD33*'Расчет субсидий'!AO33</f>
        <v>-2.1649605147703999</v>
      </c>
      <c r="AF33" s="55">
        <f t="shared" si="11"/>
        <v>-460.80658207924216</v>
      </c>
      <c r="AG33" s="54">
        <f t="shared" si="12"/>
        <v>-6.8425408387240356</v>
      </c>
    </row>
    <row r="34" spans="1:33" ht="15" customHeight="1">
      <c r="A34" s="30" t="s">
        <v>35</v>
      </c>
      <c r="B34" s="52">
        <f>'Расчет субсидий'!AT34</f>
        <v>-165.55454545454631</v>
      </c>
      <c r="C34" s="54">
        <f>'Расчет субсидий'!D34-1</f>
        <v>0.20181386710210147</v>
      </c>
      <c r="D34" s="54">
        <f>C34*'Расчет субсидий'!E34</f>
        <v>2.0181386710210147</v>
      </c>
      <c r="E34" s="55">
        <f t="shared" si="4"/>
        <v>198.86883790874538</v>
      </c>
      <c r="F34" s="60" t="s">
        <v>385</v>
      </c>
      <c r="G34" s="60" t="s">
        <v>385</v>
      </c>
      <c r="H34" s="61" t="s">
        <v>385</v>
      </c>
      <c r="I34" s="54">
        <f>'Расчет субсидий'!L34-1</f>
        <v>2.3622047244094446E-2</v>
      </c>
      <c r="J34" s="54">
        <f>I34*'Расчет субсидий'!M34</f>
        <v>0.23622047244094446</v>
      </c>
      <c r="K34" s="55">
        <f t="shared" si="5"/>
        <v>23.277335457240373</v>
      </c>
      <c r="L34" s="54">
        <f>'Расчет субсидий'!P34-1</f>
        <v>-8.8771507571038466E-2</v>
      </c>
      <c r="M34" s="54">
        <f>L34*'Расчет субсидий'!Q34</f>
        <v>-1.7754301514207693</v>
      </c>
      <c r="N34" s="55">
        <f t="shared" si="6"/>
        <v>-174.95216561236967</v>
      </c>
      <c r="O34" s="54">
        <f>'Расчет субсидий'!T34-1</f>
        <v>-2.7627627627627604E-2</v>
      </c>
      <c r="P34" s="54">
        <f>O34*'Расчет субсидий'!U34</f>
        <v>-0.13813813813813802</v>
      </c>
      <c r="Q34" s="55">
        <f t="shared" si="7"/>
        <v>-13.612231605725563</v>
      </c>
      <c r="R34" s="54">
        <f>'Расчет субсидий'!X34-1</f>
        <v>-9.5412844036697253E-2</v>
      </c>
      <c r="S34" s="54">
        <f>R34*'Расчет субсидий'!Y34</f>
        <v>-0.47706422018348627</v>
      </c>
      <c r="T34" s="55">
        <f t="shared" si="8"/>
        <v>-47.010251791931417</v>
      </c>
      <c r="U34" s="60" t="s">
        <v>385</v>
      </c>
      <c r="V34" s="60" t="s">
        <v>385</v>
      </c>
      <c r="W34" s="61" t="s">
        <v>385</v>
      </c>
      <c r="X34" s="73">
        <f>'Расчет субсидий'!AF34-1</f>
        <v>1.1394465545306653E-2</v>
      </c>
      <c r="Y34" s="73">
        <f>X34*'Расчет субсидий'!AG34</f>
        <v>0.1709169831795998</v>
      </c>
      <c r="Z34" s="55">
        <f t="shared" si="9"/>
        <v>16.842282600233496</v>
      </c>
      <c r="AA34" s="73">
        <f>'Расчет субсидий'!AJ34-1</f>
        <v>4.0000000000000036E-2</v>
      </c>
      <c r="AB34" s="73">
        <f>AA34*'Расчет субсидий'!AK34</f>
        <v>0.40000000000000036</v>
      </c>
      <c r="AC34" s="55">
        <f t="shared" si="10"/>
        <v>39.416288040927142</v>
      </c>
      <c r="AD34" s="73">
        <f>'Расчет субсидий'!AN34-1</f>
        <v>-0.21147058823529408</v>
      </c>
      <c r="AE34" s="73">
        <f>AD34*'Расчет субсидий'!AO34</f>
        <v>-2.1147058823529408</v>
      </c>
      <c r="AF34" s="55">
        <f t="shared" si="11"/>
        <v>-208.38464045166603</v>
      </c>
      <c r="AG34" s="54">
        <f t="shared" si="12"/>
        <v>-1.6800622654537749</v>
      </c>
    </row>
    <row r="35" spans="1:33" ht="15" customHeight="1">
      <c r="A35" s="30" t="s">
        <v>36</v>
      </c>
      <c r="B35" s="52">
        <f>'Расчет субсидий'!AT35</f>
        <v>179.5181818181818</v>
      </c>
      <c r="C35" s="54">
        <f>'Расчет субсидий'!D35-1</f>
        <v>0.22444747311234226</v>
      </c>
      <c r="D35" s="54">
        <f>C35*'Расчет субсидий'!E35</f>
        <v>2.2444747311234226</v>
      </c>
      <c r="E35" s="55">
        <f t="shared" si="4"/>
        <v>162.96844391555857</v>
      </c>
      <c r="F35" s="60" t="s">
        <v>385</v>
      </c>
      <c r="G35" s="60" t="s">
        <v>385</v>
      </c>
      <c r="H35" s="61" t="s">
        <v>385</v>
      </c>
      <c r="I35" s="54">
        <f>'Расчет субсидий'!L35-1</f>
        <v>5.3459119496855445E-2</v>
      </c>
      <c r="J35" s="54">
        <f>I35*'Расчет субсидий'!M35</f>
        <v>0.80188679245283168</v>
      </c>
      <c r="K35" s="55">
        <f t="shared" si="5"/>
        <v>58.22397594873626</v>
      </c>
      <c r="L35" s="54">
        <f>'Расчет субсидий'!P35-1</f>
        <v>-0.21912434788351054</v>
      </c>
      <c r="M35" s="54">
        <f>L35*'Расчет субсидий'!Q35</f>
        <v>-4.3824869576702108</v>
      </c>
      <c r="N35" s="55">
        <f t="shared" si="6"/>
        <v>-318.20678133197958</v>
      </c>
      <c r="O35" s="54">
        <f>'Расчет субсидий'!T35-1</f>
        <v>0.14269230769230767</v>
      </c>
      <c r="P35" s="54">
        <f>O35*'Расчет субсидий'!U35</f>
        <v>1.4269230769230767</v>
      </c>
      <c r="Q35" s="55">
        <f t="shared" si="7"/>
        <v>103.6070623601809</v>
      </c>
      <c r="R35" s="54">
        <f>'Расчет субсидий'!X35-1</f>
        <v>0.21585365853658534</v>
      </c>
      <c r="S35" s="54">
        <f>R35*'Расчет субсидий'!Y35</f>
        <v>1.0792682926829267</v>
      </c>
      <c r="T35" s="55">
        <f t="shared" si="8"/>
        <v>78.364292449798256</v>
      </c>
      <c r="U35" s="60" t="s">
        <v>385</v>
      </c>
      <c r="V35" s="60" t="s">
        <v>385</v>
      </c>
      <c r="W35" s="61" t="s">
        <v>385</v>
      </c>
      <c r="X35" s="73">
        <f>'Расчет субсидий'!AF35-1</f>
        <v>-2.3912003825921069E-3</v>
      </c>
      <c r="Y35" s="73">
        <f>X35*'Расчет субсидий'!AG35</f>
        <v>-4.7824007651842138E-2</v>
      </c>
      <c r="Z35" s="55">
        <f t="shared" si="9"/>
        <v>-3.4724401218477796</v>
      </c>
      <c r="AA35" s="73">
        <f>'Расчет субсидий'!AJ35-1</f>
        <v>0.1040208488458676</v>
      </c>
      <c r="AB35" s="73">
        <f>AA35*'Расчет субсидий'!AK35</f>
        <v>1.040208488458676</v>
      </c>
      <c r="AC35" s="55">
        <f t="shared" si="10"/>
        <v>75.528209946482932</v>
      </c>
      <c r="AD35" s="73">
        <f>'Расчет субсидий'!AN35-1</f>
        <v>6.1990950226244346E-2</v>
      </c>
      <c r="AE35" s="73">
        <f>AD35*'Расчет субсидий'!AO35</f>
        <v>0.30995475113122173</v>
      </c>
      <c r="AF35" s="55">
        <f t="shared" si="11"/>
        <v>22.505418651252239</v>
      </c>
      <c r="AG35" s="54">
        <f t="shared" si="12"/>
        <v>2.4724051674501029</v>
      </c>
    </row>
    <row r="36" spans="1:33" ht="15" customHeight="1">
      <c r="A36" s="30" t="s">
        <v>37</v>
      </c>
      <c r="B36" s="52">
        <f>'Расчет субсидий'!AT36</f>
        <v>626.29090909090883</v>
      </c>
      <c r="C36" s="54">
        <f>'Расчет субсидий'!D36-1</f>
        <v>3.3005707038681109E-2</v>
      </c>
      <c r="D36" s="54">
        <f>C36*'Расчет субсидий'!E36</f>
        <v>0.33005707038681109</v>
      </c>
      <c r="E36" s="55">
        <f t="shared" si="4"/>
        <v>58.272449826175794</v>
      </c>
      <c r="F36" s="60" t="s">
        <v>385</v>
      </c>
      <c r="G36" s="60" t="s">
        <v>385</v>
      </c>
      <c r="H36" s="61" t="s">
        <v>385</v>
      </c>
      <c r="I36" s="54">
        <f>'Расчет субсидий'!L36-1</f>
        <v>-7.5342465753424626E-2</v>
      </c>
      <c r="J36" s="54">
        <f>I36*'Расчет субсидий'!M36</f>
        <v>-1.1301369863013693</v>
      </c>
      <c r="K36" s="55">
        <f t="shared" si="5"/>
        <v>-199.52867773373907</v>
      </c>
      <c r="L36" s="54">
        <f>'Расчет субсидий'!P36-1</f>
        <v>0.1511227529098631</v>
      </c>
      <c r="M36" s="54">
        <f>L36*'Расчет субсидий'!Q36</f>
        <v>3.022455058197262</v>
      </c>
      <c r="N36" s="55">
        <f t="shared" si="6"/>
        <v>533.62244451924664</v>
      </c>
      <c r="O36" s="54">
        <f>'Расчет субсидий'!T36-1</f>
        <v>1.9661803713527881E-2</v>
      </c>
      <c r="P36" s="54">
        <f>O36*'Расчет субсидий'!U36</f>
        <v>0.19661803713527881</v>
      </c>
      <c r="Q36" s="55">
        <f t="shared" si="7"/>
        <v>34.713435135502969</v>
      </c>
      <c r="R36" s="54">
        <f>'Расчет субсидий'!X36-1</f>
        <v>0.14291338582677171</v>
      </c>
      <c r="S36" s="54">
        <f>R36*'Расчет субсидий'!Y36</f>
        <v>1.4291338582677171</v>
      </c>
      <c r="T36" s="55">
        <f t="shared" si="8"/>
        <v>252.31736727589387</v>
      </c>
      <c r="U36" s="60" t="s">
        <v>385</v>
      </c>
      <c r="V36" s="60" t="s">
        <v>385</v>
      </c>
      <c r="W36" s="61" t="s">
        <v>385</v>
      </c>
      <c r="X36" s="73">
        <f>'Расчет субсидий'!AF36-1</f>
        <v>6.5150852645387003E-2</v>
      </c>
      <c r="Y36" s="73">
        <f>X36*'Расчет субсидий'!AG36</f>
        <v>0.97726278968080504</v>
      </c>
      <c r="Z36" s="55">
        <f t="shared" si="9"/>
        <v>172.53833348252033</v>
      </c>
      <c r="AA36" s="73">
        <f>'Расчет субсидий'!AJ36-1</f>
        <v>-7.3896843260010336E-2</v>
      </c>
      <c r="AB36" s="73">
        <f>AA36*'Расчет субсидий'!AK36</f>
        <v>-1.1084526489001552</v>
      </c>
      <c r="AC36" s="55">
        <f t="shared" si="10"/>
        <v>-195.70025054160155</v>
      </c>
      <c r="AD36" s="73">
        <f>'Расчет субсидий'!AN36-1</f>
        <v>-1.696048922650617E-2</v>
      </c>
      <c r="AE36" s="73">
        <f>AD36*'Расчет субсидий'!AO36</f>
        <v>-0.1696048922650617</v>
      </c>
      <c r="AF36" s="55">
        <f t="shared" si="11"/>
        <v>-29.944192873090138</v>
      </c>
      <c r="AG36" s="54">
        <f t="shared" si="12"/>
        <v>3.5473322862012875</v>
      </c>
    </row>
    <row r="37" spans="1:33" ht="15" customHeight="1">
      <c r="A37" s="30" t="s">
        <v>38</v>
      </c>
      <c r="B37" s="52">
        <f>'Расчет субсидий'!AT37</f>
        <v>177.93636363636324</v>
      </c>
      <c r="C37" s="54">
        <f>'Расчет субсидий'!D37-1</f>
        <v>-0.21356704892831269</v>
      </c>
      <c r="D37" s="54">
        <f>C37*'Расчет субсидий'!E37</f>
        <v>-2.1356704892831271</v>
      </c>
      <c r="E37" s="55">
        <f t="shared" si="4"/>
        <v>-196.87996154792327</v>
      </c>
      <c r="F37" s="60" t="s">
        <v>385</v>
      </c>
      <c r="G37" s="60" t="s">
        <v>385</v>
      </c>
      <c r="H37" s="61" t="s">
        <v>385</v>
      </c>
      <c r="I37" s="54">
        <f>'Расчет субсидий'!L37-1</f>
        <v>9.1743119266054496E-3</v>
      </c>
      <c r="J37" s="54">
        <f>I37*'Расчет субсидий'!M37</f>
        <v>0.13761467889908174</v>
      </c>
      <c r="K37" s="55">
        <f t="shared" si="5"/>
        <v>12.686213920189264</v>
      </c>
      <c r="L37" s="54">
        <f>'Расчет субсидий'!P37-1</f>
        <v>5.8709900326660458E-2</v>
      </c>
      <c r="M37" s="54">
        <f>L37*'Расчет субсидий'!Q37</f>
        <v>1.1741980065332092</v>
      </c>
      <c r="N37" s="55">
        <f t="shared" si="6"/>
        <v>108.24519022759191</v>
      </c>
      <c r="O37" s="54">
        <f>'Расчет субсидий'!T37-1</f>
        <v>0.13542976939203366</v>
      </c>
      <c r="P37" s="54">
        <f>O37*'Расчет субсидий'!U37</f>
        <v>1.3542976939203366</v>
      </c>
      <c r="Q37" s="55">
        <f t="shared" si="7"/>
        <v>124.84794786529881</v>
      </c>
      <c r="R37" s="54">
        <f>'Расчет субсидий'!X37-1</f>
        <v>7.0129870129870042E-2</v>
      </c>
      <c r="S37" s="54">
        <f>R37*'Расчет субсидий'!Y37</f>
        <v>0.70129870129870042</v>
      </c>
      <c r="T37" s="55">
        <f t="shared" si="8"/>
        <v>64.650264185484289</v>
      </c>
      <c r="U37" s="60" t="s">
        <v>385</v>
      </c>
      <c r="V37" s="60" t="s">
        <v>385</v>
      </c>
      <c r="W37" s="61" t="s">
        <v>385</v>
      </c>
      <c r="X37" s="73">
        <f>'Расчет субсидий'!AF37-1</f>
        <v>9.0645161290322518E-2</v>
      </c>
      <c r="Y37" s="73">
        <f>X37*'Расчет субсидий'!AG37</f>
        <v>1.8129032258064504</v>
      </c>
      <c r="Z37" s="55">
        <f t="shared" si="9"/>
        <v>167.12518114472218</v>
      </c>
      <c r="AA37" s="73">
        <f>'Расчет субсидий'!AJ37-1</f>
        <v>-0.21097872340425528</v>
      </c>
      <c r="AB37" s="73">
        <f>AA37*'Расчет субсидий'!AK37</f>
        <v>-3.1646808510638289</v>
      </c>
      <c r="AC37" s="55">
        <f t="shared" si="10"/>
        <v>-291.74081273091753</v>
      </c>
      <c r="AD37" s="73">
        <f>'Расчет субсидий'!AN37-1</f>
        <v>0.20502173913043475</v>
      </c>
      <c r="AE37" s="73">
        <f>AD37*'Расчет субсидий'!AO37</f>
        <v>2.0502173913043475</v>
      </c>
      <c r="AF37" s="55">
        <f t="shared" si="11"/>
        <v>189.00234057191761</v>
      </c>
      <c r="AG37" s="54">
        <f t="shared" si="12"/>
        <v>1.9301783574151696</v>
      </c>
    </row>
    <row r="38" spans="1:33" ht="15" customHeight="1">
      <c r="A38" s="30" t="s">
        <v>39</v>
      </c>
      <c r="B38" s="52">
        <f>'Расчет субсидий'!AT38</f>
        <v>-169.13636363636397</v>
      </c>
      <c r="C38" s="54">
        <f>'Расчет субсидий'!D38-1</f>
        <v>-7.6227449848463857E-3</v>
      </c>
      <c r="D38" s="54">
        <f>C38*'Расчет субсидий'!E38</f>
        <v>-7.6227449848463857E-2</v>
      </c>
      <c r="E38" s="55">
        <f t="shared" si="4"/>
        <v>-7.2346693252373759</v>
      </c>
      <c r="F38" s="60" t="s">
        <v>385</v>
      </c>
      <c r="G38" s="60" t="s">
        <v>385</v>
      </c>
      <c r="H38" s="61" t="s">
        <v>385</v>
      </c>
      <c r="I38" s="54">
        <f>'Расчет субсидий'!L38-1</f>
        <v>-0.15742793791574283</v>
      </c>
      <c r="J38" s="54">
        <f>I38*'Расчет субсидий'!M38</f>
        <v>-1.5742793791574283</v>
      </c>
      <c r="K38" s="55">
        <f t="shared" si="5"/>
        <v>-149.41324623066222</v>
      </c>
      <c r="L38" s="54">
        <f>'Расчет субсидий'!P38-1</f>
        <v>6.4614596896783727E-3</v>
      </c>
      <c r="M38" s="54">
        <f>L38*'Расчет субсидий'!Q38</f>
        <v>0.12922919379356745</v>
      </c>
      <c r="N38" s="55">
        <f t="shared" si="6"/>
        <v>12.265010650652373</v>
      </c>
      <c r="O38" s="54">
        <f>'Расчет субсидий'!T38-1</f>
        <v>2.5913621262458442E-2</v>
      </c>
      <c r="P38" s="54">
        <f>O38*'Расчет субсидий'!U38</f>
        <v>0.12956810631229221</v>
      </c>
      <c r="Q38" s="55">
        <f t="shared" si="7"/>
        <v>12.297176491278437</v>
      </c>
      <c r="R38" s="54">
        <f>'Расчет субсидий'!X38-1</f>
        <v>2.5510204081632626E-2</v>
      </c>
      <c r="S38" s="54">
        <f>R38*'Расчет субсидий'!Y38</f>
        <v>0.12755102040816313</v>
      </c>
      <c r="T38" s="55">
        <f t="shared" si="8"/>
        <v>12.105736930516777</v>
      </c>
      <c r="U38" s="60" t="s">
        <v>385</v>
      </c>
      <c r="V38" s="60" t="s">
        <v>385</v>
      </c>
      <c r="W38" s="61" t="s">
        <v>385</v>
      </c>
      <c r="X38" s="73">
        <f>'Расчет субсидий'!AF38-1</f>
        <v>1.4875418371141702E-2</v>
      </c>
      <c r="Y38" s="73">
        <f>X38*'Расчет субсидий'!AG38</f>
        <v>0.22313127556712553</v>
      </c>
      <c r="Z38" s="55">
        <f t="shared" si="9"/>
        <v>21.177161220212355</v>
      </c>
      <c r="AA38" s="73">
        <f>'Расчет субсидий'!AJ38-1</f>
        <v>4.8858447488584478E-3</v>
      </c>
      <c r="AB38" s="73">
        <f>AA38*'Расчет субсидий'!AK38</f>
        <v>4.8858447488584478E-2</v>
      </c>
      <c r="AC38" s="55">
        <f t="shared" si="10"/>
        <v>4.6371052951013354</v>
      </c>
      <c r="AD38" s="73">
        <f>'Расчет субсидий'!AN38-1</f>
        <v>-0.15798429319371732</v>
      </c>
      <c r="AE38" s="73">
        <f>AD38*'Расчет субсидий'!AO38</f>
        <v>-0.78992146596858659</v>
      </c>
      <c r="AF38" s="55">
        <f t="shared" si="11"/>
        <v>-74.970638668225618</v>
      </c>
      <c r="AG38" s="54">
        <f t="shared" si="12"/>
        <v>-1.7820902514047461</v>
      </c>
    </row>
    <row r="39" spans="1:33" ht="15" customHeight="1">
      <c r="A39" s="30" t="s">
        <v>40</v>
      </c>
      <c r="B39" s="52">
        <f>'Расчет субсидий'!AT39</f>
        <v>-673.38181818181693</v>
      </c>
      <c r="C39" s="54">
        <f>'Расчет субсидий'!D39-1</f>
        <v>-0.24017250243495125</v>
      </c>
      <c r="D39" s="54">
        <f>C39*'Расчет субсидий'!E39</f>
        <v>-2.4017250243495125</v>
      </c>
      <c r="E39" s="55">
        <f t="shared" si="4"/>
        <v>-740.43973173466134</v>
      </c>
      <c r="F39" s="60" t="s">
        <v>385</v>
      </c>
      <c r="G39" s="60" t="s">
        <v>385</v>
      </c>
      <c r="H39" s="61" t="s">
        <v>385</v>
      </c>
      <c r="I39" s="54">
        <f>'Расчет субсидий'!L39-1</f>
        <v>-0.34615384615384615</v>
      </c>
      <c r="J39" s="54">
        <f>I39*'Расчет субсидий'!M39</f>
        <v>-1.7307692307692308</v>
      </c>
      <c r="K39" s="55">
        <f t="shared" si="5"/>
        <v>-533.58743900021091</v>
      </c>
      <c r="L39" s="54">
        <f>'Расчет субсидий'!P39-1</f>
        <v>-0.11278974663590047</v>
      </c>
      <c r="M39" s="54">
        <f>L39*'Расчет субсидий'!Q39</f>
        <v>-2.2557949327180093</v>
      </c>
      <c r="N39" s="55">
        <f t="shared" si="6"/>
        <v>-695.45021927833432</v>
      </c>
      <c r="O39" s="54">
        <f>'Расчет субсидий'!T39-1</f>
        <v>6.3384223918575122E-2</v>
      </c>
      <c r="P39" s="54">
        <f>O39*'Расчет субсидий'!U39</f>
        <v>0.63384223918575122</v>
      </c>
      <c r="Q39" s="55">
        <f t="shared" si="7"/>
        <v>195.41037079043082</v>
      </c>
      <c r="R39" s="54">
        <f>'Расчет субсидий'!X39-1</f>
        <v>0.10298412698412696</v>
      </c>
      <c r="S39" s="54">
        <f>R39*'Расчет субсидий'!Y39</f>
        <v>1.0298412698412696</v>
      </c>
      <c r="T39" s="55">
        <f t="shared" si="8"/>
        <v>317.49487798965629</v>
      </c>
      <c r="U39" s="60" t="s">
        <v>385</v>
      </c>
      <c r="V39" s="60" t="s">
        <v>385</v>
      </c>
      <c r="W39" s="61" t="s">
        <v>385</v>
      </c>
      <c r="X39" s="73">
        <f>'Расчет субсидий'!AF39-1</f>
        <v>2.1093749999999911E-2</v>
      </c>
      <c r="Y39" s="73">
        <f>X39*'Расчет субсидий'!AG39</f>
        <v>0.21093749999999911</v>
      </c>
      <c r="Z39" s="55">
        <f t="shared" si="9"/>
        <v>65.030969128150431</v>
      </c>
      <c r="AA39" s="73">
        <f>'Расчет субсидий'!AJ39-1</f>
        <v>7.7306100654118248E-2</v>
      </c>
      <c r="AB39" s="73">
        <f>AA39*'Расчет субсидий'!AK39</f>
        <v>1.546122013082365</v>
      </c>
      <c r="AC39" s="55">
        <f t="shared" si="10"/>
        <v>476.6616315312047</v>
      </c>
      <c r="AD39" s="73">
        <f>'Расчет субсидий'!AN39-1</f>
        <v>7.8333333333333366E-2</v>
      </c>
      <c r="AE39" s="73">
        <f>AD39*'Расчет субсидий'!AO39</f>
        <v>0.78333333333333366</v>
      </c>
      <c r="AF39" s="55">
        <f t="shared" si="11"/>
        <v>241.49772239194738</v>
      </c>
      <c r="AG39" s="54">
        <f t="shared" si="12"/>
        <v>-2.1842128323940337</v>
      </c>
    </row>
    <row r="40" spans="1:33" ht="15" customHeight="1">
      <c r="A40" s="30" t="s">
        <v>41</v>
      </c>
      <c r="B40" s="52">
        <f>'Расчет субсидий'!AT40</f>
        <v>109.20000000000073</v>
      </c>
      <c r="C40" s="54">
        <f>'Расчет субсидий'!D40-1</f>
        <v>0.2020710828577621</v>
      </c>
      <c r="D40" s="54">
        <f>C40*'Расчет субсидий'!E40</f>
        <v>2.020710828577621</v>
      </c>
      <c r="E40" s="55">
        <f t="shared" si="4"/>
        <v>229.79047802527941</v>
      </c>
      <c r="F40" s="60" t="s">
        <v>385</v>
      </c>
      <c r="G40" s="60" t="s">
        <v>385</v>
      </c>
      <c r="H40" s="61" t="s">
        <v>385</v>
      </c>
      <c r="I40" s="54">
        <f>'Расчет субсидий'!L40-1</f>
        <v>7.4380165289256173E-2</v>
      </c>
      <c r="J40" s="54">
        <f>I40*'Расчет субсидий'!M40</f>
        <v>0.37190082644628086</v>
      </c>
      <c r="K40" s="55">
        <f t="shared" si="5"/>
        <v>42.291686409797762</v>
      </c>
      <c r="L40" s="54">
        <f>'Расчет субсидий'!P40-1</f>
        <v>-8.8766107594559385E-2</v>
      </c>
      <c r="M40" s="54">
        <f>L40*'Расчет субсидий'!Q40</f>
        <v>-1.7753221518911877</v>
      </c>
      <c r="N40" s="55">
        <f t="shared" si="6"/>
        <v>-201.88545543604641</v>
      </c>
      <c r="O40" s="54">
        <f>'Расчет субсидий'!T40-1</f>
        <v>0.16869047619047617</v>
      </c>
      <c r="P40" s="54">
        <f>O40*'Расчет субсидий'!U40</f>
        <v>0.84345238095238084</v>
      </c>
      <c r="Q40" s="55">
        <f t="shared" si="7"/>
        <v>95.915419004824031</v>
      </c>
      <c r="R40" s="54">
        <f>'Расчет субсидий'!X40-1</f>
        <v>0.13022508038585201</v>
      </c>
      <c r="S40" s="54">
        <f>R40*'Расчет субсидий'!Y40</f>
        <v>0.65112540192926005</v>
      </c>
      <c r="T40" s="55">
        <f t="shared" si="8"/>
        <v>74.044447749629825</v>
      </c>
      <c r="U40" s="60" t="s">
        <v>385</v>
      </c>
      <c r="V40" s="60" t="s">
        <v>385</v>
      </c>
      <c r="W40" s="61" t="s">
        <v>385</v>
      </c>
      <c r="X40" s="73">
        <f>'Расчет субсидий'!AF40-1</f>
        <v>2.1431633090440716E-3</v>
      </c>
      <c r="Y40" s="73">
        <f>X40*'Расчет субсидий'!AG40</f>
        <v>4.2863266180881432E-2</v>
      </c>
      <c r="Z40" s="55">
        <f t="shared" si="9"/>
        <v>4.8743097162312194</v>
      </c>
      <c r="AA40" s="73">
        <f>'Расчет субсидий'!AJ40-1</f>
        <v>-6.4121037463977792E-3</v>
      </c>
      <c r="AB40" s="73">
        <f>AA40*'Расчет субсидий'!AK40</f>
        <v>-9.6181556195966689E-2</v>
      </c>
      <c r="AC40" s="55">
        <f t="shared" si="10"/>
        <v>-10.937540128413023</v>
      </c>
      <c r="AD40" s="73">
        <f>'Расчет субсидий'!AN40-1</f>
        <v>-0.10982758620689659</v>
      </c>
      <c r="AE40" s="73">
        <f>AD40*'Расчет субсидий'!AO40</f>
        <v>-1.0982758620689659</v>
      </c>
      <c r="AF40" s="55">
        <f t="shared" si="11"/>
        <v>-124.89334534130209</v>
      </c>
      <c r="AG40" s="54">
        <f t="shared" si="12"/>
        <v>0.96027313393030389</v>
      </c>
    </row>
    <row r="41" spans="1:33" ht="15" customHeight="1">
      <c r="A41" s="30" t="s">
        <v>2</v>
      </c>
      <c r="B41" s="52">
        <f>'Расчет субсидий'!AT41</f>
        <v>10.709090909091174</v>
      </c>
      <c r="C41" s="54">
        <f>'Расчет субсидий'!D41-1</f>
        <v>7.3014178086254988E-2</v>
      </c>
      <c r="D41" s="54">
        <f>C41*'Расчет субсидий'!E41</f>
        <v>0.73014178086254988</v>
      </c>
      <c r="E41" s="55">
        <f t="shared" si="4"/>
        <v>101.61004675363286</v>
      </c>
      <c r="F41" s="60" t="s">
        <v>385</v>
      </c>
      <c r="G41" s="60" t="s">
        <v>385</v>
      </c>
      <c r="H41" s="61" t="s">
        <v>385</v>
      </c>
      <c r="I41" s="54">
        <f>'Расчет субсидий'!L41-1</f>
        <v>1.5625E-2</v>
      </c>
      <c r="J41" s="54">
        <f>I41*'Расчет субсидий'!M41</f>
        <v>0.234375</v>
      </c>
      <c r="K41" s="55">
        <f t="shared" si="5"/>
        <v>32.61675380328068</v>
      </c>
      <c r="L41" s="54">
        <f>'Расчет субсидий'!P41-1</f>
        <v>0.14388560227328817</v>
      </c>
      <c r="M41" s="54">
        <f>L41*'Расчет субсидий'!Q41</f>
        <v>2.8777120454657634</v>
      </c>
      <c r="N41" s="55">
        <f t="shared" si="6"/>
        <v>400.47626796241946</v>
      </c>
      <c r="O41" s="54">
        <f>'Расчет субсидий'!T41-1</f>
        <v>0.10039177277179245</v>
      </c>
      <c r="P41" s="54">
        <f>O41*'Расчет субсидий'!U41</f>
        <v>0.50195886385896227</v>
      </c>
      <c r="Q41" s="55">
        <f t="shared" si="7"/>
        <v>69.855013042612285</v>
      </c>
      <c r="R41" s="54">
        <f>'Расчет субсидий'!X41-1</f>
        <v>0.11196581196581201</v>
      </c>
      <c r="S41" s="54">
        <f>R41*'Расчет субсидий'!Y41</f>
        <v>0.55982905982906006</v>
      </c>
      <c r="T41" s="55">
        <f t="shared" si="8"/>
        <v>77.908508229830574</v>
      </c>
      <c r="U41" s="60" t="s">
        <v>385</v>
      </c>
      <c r="V41" s="60" t="s">
        <v>385</v>
      </c>
      <c r="W41" s="61" t="s">
        <v>385</v>
      </c>
      <c r="X41" s="73">
        <f>'Расчет субсидий'!AF41-1</f>
        <v>-6.0579455662862158E-2</v>
      </c>
      <c r="Y41" s="73">
        <f>X41*'Расчет субсидий'!AG41</f>
        <v>-0.90869183494293237</v>
      </c>
      <c r="Z41" s="55">
        <f t="shared" si="9"/>
        <v>-126.45793221710929</v>
      </c>
      <c r="AA41" s="73">
        <f>'Расчет субсидий'!AJ41-1</f>
        <v>0.1192127659574469</v>
      </c>
      <c r="AB41" s="73">
        <f>AA41*'Расчет субсидий'!AK41</f>
        <v>1.192127659574469</v>
      </c>
      <c r="AC41" s="55">
        <f t="shared" si="10"/>
        <v>165.90222666419905</v>
      </c>
      <c r="AD41" s="73">
        <f>'Расчет субсидий'!AN41-1</f>
        <v>-0.3407</v>
      </c>
      <c r="AE41" s="73">
        <f>AD41*'Расчет субсидий'!AO41</f>
        <v>-5.1105</v>
      </c>
      <c r="AF41" s="55">
        <f t="shared" si="11"/>
        <v>-711.20179332977455</v>
      </c>
      <c r="AG41" s="54">
        <f t="shared" si="12"/>
        <v>7.6952574647872751E-2</v>
      </c>
    </row>
    <row r="42" spans="1:33" ht="15" customHeight="1">
      <c r="A42" s="30" t="s">
        <v>42</v>
      </c>
      <c r="B42" s="52">
        <f>'Расчет субсидий'!AT42</f>
        <v>23.618181818182165</v>
      </c>
      <c r="C42" s="54">
        <f>'Расчет субсидий'!D42-1</f>
        <v>-0.13275622105439966</v>
      </c>
      <c r="D42" s="54">
        <f>C42*'Расчет субсидий'!E42</f>
        <v>-1.3275622105439966</v>
      </c>
      <c r="E42" s="55">
        <f t="shared" si="4"/>
        <v>-97.37480027468898</v>
      </c>
      <c r="F42" s="60" t="s">
        <v>385</v>
      </c>
      <c r="G42" s="60" t="s">
        <v>385</v>
      </c>
      <c r="H42" s="61" t="s">
        <v>385</v>
      </c>
      <c r="I42" s="54">
        <f>'Расчет субсидий'!L42-1</f>
        <v>7.5268817204301008E-2</v>
      </c>
      <c r="J42" s="54">
        <f>I42*'Расчет субсидий'!M42</f>
        <v>0.75268817204301008</v>
      </c>
      <c r="K42" s="55">
        <f t="shared" si="5"/>
        <v>55.208607054109763</v>
      </c>
      <c r="L42" s="54">
        <f>'Расчет субсидий'!P42-1</f>
        <v>-0.12858967520983644</v>
      </c>
      <c r="M42" s="54">
        <f>L42*'Расчет субсидий'!Q42</f>
        <v>-2.5717935041967288</v>
      </c>
      <c r="N42" s="55">
        <f t="shared" si="6"/>
        <v>-188.63739629669095</v>
      </c>
      <c r="O42" s="54">
        <f>'Расчет субсидий'!T42-1</f>
        <v>0.10282208588957054</v>
      </c>
      <c r="P42" s="54">
        <f>O42*'Расчет субсидий'!U42</f>
        <v>0.51411042944785268</v>
      </c>
      <c r="Q42" s="55">
        <f t="shared" si="7"/>
        <v>37.709268905828161</v>
      </c>
      <c r="R42" s="54">
        <f>'Расчет субсидий'!X42-1</f>
        <v>3.1976744186046568E-2</v>
      </c>
      <c r="S42" s="54">
        <f>R42*'Расчет субсидий'!Y42</f>
        <v>0.15988372093023284</v>
      </c>
      <c r="T42" s="55">
        <f t="shared" si="8"/>
        <v>11.72724356651878</v>
      </c>
      <c r="U42" s="60" t="s">
        <v>385</v>
      </c>
      <c r="V42" s="60" t="s">
        <v>385</v>
      </c>
      <c r="W42" s="61" t="s">
        <v>385</v>
      </c>
      <c r="X42" s="73">
        <f>'Расчет субсидий'!AF42-1</f>
        <v>0</v>
      </c>
      <c r="Y42" s="73">
        <f>X42*'Расчет субсидий'!AG42</f>
        <v>0</v>
      </c>
      <c r="Z42" s="55">
        <f t="shared" si="9"/>
        <v>0</v>
      </c>
      <c r="AA42" s="73">
        <f>'Расчет субсидий'!AJ42-1</f>
        <v>-4.9265905383359954E-3</v>
      </c>
      <c r="AB42" s="73">
        <f>AA42*'Расчет субсидий'!AK42</f>
        <v>-7.389885807503993E-2</v>
      </c>
      <c r="AC42" s="55">
        <f t="shared" si="10"/>
        <v>-5.4203761514392106</v>
      </c>
      <c r="AD42" s="73">
        <f>'Расчет субсидий'!AN42-1</f>
        <v>0.28685714285714292</v>
      </c>
      <c r="AE42" s="73">
        <f>AD42*'Расчет субсидий'!AO42</f>
        <v>2.8685714285714292</v>
      </c>
      <c r="AF42" s="55">
        <f t="shared" si="11"/>
        <v>210.4056350145446</v>
      </c>
      <c r="AG42" s="54">
        <f t="shared" si="12"/>
        <v>0.32199917817675949</v>
      </c>
    </row>
    <row r="43" spans="1:33" ht="15" customHeight="1">
      <c r="A43" s="30" t="s">
        <v>3</v>
      </c>
      <c r="B43" s="52">
        <f>'Расчет субсидий'!AT43</f>
        <v>227.38181818181783</v>
      </c>
      <c r="C43" s="54">
        <f>'Расчет субсидий'!D43-1</f>
        <v>-9.6147016845914313E-2</v>
      </c>
      <c r="D43" s="54">
        <f>C43*'Расчет субсидий'!E43</f>
        <v>-0.96147016845914313</v>
      </c>
      <c r="E43" s="55">
        <f t="shared" si="4"/>
        <v>-78.764793455809198</v>
      </c>
      <c r="F43" s="60" t="s">
        <v>385</v>
      </c>
      <c r="G43" s="60" t="s">
        <v>385</v>
      </c>
      <c r="H43" s="61" t="s">
        <v>385</v>
      </c>
      <c r="I43" s="54">
        <f>'Расчет субсидий'!L43-1</f>
        <v>0.20500000000000007</v>
      </c>
      <c r="J43" s="54">
        <f>I43*'Расчет субсидий'!M43</f>
        <v>2.0500000000000007</v>
      </c>
      <c r="K43" s="55">
        <f t="shared" si="5"/>
        <v>167.93846744426617</v>
      </c>
      <c r="L43" s="54">
        <f>'Расчет субсидий'!P43-1</f>
        <v>-8.0719218753545818E-2</v>
      </c>
      <c r="M43" s="54">
        <f>L43*'Расчет субсидий'!Q43</f>
        <v>-1.6143843750709164</v>
      </c>
      <c r="N43" s="55">
        <f t="shared" si="6"/>
        <v>-132.25231112945315</v>
      </c>
      <c r="O43" s="54">
        <f>'Расчет субсидий'!T43-1</f>
        <v>2.3145123658422806E-2</v>
      </c>
      <c r="P43" s="54">
        <f>O43*'Расчет субсидий'!U43</f>
        <v>0.11572561829211403</v>
      </c>
      <c r="Q43" s="55">
        <f t="shared" si="7"/>
        <v>9.4803819414720767</v>
      </c>
      <c r="R43" s="54">
        <f>'Расчет субсидий'!X43-1</f>
        <v>9.384164222873892E-2</v>
      </c>
      <c r="S43" s="54">
        <f>R43*'Расчет субсидий'!Y43</f>
        <v>0.4692082111436946</v>
      </c>
      <c r="T43" s="55">
        <f t="shared" si="8"/>
        <v>38.438101410603757</v>
      </c>
      <c r="U43" s="60" t="s">
        <v>385</v>
      </c>
      <c r="V43" s="60" t="s">
        <v>385</v>
      </c>
      <c r="W43" s="61" t="s">
        <v>385</v>
      </c>
      <c r="X43" s="73">
        <f>'Расчет субсидий'!AF43-1</f>
        <v>4.1666666666666741E-2</v>
      </c>
      <c r="Y43" s="73">
        <f>X43*'Расчет субсидий'!AG43</f>
        <v>0.83333333333333481</v>
      </c>
      <c r="Z43" s="55">
        <f>$B43*Y43/$AG43</f>
        <v>68.267669692791216</v>
      </c>
      <c r="AA43" s="73">
        <f>'Расчет субсидий'!AJ43-1</f>
        <v>-7.4453096032628951E-2</v>
      </c>
      <c r="AB43" s="73">
        <f>AA43*'Расчет субсидий'!AK43</f>
        <v>-1.1167964404894342</v>
      </c>
      <c r="AC43" s="55">
        <f t="shared" si="10"/>
        <v>-91.489308616101027</v>
      </c>
      <c r="AD43" s="73">
        <f>'Расчет субсидий'!AN43-1</f>
        <v>0.30000000000000004</v>
      </c>
      <c r="AE43" s="73">
        <f>AD43*'Расчет субсидий'!AO43</f>
        <v>3.0000000000000004</v>
      </c>
      <c r="AF43" s="55">
        <f t="shared" si="11"/>
        <v>245.76361089404801</v>
      </c>
      <c r="AG43" s="54">
        <f t="shared" si="12"/>
        <v>2.7756161787496509</v>
      </c>
    </row>
    <row r="44" spans="1:33" ht="15" customHeight="1">
      <c r="A44" s="30" t="s">
        <v>43</v>
      </c>
      <c r="B44" s="52">
        <f>'Расчет субсидий'!AT44</f>
        <v>1182.3272727272724</v>
      </c>
      <c r="C44" s="54">
        <f>'Расчет субсидий'!D44-1</f>
        <v>-2.917851500789892E-2</v>
      </c>
      <c r="D44" s="54">
        <f>C44*'Расчет субсидий'!E44</f>
        <v>-0.2917851500789892</v>
      </c>
      <c r="E44" s="55">
        <f t="shared" si="4"/>
        <v>-35.179574783003645</v>
      </c>
      <c r="F44" s="60" t="s">
        <v>385</v>
      </c>
      <c r="G44" s="60" t="s">
        <v>385</v>
      </c>
      <c r="H44" s="61" t="s">
        <v>385</v>
      </c>
      <c r="I44" s="54">
        <f>'Расчет субсидий'!L44-1</f>
        <v>5.4216867469879526E-2</v>
      </c>
      <c r="J44" s="54">
        <f>I44*'Расчет субсидий'!M44</f>
        <v>0.54216867469879526</v>
      </c>
      <c r="K44" s="55">
        <f t="shared" si="5"/>
        <v>65.367491907675628</v>
      </c>
      <c r="L44" s="54">
        <f>'Расчет субсидий'!P44-1</f>
        <v>7.5115056979013328E-2</v>
      </c>
      <c r="M44" s="54">
        <f>L44*'Расчет субсидий'!Q44</f>
        <v>1.5023011395802666</v>
      </c>
      <c r="N44" s="55">
        <f t="shared" si="6"/>
        <v>181.12750176679131</v>
      </c>
      <c r="O44" s="54">
        <f>'Расчет субсидий'!T44-1</f>
        <v>0.17999999999999994</v>
      </c>
      <c r="P44" s="54">
        <f>O44*'Расчет субсидий'!U44</f>
        <v>0.89999999999999969</v>
      </c>
      <c r="Q44" s="55">
        <f t="shared" si="7"/>
        <v>108.51003656674149</v>
      </c>
      <c r="R44" s="54">
        <f>'Расчет субсидий'!X44-1</f>
        <v>0.1609756097560977</v>
      </c>
      <c r="S44" s="54">
        <f>R44*'Расчет субсидий'!Y44</f>
        <v>0.80487804878048852</v>
      </c>
      <c r="T44" s="55">
        <f t="shared" si="8"/>
        <v>97.041496116598196</v>
      </c>
      <c r="U44" s="60" t="s">
        <v>385</v>
      </c>
      <c r="V44" s="60" t="s">
        <v>385</v>
      </c>
      <c r="W44" s="61" t="s">
        <v>385</v>
      </c>
      <c r="X44" s="73">
        <f>'Расчет субсидий'!AF44-1</f>
        <v>0.12944162436548234</v>
      </c>
      <c r="Y44" s="73">
        <f>X44*'Расчет субсидий'!AG44</f>
        <v>1.9416243654822352</v>
      </c>
      <c r="Z44" s="55">
        <f>$B44*Y44/$AG44</f>
        <v>234.09525655261515</v>
      </c>
      <c r="AA44" s="73">
        <f>'Расчет субсидий'!AJ44-1</f>
        <v>0.2006663117060925</v>
      </c>
      <c r="AB44" s="73">
        <f>AA44*'Расчет субсидий'!AK44</f>
        <v>2.006663117060925</v>
      </c>
      <c r="AC44" s="55">
        <f>$B44*AB44/$AG44</f>
        <v>241.93676467712498</v>
      </c>
      <c r="AD44" s="73">
        <f>'Расчет субсидий'!AN44-1</f>
        <v>0.2400565681961031</v>
      </c>
      <c r="AE44" s="73">
        <f>AD44*'Расчет субсидий'!AO44</f>
        <v>2.400565681961031</v>
      </c>
      <c r="AF44" s="55">
        <f t="shared" si="11"/>
        <v>289.4282999227292</v>
      </c>
      <c r="AG44" s="54">
        <f t="shared" si="12"/>
        <v>9.8064158774847527</v>
      </c>
    </row>
    <row r="45" spans="1:33" ht="15" customHeight="1">
      <c r="A45" s="31" t="s">
        <v>44</v>
      </c>
      <c r="B45" s="51">
        <f>'Расчет субсидий'!AT45</f>
        <v>242.22727272727121</v>
      </c>
      <c r="C45" s="51"/>
      <c r="D45" s="51"/>
      <c r="E45" s="51">
        <f>SUM(E47:E368)</f>
        <v>-3.0988348352197614</v>
      </c>
      <c r="F45" s="51"/>
      <c r="G45" s="51"/>
      <c r="H45" s="51"/>
      <c r="I45" s="51"/>
      <c r="J45" s="51"/>
      <c r="K45" s="51"/>
      <c r="L45" s="51"/>
      <c r="M45" s="51"/>
      <c r="N45" s="51">
        <f>SUM(N47:N368)</f>
        <v>-3177.7826328082633</v>
      </c>
      <c r="O45" s="51"/>
      <c r="P45" s="51"/>
      <c r="Q45" s="51">
        <f>SUM(Q47:Q368)</f>
        <v>973.65876356502417</v>
      </c>
      <c r="R45" s="51"/>
      <c r="S45" s="51"/>
      <c r="T45" s="51">
        <f>SUM(T47:T368)</f>
        <v>2321.0661569215204</v>
      </c>
      <c r="U45" s="51"/>
      <c r="V45" s="51"/>
      <c r="W45" s="51"/>
      <c r="X45" s="74"/>
      <c r="Y45" s="74"/>
      <c r="Z45" s="51">
        <f>SUM(Z47:Z368)</f>
        <v>128.38381988420767</v>
      </c>
      <c r="AA45" s="51"/>
      <c r="AB45" s="51"/>
      <c r="AC45" s="51"/>
      <c r="AD45" s="51"/>
      <c r="AE45" s="51"/>
      <c r="AF45" s="51"/>
      <c r="AG45" s="51"/>
    </row>
    <row r="46" spans="1:33" ht="15" customHeight="1">
      <c r="A46" s="32" t="s">
        <v>45</v>
      </c>
      <c r="B46" s="56"/>
      <c r="C46" s="57"/>
      <c r="D46" s="57"/>
      <c r="E46" s="58"/>
      <c r="F46" s="57"/>
      <c r="G46" s="57"/>
      <c r="H46" s="58"/>
      <c r="I46" s="58"/>
      <c r="J46" s="58"/>
      <c r="K46" s="58"/>
      <c r="L46" s="57"/>
      <c r="M46" s="57"/>
      <c r="N46" s="58"/>
      <c r="O46" s="57"/>
      <c r="P46" s="57"/>
      <c r="Q46" s="58"/>
      <c r="R46" s="57"/>
      <c r="S46" s="57"/>
      <c r="T46" s="58"/>
      <c r="U46" s="58"/>
      <c r="V46" s="58"/>
      <c r="W46" s="58"/>
      <c r="X46" s="75"/>
      <c r="Y46" s="75"/>
      <c r="Z46" s="58"/>
      <c r="AA46" s="58"/>
      <c r="AB46" s="58"/>
      <c r="AC46" s="58"/>
      <c r="AD46" s="58"/>
      <c r="AE46" s="58"/>
      <c r="AF46" s="58"/>
      <c r="AG46" s="58"/>
    </row>
    <row r="47" spans="1:33" ht="15" customHeight="1">
      <c r="A47" s="33" t="s">
        <v>46</v>
      </c>
      <c r="B47" s="52">
        <f>'Расчет субсидий'!AT47</f>
        <v>-16.75454545454545</v>
      </c>
      <c r="C47" s="54">
        <f>'Расчет субсидий'!D47-1</f>
        <v>-0.47704918032786892</v>
      </c>
      <c r="D47" s="54">
        <f>C47*'Расчет субсидий'!E47</f>
        <v>-4.7704918032786896</v>
      </c>
      <c r="E47" s="55">
        <f>$B47*D47/$AG47</f>
        <v>-13.137322015626877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4">
        <f>'Расчет субсидий'!P47-1</f>
        <v>-0.64257964257964262</v>
      </c>
      <c r="M47" s="54">
        <f>L47*'Расчет субсидий'!Q47</f>
        <v>-12.851592851592851</v>
      </c>
      <c r="N47" s="55">
        <f>$B47*M47/$AG47</f>
        <v>-35.391636893509713</v>
      </c>
      <c r="O47" s="54">
        <f>'Расчет субсидий'!T47-1</f>
        <v>0.24083333333333323</v>
      </c>
      <c r="P47" s="54">
        <f>O47*'Расчет субсидий'!U47</f>
        <v>7.224999999999997</v>
      </c>
      <c r="Q47" s="55">
        <f>$B47*P47/$AG47</f>
        <v>19.896722492567534</v>
      </c>
      <c r="R47" s="54">
        <f>'Расчет субсидий'!X47-1</f>
        <v>0.18571428571428572</v>
      </c>
      <c r="S47" s="54">
        <f>R47*'Расчет субсидий'!Y47</f>
        <v>3.7142857142857144</v>
      </c>
      <c r="T47" s="55">
        <f>$B47*S47/$AG47</f>
        <v>10.228666036712923</v>
      </c>
      <c r="U47" s="60" t="s">
        <v>385</v>
      </c>
      <c r="V47" s="60" t="s">
        <v>385</v>
      </c>
      <c r="W47" s="61" t="s">
        <v>385</v>
      </c>
      <c r="X47" s="73">
        <f>'Расчет субсидий'!AF47-1</f>
        <v>2.9940119760478945E-2</v>
      </c>
      <c r="Y47" s="73">
        <f>X47*'Расчет субсидий'!AG47</f>
        <v>0.5988023952095789</v>
      </c>
      <c r="Z47" s="55">
        <f>$B47*Y47/$AG47</f>
        <v>1.6490249253106914</v>
      </c>
      <c r="AA47" s="27" t="s">
        <v>367</v>
      </c>
      <c r="AB47" s="27" t="s">
        <v>367</v>
      </c>
      <c r="AC47" s="27" t="s">
        <v>367</v>
      </c>
      <c r="AD47" s="27" t="s">
        <v>367</v>
      </c>
      <c r="AE47" s="27" t="s">
        <v>367</v>
      </c>
      <c r="AF47" s="27" t="s">
        <v>367</v>
      </c>
      <c r="AG47" s="54">
        <f>D47+M47+P47+S47+Y47</f>
        <v>-6.0839965453762517</v>
      </c>
    </row>
    <row r="48" spans="1:33" ht="15" customHeight="1">
      <c r="A48" s="33" t="s">
        <v>47</v>
      </c>
      <c r="B48" s="52">
        <f>'Расчет субсидий'!AT48</f>
        <v>22.936363636363581</v>
      </c>
      <c r="C48" s="54">
        <f>'Расчет субсидий'!D48-1</f>
        <v>0.20161175710594303</v>
      </c>
      <c r="D48" s="54">
        <f>C48*'Расчет субсидий'!E48</f>
        <v>2.0161175710594303</v>
      </c>
      <c r="E48" s="55">
        <f>$B48*D48/$AG48</f>
        <v>10.36664549439676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4">
        <f>'Расчет субсидий'!P48-1</f>
        <v>3.061024265812029E-2</v>
      </c>
      <c r="M48" s="54">
        <f>L48*'Расчет субсидий'!Q48</f>
        <v>0.6122048531624058</v>
      </c>
      <c r="N48" s="55">
        <f>$B48*M48/$AG48</f>
        <v>3.1478871935771666</v>
      </c>
      <c r="O48" s="54">
        <f>'Расчет субсидий'!T48-1</f>
        <v>7.9487179487179427E-2</v>
      </c>
      <c r="P48" s="54">
        <f>O48*'Расчет субсидий'!U48</f>
        <v>1.9871794871794857</v>
      </c>
      <c r="Q48" s="55">
        <f>$B48*P48/$AG48</f>
        <v>10.217849183518489</v>
      </c>
      <c r="R48" s="54">
        <f>'Расчет субсидий'!X48-1</f>
        <v>5.3333333333333455E-2</v>
      </c>
      <c r="S48" s="54">
        <f>R48*'Расчет субсидий'!Y48</f>
        <v>1.3333333333333364</v>
      </c>
      <c r="T48" s="55">
        <f>$B48*S48/$AG48</f>
        <v>6.8558471941027497</v>
      </c>
      <c r="U48" s="60" t="s">
        <v>385</v>
      </c>
      <c r="V48" s="60" t="s">
        <v>385</v>
      </c>
      <c r="W48" s="61" t="s">
        <v>385</v>
      </c>
      <c r="X48" s="73">
        <f>'Расчет субсидий'!AF48-1</f>
        <v>-7.440719542109564E-2</v>
      </c>
      <c r="Y48" s="73">
        <f>X48*'Расчет субсидий'!AG48</f>
        <v>-1.4881439084219128</v>
      </c>
      <c r="Z48" s="55">
        <f t="shared" ref="Z48:Z111" si="13">$B48*Y48/$AG48</f>
        <v>-7.6518654292315844</v>
      </c>
      <c r="AA48" s="27" t="s">
        <v>367</v>
      </c>
      <c r="AB48" s="27" t="s">
        <v>367</v>
      </c>
      <c r="AC48" s="27" t="s">
        <v>367</v>
      </c>
      <c r="AD48" s="27" t="s">
        <v>367</v>
      </c>
      <c r="AE48" s="27" t="s">
        <v>367</v>
      </c>
      <c r="AF48" s="27" t="s">
        <v>367</v>
      </c>
      <c r="AG48" s="54">
        <f t="shared" ref="AG48:AG111" si="14">D48+M48+P48+S48+Y48</f>
        <v>4.4606913363127454</v>
      </c>
    </row>
    <row r="49" spans="1:33" ht="15" customHeight="1">
      <c r="A49" s="33" t="s">
        <v>48</v>
      </c>
      <c r="B49" s="52">
        <f>'Расчет субсидий'!AT49</f>
        <v>-5.6636363636363853</v>
      </c>
      <c r="C49" s="54">
        <f>'Расчет субсидий'!D49-1</f>
        <v>-3.9855072463768071E-3</v>
      </c>
      <c r="D49" s="54">
        <f>C49*'Расчет субсидий'!E49</f>
        <v>-3.9855072463768071E-2</v>
      </c>
      <c r="E49" s="55">
        <f>$B49*D49/$AG49</f>
        <v>-0.15318533796578812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4">
        <f>'Расчет субсидий'!P49-1</f>
        <v>-0.16300366300366309</v>
      </c>
      <c r="M49" s="54">
        <f>L49*'Расчет субсидий'!Q49</f>
        <v>-3.2600732600732618</v>
      </c>
      <c r="N49" s="55">
        <f>$B49*M49/$AG49</f>
        <v>-12.530285187451302</v>
      </c>
      <c r="O49" s="54">
        <f>'Расчет субсидий'!T49-1</f>
        <v>5.0000000000000044E-2</v>
      </c>
      <c r="P49" s="54">
        <f>O49*'Расчет субсидий'!U49</f>
        <v>1.5000000000000013</v>
      </c>
      <c r="Q49" s="55">
        <f>$B49*P49/$AG49</f>
        <v>5.7653390834396738</v>
      </c>
      <c r="R49" s="54">
        <f>'Расчет субсидий'!X49-1</f>
        <v>2.4999999999999911E-2</v>
      </c>
      <c r="S49" s="54">
        <f>R49*'Расчет субсидий'!Y49</f>
        <v>0.49999999999999822</v>
      </c>
      <c r="T49" s="55">
        <f>$B49*S49/$AG49</f>
        <v>1.9217796944798826</v>
      </c>
      <c r="U49" s="60" t="s">
        <v>385</v>
      </c>
      <c r="V49" s="60" t="s">
        <v>385</v>
      </c>
      <c r="W49" s="61" t="s">
        <v>385</v>
      </c>
      <c r="X49" s="73">
        <f>'Расчет субсидий'!AF49-1</f>
        <v>-8.6805555555555802E-3</v>
      </c>
      <c r="Y49" s="73">
        <f>X49*'Расчет субсидий'!AG49</f>
        <v>-0.1736111111111116</v>
      </c>
      <c r="Z49" s="55">
        <f t="shared" si="13"/>
        <v>-0.66728461613885237</v>
      </c>
      <c r="AA49" s="27" t="s">
        <v>367</v>
      </c>
      <c r="AB49" s="27" t="s">
        <v>367</v>
      </c>
      <c r="AC49" s="27" t="s">
        <v>367</v>
      </c>
      <c r="AD49" s="27" t="s">
        <v>367</v>
      </c>
      <c r="AE49" s="27" t="s">
        <v>367</v>
      </c>
      <c r="AF49" s="27" t="s">
        <v>367</v>
      </c>
      <c r="AG49" s="54">
        <f t="shared" si="14"/>
        <v>-1.4735394436481419</v>
      </c>
    </row>
    <row r="50" spans="1:33" ht="15" customHeight="1">
      <c r="A50" s="33" t="s">
        <v>49</v>
      </c>
      <c r="B50" s="52">
        <f>'Расчет субсидий'!AT50</f>
        <v>23.427272727272708</v>
      </c>
      <c r="C50" s="54">
        <f>'Расчет субсидий'!D50-1</f>
        <v>-1</v>
      </c>
      <c r="D50" s="54">
        <f>C50*'Расчет субсидий'!E50</f>
        <v>0</v>
      </c>
      <c r="E50" s="55">
        <f>$B50*D50/$AG50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4">
        <f>'Расчет субсидий'!P50-1</f>
        <v>0.26912875867386266</v>
      </c>
      <c r="M50" s="54">
        <f>L50*'Расчет субсидий'!Q50</f>
        <v>5.3825751734772531</v>
      </c>
      <c r="N50" s="55">
        <f>$B50*M50/$AG50</f>
        <v>13.477680851263443</v>
      </c>
      <c r="O50" s="54">
        <f>'Расчет субсидий'!T50-1</f>
        <v>9.473684210526323E-2</v>
      </c>
      <c r="P50" s="54">
        <f>O50*'Расчет субсидий'!U50</f>
        <v>2.3684210526315805</v>
      </c>
      <c r="Q50" s="55">
        <f>$B50*P50/$AG50</f>
        <v>5.930399862517918</v>
      </c>
      <c r="R50" s="54">
        <f>'Расчет субсидий'!X50-1</f>
        <v>1.4285714285714235E-2</v>
      </c>
      <c r="S50" s="54">
        <f>R50*'Расчет субсидий'!Y50</f>
        <v>0.35714285714285587</v>
      </c>
      <c r="T50" s="55">
        <f>$B50*S50/$AG50</f>
        <v>0.89426664593523786</v>
      </c>
      <c r="U50" s="60" t="s">
        <v>385</v>
      </c>
      <c r="V50" s="60" t="s">
        <v>385</v>
      </c>
      <c r="W50" s="61" t="s">
        <v>385</v>
      </c>
      <c r="X50" s="73">
        <f>'Расчет субсидий'!AF50-1</f>
        <v>6.2400000000000011E-2</v>
      </c>
      <c r="Y50" s="73">
        <f>X50*'Расчет субсидий'!AG50</f>
        <v>1.2480000000000002</v>
      </c>
      <c r="Z50" s="55">
        <f t="shared" si="13"/>
        <v>3.1249253675561066</v>
      </c>
      <c r="AA50" s="27" t="s">
        <v>367</v>
      </c>
      <c r="AB50" s="27" t="s">
        <v>367</v>
      </c>
      <c r="AC50" s="27" t="s">
        <v>367</v>
      </c>
      <c r="AD50" s="27" t="s">
        <v>367</v>
      </c>
      <c r="AE50" s="27" t="s">
        <v>367</v>
      </c>
      <c r="AF50" s="27" t="s">
        <v>367</v>
      </c>
      <c r="AG50" s="54">
        <f t="shared" si="14"/>
        <v>9.3561390832516906</v>
      </c>
    </row>
    <row r="51" spans="1:33" ht="15" customHeight="1">
      <c r="A51" s="33" t="s">
        <v>50</v>
      </c>
      <c r="B51" s="52">
        <f>'Расчет субсидий'!AT51</f>
        <v>14.572727272727263</v>
      </c>
      <c r="C51" s="54">
        <f>'Расчет субсидий'!D51-1</f>
        <v>8.1866666666666532E-2</v>
      </c>
      <c r="D51" s="54">
        <f>C51*'Расчет субсидий'!E51</f>
        <v>0.81866666666666532</v>
      </c>
      <c r="E51" s="55">
        <f>$B51*D51/$AG51</f>
        <v>4.0235008686318174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4">
        <f>'Расчет субсидий'!P51-1</f>
        <v>-0.20460266091334067</v>
      </c>
      <c r="M51" s="54">
        <f>L51*'Расчет субсидий'!Q51</f>
        <v>-4.0920532182668135</v>
      </c>
      <c r="N51" s="55">
        <f>$B51*M51/$AG51</f>
        <v>-20.111212961951352</v>
      </c>
      <c r="O51" s="54">
        <f>'Расчет субсидий'!T51-1</f>
        <v>0.17000000000000015</v>
      </c>
      <c r="P51" s="54">
        <f>O51*'Расчет субсидий'!U51</f>
        <v>5.100000000000005</v>
      </c>
      <c r="Q51" s="55">
        <f>$B51*P51/$AG51</f>
        <v>25.06496876631391</v>
      </c>
      <c r="R51" s="54">
        <f>'Расчет субсидий'!X51-1</f>
        <v>6.25E-2</v>
      </c>
      <c r="S51" s="54">
        <f>R51*'Расчет субсидий'!Y51</f>
        <v>1.25</v>
      </c>
      <c r="T51" s="55">
        <f>$B51*S51/$AG51</f>
        <v>6.1433746976259531</v>
      </c>
      <c r="U51" s="60" t="s">
        <v>385</v>
      </c>
      <c r="V51" s="60" t="s">
        <v>385</v>
      </c>
      <c r="W51" s="61" t="s">
        <v>385</v>
      </c>
      <c r="X51" s="73">
        <f>'Расчет субсидий'!AF51-1</f>
        <v>-5.5741360089186509E-3</v>
      </c>
      <c r="Y51" s="73">
        <f>X51*'Расчет субсидий'!AG51</f>
        <v>-0.11148272017837302</v>
      </c>
      <c r="Z51" s="55">
        <f t="shared" si="13"/>
        <v>-0.54790409789306482</v>
      </c>
      <c r="AA51" s="27" t="s">
        <v>367</v>
      </c>
      <c r="AB51" s="27" t="s">
        <v>367</v>
      </c>
      <c r="AC51" s="27" t="s">
        <v>367</v>
      </c>
      <c r="AD51" s="27" t="s">
        <v>367</v>
      </c>
      <c r="AE51" s="27" t="s">
        <v>367</v>
      </c>
      <c r="AF51" s="27" t="s">
        <v>367</v>
      </c>
      <c r="AG51" s="54">
        <f t="shared" si="14"/>
        <v>2.9651307282214838</v>
      </c>
    </row>
    <row r="52" spans="1:33" ht="15" customHeight="1">
      <c r="A52" s="32" t="s">
        <v>51</v>
      </c>
      <c r="B52" s="56"/>
      <c r="C52" s="57"/>
      <c r="D52" s="57"/>
      <c r="E52" s="58"/>
      <c r="F52" s="57"/>
      <c r="G52" s="57"/>
      <c r="H52" s="58"/>
      <c r="I52" s="58"/>
      <c r="J52" s="58"/>
      <c r="K52" s="58"/>
      <c r="L52" s="57"/>
      <c r="M52" s="57"/>
      <c r="N52" s="58"/>
      <c r="O52" s="57"/>
      <c r="P52" s="57"/>
      <c r="Q52" s="58"/>
      <c r="R52" s="57"/>
      <c r="S52" s="57"/>
      <c r="T52" s="58"/>
      <c r="U52" s="58"/>
      <c r="V52" s="58"/>
      <c r="W52" s="58"/>
      <c r="X52" s="75"/>
      <c r="Y52" s="75"/>
      <c r="Z52" s="58"/>
      <c r="AA52" s="58"/>
      <c r="AB52" s="58"/>
      <c r="AC52" s="58"/>
      <c r="AD52" s="58"/>
      <c r="AE52" s="58"/>
      <c r="AF52" s="58"/>
      <c r="AG52" s="58"/>
    </row>
    <row r="53" spans="1:33" ht="15" customHeight="1">
      <c r="A53" s="33" t="s">
        <v>52</v>
      </c>
      <c r="B53" s="52">
        <f>'Расчет субсидий'!AT53</f>
        <v>-1.7454545454545443</v>
      </c>
      <c r="C53" s="54">
        <f>'Расчет субсидий'!D53-1</f>
        <v>-0.15874212633933393</v>
      </c>
      <c r="D53" s="54">
        <f>C53*'Расчет субсидий'!E53</f>
        <v>-1.5874212633933393</v>
      </c>
      <c r="E53" s="55">
        <f t="shared" ref="E53:E64" si="15">$B53*D53/$AG53</f>
        <v>-0.19977124127916704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4">
        <f>'Расчет субсидий'!P53-1</f>
        <v>-2.876033408683365E-3</v>
      </c>
      <c r="M53" s="54">
        <f>L53*'Расчет субсидий'!Q53</f>
        <v>-5.75206681736673E-2</v>
      </c>
      <c r="N53" s="55">
        <f t="shared" ref="N53:N64" si="16">$B53*M53/$AG53</f>
        <v>-7.2387686528130515E-3</v>
      </c>
      <c r="O53" s="54">
        <f>'Расчет субсидий'!T53-1</f>
        <v>9.9999999999999867E-2</v>
      </c>
      <c r="P53" s="54">
        <f>O53*'Расчет субсидий'!U53</f>
        <v>2.4999999999999964</v>
      </c>
      <c r="Q53" s="55">
        <f t="shared" ref="Q53:Q64" si="17">$B53*P53/$AG53</f>
        <v>0.31461598424750725</v>
      </c>
      <c r="R53" s="54">
        <f>'Расчет субсидий'!X53-1</f>
        <v>1.9704433497536922E-2</v>
      </c>
      <c r="S53" s="54">
        <f>R53*'Расчет субсидий'!Y53</f>
        <v>0.49261083743842304</v>
      </c>
      <c r="T53" s="55">
        <f t="shared" ref="T53:T64" si="18">$B53*S53/$AG53</f>
        <v>6.199329738867139E-2</v>
      </c>
      <c r="U53" s="60" t="s">
        <v>385</v>
      </c>
      <c r="V53" s="60" t="s">
        <v>385</v>
      </c>
      <c r="W53" s="61" t="s">
        <v>385</v>
      </c>
      <c r="X53" s="73">
        <f>'Расчет субсидий'!AF53-1</f>
        <v>-0.76086956521739135</v>
      </c>
      <c r="Y53" s="73">
        <f>X53*'Расчет субсидий'!AG53</f>
        <v>-15.217391304347828</v>
      </c>
      <c r="Z53" s="55">
        <f t="shared" si="13"/>
        <v>-1.9150538171587428</v>
      </c>
      <c r="AA53" s="27" t="s">
        <v>367</v>
      </c>
      <c r="AB53" s="27" t="s">
        <v>367</v>
      </c>
      <c r="AC53" s="27" t="s">
        <v>367</v>
      </c>
      <c r="AD53" s="27" t="s">
        <v>367</v>
      </c>
      <c r="AE53" s="27" t="s">
        <v>367</v>
      </c>
      <c r="AF53" s="27" t="s">
        <v>367</v>
      </c>
      <c r="AG53" s="54">
        <f t="shared" si="14"/>
        <v>-13.869722398476416</v>
      </c>
    </row>
    <row r="54" spans="1:33" ht="15" customHeight="1">
      <c r="A54" s="33" t="s">
        <v>53</v>
      </c>
      <c r="B54" s="52">
        <f>'Расчет субсидий'!AT54</f>
        <v>-5.0727272727272776</v>
      </c>
      <c r="C54" s="54">
        <f>'Расчет субсидий'!D54-1</f>
        <v>0.24666666666666659</v>
      </c>
      <c r="D54" s="54">
        <f>C54*'Расчет субсидий'!E54</f>
        <v>2.4666666666666659</v>
      </c>
      <c r="E54" s="55">
        <f t="shared" si="15"/>
        <v>3.2547228435176017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4">
        <f>'Расчет субсидий'!P54-1</f>
        <v>-0.42778693025809988</v>
      </c>
      <c r="M54" s="54">
        <f>L54*'Расчет субсидий'!Q54</f>
        <v>-8.5557386051619986</v>
      </c>
      <c r="N54" s="55">
        <f t="shared" si="16"/>
        <v>-11.289145087048455</v>
      </c>
      <c r="O54" s="54">
        <f>'Расчет субсидий'!T54-1</f>
        <v>0</v>
      </c>
      <c r="P54" s="54">
        <f>O54*'Расчет субсидий'!U54</f>
        <v>0</v>
      </c>
      <c r="Q54" s="55">
        <f t="shared" si="17"/>
        <v>0</v>
      </c>
      <c r="R54" s="54">
        <f>'Расчет субсидий'!X54-1</f>
        <v>5.5555555555555358E-3</v>
      </c>
      <c r="S54" s="54">
        <f>R54*'Расчет субсидий'!Y54</f>
        <v>0.16666666666666607</v>
      </c>
      <c r="T54" s="55">
        <f t="shared" si="18"/>
        <v>0.21991370564308046</v>
      </c>
      <c r="U54" s="60" t="s">
        <v>385</v>
      </c>
      <c r="V54" s="60" t="s">
        <v>385</v>
      </c>
      <c r="W54" s="61" t="s">
        <v>385</v>
      </c>
      <c r="X54" s="73">
        <f>'Расчет субсидий'!AF54-1</f>
        <v>0.10389610389610393</v>
      </c>
      <c r="Y54" s="73">
        <f>X54*'Расчет субсидий'!AG54</f>
        <v>2.0779220779220786</v>
      </c>
      <c r="Z54" s="55">
        <f t="shared" si="13"/>
        <v>2.7417812651604945</v>
      </c>
      <c r="AA54" s="27" t="s">
        <v>367</v>
      </c>
      <c r="AB54" s="27" t="s">
        <v>367</v>
      </c>
      <c r="AC54" s="27" t="s">
        <v>367</v>
      </c>
      <c r="AD54" s="27" t="s">
        <v>367</v>
      </c>
      <c r="AE54" s="27" t="s">
        <v>367</v>
      </c>
      <c r="AF54" s="27" t="s">
        <v>367</v>
      </c>
      <c r="AG54" s="54">
        <f t="shared" si="14"/>
        <v>-3.844483193906588</v>
      </c>
    </row>
    <row r="55" spans="1:33" ht="15" customHeight="1">
      <c r="A55" s="33" t="s">
        <v>54</v>
      </c>
      <c r="B55" s="52">
        <f>'Расчет субсидий'!AT55</f>
        <v>16.909090909090907</v>
      </c>
      <c r="C55" s="54">
        <f>'Расчет субсидий'!D55-1</f>
        <v>-1</v>
      </c>
      <c r="D55" s="54">
        <f>C55*'Расчет субсидий'!E55</f>
        <v>0</v>
      </c>
      <c r="E55" s="55">
        <f t="shared" si="15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4">
        <f>'Расчет субсидий'!P55-1</f>
        <v>0.30000000000000004</v>
      </c>
      <c r="M55" s="54">
        <f>L55*'Расчет субсидий'!Q55</f>
        <v>6.0000000000000009</v>
      </c>
      <c r="N55" s="55">
        <f t="shared" si="16"/>
        <v>9.4785860564508955</v>
      </c>
      <c r="O55" s="54">
        <f>'Расчет субсидий'!T55-1</f>
        <v>0</v>
      </c>
      <c r="P55" s="54">
        <f>O55*'Расчет субсидий'!U55</f>
        <v>0</v>
      </c>
      <c r="Q55" s="55">
        <f t="shared" si="17"/>
        <v>0</v>
      </c>
      <c r="R55" s="54">
        <f>'Расчет субсидий'!X55-1</f>
        <v>4.705882352941182E-2</v>
      </c>
      <c r="S55" s="54">
        <f>R55*'Расчет субсидий'!Y55</f>
        <v>0.94117647058823639</v>
      </c>
      <c r="T55" s="55">
        <f t="shared" si="18"/>
        <v>1.4868370284628869</v>
      </c>
      <c r="U55" s="60" t="s">
        <v>385</v>
      </c>
      <c r="V55" s="60" t="s">
        <v>385</v>
      </c>
      <c r="W55" s="61" t="s">
        <v>385</v>
      </c>
      <c r="X55" s="73">
        <f>'Расчет субсидий'!AF55-1</f>
        <v>0.18811881188118806</v>
      </c>
      <c r="Y55" s="73">
        <f>X55*'Расчет субсидий'!AG55</f>
        <v>3.7623762376237613</v>
      </c>
      <c r="Z55" s="55">
        <f t="shared" si="13"/>
        <v>5.9436678241771261</v>
      </c>
      <c r="AA55" s="27" t="s">
        <v>367</v>
      </c>
      <c r="AB55" s="27" t="s">
        <v>367</v>
      </c>
      <c r="AC55" s="27" t="s">
        <v>367</v>
      </c>
      <c r="AD55" s="27" t="s">
        <v>367</v>
      </c>
      <c r="AE55" s="27" t="s">
        <v>367</v>
      </c>
      <c r="AF55" s="27" t="s">
        <v>367</v>
      </c>
      <c r="AG55" s="54">
        <f t="shared" si="14"/>
        <v>10.703552708211998</v>
      </c>
    </row>
    <row r="56" spans="1:33" ht="15" customHeight="1">
      <c r="A56" s="33" t="s">
        <v>55</v>
      </c>
      <c r="B56" s="52">
        <f>'Расчет субсидий'!AT56</f>
        <v>-4.4727272727272407</v>
      </c>
      <c r="C56" s="54">
        <f>'Расчет субсидий'!D56-1</f>
        <v>-1</v>
      </c>
      <c r="D56" s="54">
        <f>C56*'Расчет субсидий'!E56</f>
        <v>0</v>
      </c>
      <c r="E56" s="55">
        <f t="shared" si="15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4">
        <f>'Расчет субсидий'!P56-1</f>
        <v>-0.24062307849969256</v>
      </c>
      <c r="M56" s="54">
        <f>L56*'Расчет субсидий'!Q56</f>
        <v>-4.8124615699938511</v>
      </c>
      <c r="N56" s="55">
        <f t="shared" si="16"/>
        <v>-15.148779265439613</v>
      </c>
      <c r="O56" s="54">
        <f>'Расчет субсидий'!T56-1</f>
        <v>-5.5238095238095197E-2</v>
      </c>
      <c r="P56" s="54">
        <f>O56*'Расчет субсидий'!U56</f>
        <v>-1.38095238095238</v>
      </c>
      <c r="Q56" s="55">
        <f t="shared" si="17"/>
        <v>-4.3469942545759608</v>
      </c>
      <c r="R56" s="54">
        <f>'Расчет субсидий'!X56-1</f>
        <v>2.0833333333333259E-2</v>
      </c>
      <c r="S56" s="54">
        <f>R56*'Расчет субсидий'!Y56</f>
        <v>0.52083333333333148</v>
      </c>
      <c r="T56" s="55">
        <f t="shared" si="18"/>
        <v>1.6394913675663598</v>
      </c>
      <c r="U56" s="60" t="s">
        <v>385</v>
      </c>
      <c r="V56" s="60" t="s">
        <v>385</v>
      </c>
      <c r="W56" s="61" t="s">
        <v>385</v>
      </c>
      <c r="X56" s="73">
        <f>'Расчет субсидий'!AF56-1</f>
        <v>0.21258426966292121</v>
      </c>
      <c r="Y56" s="73">
        <f>X56*'Расчет субсидий'!AG56</f>
        <v>4.2516853932584242</v>
      </c>
      <c r="Z56" s="55">
        <f t="shared" si="13"/>
        <v>13.383554879721974</v>
      </c>
      <c r="AA56" s="27" t="s">
        <v>367</v>
      </c>
      <c r="AB56" s="27" t="s">
        <v>367</v>
      </c>
      <c r="AC56" s="27" t="s">
        <v>367</v>
      </c>
      <c r="AD56" s="27" t="s">
        <v>367</v>
      </c>
      <c r="AE56" s="27" t="s">
        <v>367</v>
      </c>
      <c r="AF56" s="27" t="s">
        <v>367</v>
      </c>
      <c r="AG56" s="54">
        <f t="shared" si="14"/>
        <v>-1.4208952243544761</v>
      </c>
    </row>
    <row r="57" spans="1:33" ht="15" customHeight="1">
      <c r="A57" s="33" t="s">
        <v>56</v>
      </c>
      <c r="B57" s="52">
        <f>'Расчет субсидий'!AT57</f>
        <v>1.9636363636363967</v>
      </c>
      <c r="C57" s="54">
        <f>'Расчет субсидий'!D57-1</f>
        <v>-1</v>
      </c>
      <c r="D57" s="54">
        <f>C57*'Расчет субсидий'!E57</f>
        <v>0</v>
      </c>
      <c r="E57" s="55">
        <f t="shared" si="15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4">
        <f>'Расчет субсидий'!P57-1</f>
        <v>-0.26840408382589998</v>
      </c>
      <c r="M57" s="54">
        <f>L57*'Расчет субсидий'!Q57</f>
        <v>-5.3680816765179991</v>
      </c>
      <c r="N57" s="55">
        <f t="shared" si="16"/>
        <v>-17.071275866427271</v>
      </c>
      <c r="O57" s="54">
        <f>'Расчет субсидий'!T57-1</f>
        <v>8.0275715800636416E-2</v>
      </c>
      <c r="P57" s="54">
        <f>O57*'Расчет субсидий'!U57</f>
        <v>2.4082714740190925</v>
      </c>
      <c r="Q57" s="55">
        <f t="shared" si="17"/>
        <v>7.6586514832789954</v>
      </c>
      <c r="R57" s="54">
        <f>'Расчет субсидий'!X57-1</f>
        <v>9.000000000000008E-2</v>
      </c>
      <c r="S57" s="54">
        <f>R57*'Расчет субсидий'!Y57</f>
        <v>1.8000000000000016</v>
      </c>
      <c r="T57" s="55">
        <f t="shared" si="18"/>
        <v>5.7242602499858011</v>
      </c>
      <c r="U57" s="60" t="s">
        <v>385</v>
      </c>
      <c r="V57" s="60" t="s">
        <v>385</v>
      </c>
      <c r="W57" s="61" t="s">
        <v>385</v>
      </c>
      <c r="X57" s="73">
        <f>'Расчет субсидий'!AF57-1</f>
        <v>8.8863892013498313E-2</v>
      </c>
      <c r="Y57" s="73">
        <f>X57*'Расчет субсидий'!AG57</f>
        <v>1.7772778402699663</v>
      </c>
      <c r="Z57" s="55">
        <f t="shared" si="13"/>
        <v>5.6520004967988733</v>
      </c>
      <c r="AA57" s="27" t="s">
        <v>367</v>
      </c>
      <c r="AB57" s="27" t="s">
        <v>367</v>
      </c>
      <c r="AC57" s="27" t="s">
        <v>367</v>
      </c>
      <c r="AD57" s="27" t="s">
        <v>367</v>
      </c>
      <c r="AE57" s="27" t="s">
        <v>367</v>
      </c>
      <c r="AF57" s="27" t="s">
        <v>367</v>
      </c>
      <c r="AG57" s="54">
        <f t="shared" si="14"/>
        <v>0.61746763777106128</v>
      </c>
    </row>
    <row r="58" spans="1:33" ht="15" customHeight="1">
      <c r="A58" s="33" t="s">
        <v>57</v>
      </c>
      <c r="B58" s="52">
        <f>'Расчет субсидий'!AT58</f>
        <v>20.699999999999989</v>
      </c>
      <c r="C58" s="54">
        <f>'Расчет субсидий'!D58-1</f>
        <v>-1</v>
      </c>
      <c r="D58" s="54">
        <f>C58*'Расчет субсидий'!E58</f>
        <v>0</v>
      </c>
      <c r="E58" s="55">
        <f t="shared" si="15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4">
        <f>'Расчет субсидий'!P58-1</f>
        <v>0.30000000000000004</v>
      </c>
      <c r="M58" s="54">
        <f>L58*'Расчет субсидий'!Q58</f>
        <v>6.0000000000000009</v>
      </c>
      <c r="N58" s="55">
        <f t="shared" si="16"/>
        <v>21.039952415529832</v>
      </c>
      <c r="O58" s="54">
        <f>'Расчет субсидий'!T58-1</f>
        <v>1.7647058823529349E-2</v>
      </c>
      <c r="P58" s="54">
        <f>O58*'Расчет субсидий'!U58</f>
        <v>0.52941176470588047</v>
      </c>
      <c r="Q58" s="55">
        <f t="shared" si="17"/>
        <v>1.8564663896055666</v>
      </c>
      <c r="R58" s="54">
        <f>'Расчет субсидий'!X58-1</f>
        <v>4.0000000000000036E-2</v>
      </c>
      <c r="S58" s="54">
        <f>R58*'Расчет субсидий'!Y58</f>
        <v>0.80000000000000071</v>
      </c>
      <c r="T58" s="55">
        <f t="shared" si="18"/>
        <v>2.8053269887373133</v>
      </c>
      <c r="U58" s="60" t="s">
        <v>385</v>
      </c>
      <c r="V58" s="60" t="s">
        <v>385</v>
      </c>
      <c r="W58" s="61" t="s">
        <v>385</v>
      </c>
      <c r="X58" s="73">
        <f>'Расчет субсидий'!AF58-1</f>
        <v>-7.1317829457364312E-2</v>
      </c>
      <c r="Y58" s="73">
        <f>X58*'Расчет субсидий'!AG58</f>
        <v>-1.4263565891472862</v>
      </c>
      <c r="Z58" s="55">
        <f t="shared" si="13"/>
        <v>-5.0017457938727219</v>
      </c>
      <c r="AA58" s="27" t="s">
        <v>367</v>
      </c>
      <c r="AB58" s="27" t="s">
        <v>367</v>
      </c>
      <c r="AC58" s="27" t="s">
        <v>367</v>
      </c>
      <c r="AD58" s="27" t="s">
        <v>367</v>
      </c>
      <c r="AE58" s="27" t="s">
        <v>367</v>
      </c>
      <c r="AF58" s="27" t="s">
        <v>367</v>
      </c>
      <c r="AG58" s="54">
        <f t="shared" si="14"/>
        <v>5.9030551755585954</v>
      </c>
    </row>
    <row r="59" spans="1:33" ht="15" customHeight="1">
      <c r="A59" s="33" t="s">
        <v>58</v>
      </c>
      <c r="B59" s="52">
        <f>'Расчет субсидий'!AT59</f>
        <v>24.136363636363626</v>
      </c>
      <c r="C59" s="54">
        <f>'Расчет субсидий'!D59-1</f>
        <v>-1</v>
      </c>
      <c r="D59" s="54">
        <f>C59*'Расчет субсидий'!E59</f>
        <v>0</v>
      </c>
      <c r="E59" s="55">
        <f t="shared" si="15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4">
        <f>'Расчет субсидий'!P59-1</f>
        <v>0.27500947567909018</v>
      </c>
      <c r="M59" s="54">
        <f>L59*'Расчет субсидий'!Q59</f>
        <v>5.5001895135818035</v>
      </c>
      <c r="N59" s="55">
        <f t="shared" si="16"/>
        <v>19.557260437988464</v>
      </c>
      <c r="O59" s="54">
        <f>'Расчет субсидий'!T59-1</f>
        <v>2.6666666666666616E-2</v>
      </c>
      <c r="P59" s="54">
        <f>O59*'Расчет субсидий'!U59</f>
        <v>0.79999999999999849</v>
      </c>
      <c r="Q59" s="55">
        <f t="shared" si="17"/>
        <v>2.8445944111118391</v>
      </c>
      <c r="R59" s="54">
        <f>'Расчет субсидий'!X59-1</f>
        <v>2.4390243902439046E-2</v>
      </c>
      <c r="S59" s="54">
        <f>R59*'Расчет субсидий'!Y59</f>
        <v>0.48780487804878092</v>
      </c>
      <c r="T59" s="55">
        <f t="shared" si="18"/>
        <v>1.7345087872633211</v>
      </c>
      <c r="U59" s="60" t="s">
        <v>385</v>
      </c>
      <c r="V59" s="60" t="s">
        <v>385</v>
      </c>
      <c r="W59" s="61" t="s">
        <v>385</v>
      </c>
      <c r="X59" s="73">
        <f>'Расчет субсидий'!AF59-1</f>
        <v>0</v>
      </c>
      <c r="Y59" s="73">
        <f>X59*'Расчет субсидий'!AG59</f>
        <v>0</v>
      </c>
      <c r="Z59" s="55">
        <f t="shared" si="13"/>
        <v>0</v>
      </c>
      <c r="AA59" s="27" t="s">
        <v>367</v>
      </c>
      <c r="AB59" s="27" t="s">
        <v>367</v>
      </c>
      <c r="AC59" s="27" t="s">
        <v>367</v>
      </c>
      <c r="AD59" s="27" t="s">
        <v>367</v>
      </c>
      <c r="AE59" s="27" t="s">
        <v>367</v>
      </c>
      <c r="AF59" s="27" t="s">
        <v>367</v>
      </c>
      <c r="AG59" s="54">
        <f t="shared" si="14"/>
        <v>6.7879943916305834</v>
      </c>
    </row>
    <row r="60" spans="1:33" ht="15" customHeight="1">
      <c r="A60" s="33" t="s">
        <v>59</v>
      </c>
      <c r="B60" s="52">
        <f>'Расчет субсидий'!AT60</f>
        <v>2.5545454545454547</v>
      </c>
      <c r="C60" s="54">
        <f>'Расчет субсидий'!D60-1</f>
        <v>8.9483333333333359E-2</v>
      </c>
      <c r="D60" s="54">
        <f>C60*'Расчет субсидий'!E60</f>
        <v>0.89483333333333359</v>
      </c>
      <c r="E60" s="55">
        <f t="shared" si="15"/>
        <v>0.34822963125726186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4">
        <f>'Расчет субсидий'!P60-1</f>
        <v>-1.9645400520595935E-4</v>
      </c>
      <c r="M60" s="54">
        <f>L60*'Расчет субсидий'!Q60</f>
        <v>-3.929080104119187E-3</v>
      </c>
      <c r="N60" s="55">
        <f t="shared" si="16"/>
        <v>-1.5290245287811525E-3</v>
      </c>
      <c r="O60" s="54">
        <f>'Расчет субсидий'!T60-1</f>
        <v>3.3333333333333437E-2</v>
      </c>
      <c r="P60" s="54">
        <f>O60*'Расчет субсидий'!U60</f>
        <v>1.0000000000000031</v>
      </c>
      <c r="Q60" s="55">
        <f t="shared" si="17"/>
        <v>0.3891558553815565</v>
      </c>
      <c r="R60" s="54">
        <f>'Расчет субсидий'!X60-1</f>
        <v>2.8571428571428692E-2</v>
      </c>
      <c r="S60" s="54">
        <f>R60*'Расчет субсидий'!Y60</f>
        <v>0.57142857142857384</v>
      </c>
      <c r="T60" s="55">
        <f t="shared" si="18"/>
        <v>0.22237477450374682</v>
      </c>
      <c r="U60" s="60" t="s">
        <v>385</v>
      </c>
      <c r="V60" s="60" t="s">
        <v>385</v>
      </c>
      <c r="W60" s="61" t="s">
        <v>385</v>
      </c>
      <c r="X60" s="73">
        <f>'Расчет субсидий'!AF60-1</f>
        <v>0.2050996015936255</v>
      </c>
      <c r="Y60" s="73">
        <f>X60*'Расчет субсидий'!AG60</f>
        <v>4.10199203187251</v>
      </c>
      <c r="Z60" s="55">
        <f t="shared" si="13"/>
        <v>1.5963142179316707</v>
      </c>
      <c r="AA60" s="27" t="s">
        <v>367</v>
      </c>
      <c r="AB60" s="27" t="s">
        <v>367</v>
      </c>
      <c r="AC60" s="27" t="s">
        <v>367</v>
      </c>
      <c r="AD60" s="27" t="s">
        <v>367</v>
      </c>
      <c r="AE60" s="27" t="s">
        <v>367</v>
      </c>
      <c r="AF60" s="27" t="s">
        <v>367</v>
      </c>
      <c r="AG60" s="54">
        <f t="shared" si="14"/>
        <v>6.5643248565303018</v>
      </c>
    </row>
    <row r="61" spans="1:33" ht="15" customHeight="1">
      <c r="A61" s="33" t="s">
        <v>60</v>
      </c>
      <c r="B61" s="52">
        <f>'Расчет субсидий'!AT61</f>
        <v>-14.818181818181813</v>
      </c>
      <c r="C61" s="54">
        <f>'Расчет субсидий'!D61-1</f>
        <v>-1</v>
      </c>
      <c r="D61" s="54">
        <f>C61*'Расчет субсидий'!E61</f>
        <v>0</v>
      </c>
      <c r="E61" s="55">
        <f t="shared" si="15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4">
        <f>'Расчет субсидий'!P61-1</f>
        <v>-0.11916987590928541</v>
      </c>
      <c r="M61" s="54">
        <f>L61*'Расчет субсидий'!Q61</f>
        <v>-2.3833975181857081</v>
      </c>
      <c r="N61" s="55">
        <f t="shared" si="16"/>
        <v>-4.6265395852436244</v>
      </c>
      <c r="O61" s="54">
        <f>'Расчет субсидий'!T61-1</f>
        <v>1.7878787878787827E-2</v>
      </c>
      <c r="P61" s="54">
        <f>O61*'Расчет субсидий'!U61</f>
        <v>0.53636363636363482</v>
      </c>
      <c r="Q61" s="55">
        <f t="shared" si="17"/>
        <v>1.0411639589230373</v>
      </c>
      <c r="R61" s="54">
        <f>'Расчет субсидий'!X61-1</f>
        <v>-0.26666666666666661</v>
      </c>
      <c r="S61" s="54">
        <f>R61*'Расчет субсидий'!Y61</f>
        <v>-5.3333333333333321</v>
      </c>
      <c r="T61" s="55">
        <f t="shared" si="18"/>
        <v>-10.352816766692376</v>
      </c>
      <c r="U61" s="60" t="s">
        <v>385</v>
      </c>
      <c r="V61" s="60" t="s">
        <v>385</v>
      </c>
      <c r="W61" s="61" t="s">
        <v>385</v>
      </c>
      <c r="X61" s="73">
        <f>'Расчет субсидий'!AF61-1</f>
        <v>-2.2666666666666613E-2</v>
      </c>
      <c r="Y61" s="73">
        <f>X61*'Расчет субсидий'!AG61</f>
        <v>-0.45333333333333226</v>
      </c>
      <c r="Z61" s="55">
        <f t="shared" si="13"/>
        <v>-0.87998942516885004</v>
      </c>
      <c r="AA61" s="27" t="s">
        <v>367</v>
      </c>
      <c r="AB61" s="27" t="s">
        <v>367</v>
      </c>
      <c r="AC61" s="27" t="s">
        <v>367</v>
      </c>
      <c r="AD61" s="27" t="s">
        <v>367</v>
      </c>
      <c r="AE61" s="27" t="s">
        <v>367</v>
      </c>
      <c r="AF61" s="27" t="s">
        <v>367</v>
      </c>
      <c r="AG61" s="54">
        <f t="shared" si="14"/>
        <v>-7.6337005484887372</v>
      </c>
    </row>
    <row r="62" spans="1:33" ht="15" customHeight="1">
      <c r="A62" s="33" t="s">
        <v>61</v>
      </c>
      <c r="B62" s="52">
        <f>'Расчет субсидий'!AT62</f>
        <v>7.2090909090909179</v>
      </c>
      <c r="C62" s="54">
        <f>'Расчет субсидий'!D62-1</f>
        <v>0</v>
      </c>
      <c r="D62" s="54">
        <f>C62*'Расчет субсидий'!E62</f>
        <v>0</v>
      </c>
      <c r="E62" s="55">
        <f t="shared" si="15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4">
        <f>'Расчет субсидий'!P62-1</f>
        <v>0.22417322834645659</v>
      </c>
      <c r="M62" s="54">
        <f>L62*'Расчет субсидий'!Q62</f>
        <v>4.4834645669291318</v>
      </c>
      <c r="N62" s="55">
        <f t="shared" si="16"/>
        <v>5.6976044113657451</v>
      </c>
      <c r="O62" s="54">
        <f>'Расчет субсидий'!T62-1</f>
        <v>1.9444444444444597E-2</v>
      </c>
      <c r="P62" s="54">
        <f>O62*'Расчет субсидий'!U62</f>
        <v>0.58333333333333792</v>
      </c>
      <c r="Q62" s="55">
        <f t="shared" si="17"/>
        <v>0.74130229506266687</v>
      </c>
      <c r="R62" s="54">
        <f>'Расчет субсидий'!X62-1</f>
        <v>3.0303030303030276E-2</v>
      </c>
      <c r="S62" s="54">
        <f>R62*'Расчет субсидий'!Y62</f>
        <v>0.60606060606060552</v>
      </c>
      <c r="T62" s="55">
        <f t="shared" si="18"/>
        <v>0.77018420266250431</v>
      </c>
      <c r="U62" s="60" t="s">
        <v>385</v>
      </c>
      <c r="V62" s="60" t="s">
        <v>385</v>
      </c>
      <c r="W62" s="61" t="s">
        <v>385</v>
      </c>
      <c r="X62" s="73">
        <f>'Расчет субсидий'!AF62-1</f>
        <v>0</v>
      </c>
      <c r="Y62" s="73">
        <f>X62*'Расчет субсидий'!AG62</f>
        <v>0</v>
      </c>
      <c r="Z62" s="55">
        <f t="shared" si="13"/>
        <v>0</v>
      </c>
      <c r="AA62" s="27" t="s">
        <v>367</v>
      </c>
      <c r="AB62" s="27" t="s">
        <v>367</v>
      </c>
      <c r="AC62" s="27" t="s">
        <v>367</v>
      </c>
      <c r="AD62" s="27" t="s">
        <v>367</v>
      </c>
      <c r="AE62" s="27" t="s">
        <v>367</v>
      </c>
      <c r="AF62" s="27" t="s">
        <v>367</v>
      </c>
      <c r="AG62" s="54">
        <f t="shared" si="14"/>
        <v>5.6728585063230756</v>
      </c>
    </row>
    <row r="63" spans="1:33" ht="15" customHeight="1">
      <c r="A63" s="33" t="s">
        <v>62</v>
      </c>
      <c r="B63" s="52">
        <f>'Расчет субсидий'!AT63</f>
        <v>-32.26363636363638</v>
      </c>
      <c r="C63" s="54">
        <f>'Расчет субсидий'!D63-1</f>
        <v>-1</v>
      </c>
      <c r="D63" s="54">
        <f>C63*'Расчет субсидий'!E63</f>
        <v>0</v>
      </c>
      <c r="E63" s="55">
        <f t="shared" si="15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4">
        <f>'Расчет субсидий'!P63-1</f>
        <v>-0.71980508179603198</v>
      </c>
      <c r="M63" s="54">
        <f>L63*'Расчет субсидий'!Q63</f>
        <v>-14.39610163592064</v>
      </c>
      <c r="N63" s="55">
        <f t="shared" si="16"/>
        <v>-33.830277012523894</v>
      </c>
      <c r="O63" s="54">
        <f>'Расчет субсидий'!T63-1</f>
        <v>0</v>
      </c>
      <c r="P63" s="54">
        <f>O63*'Расчет субсидий'!U63</f>
        <v>0</v>
      </c>
      <c r="Q63" s="55">
        <f t="shared" si="17"/>
        <v>0</v>
      </c>
      <c r="R63" s="54">
        <f>'Расчет субсидий'!X63-1</f>
        <v>4.4444444444444509E-2</v>
      </c>
      <c r="S63" s="54">
        <f>R63*'Расчет субсидий'!Y63</f>
        <v>0.66666666666666763</v>
      </c>
      <c r="T63" s="55">
        <f t="shared" si="18"/>
        <v>1.5666406488875126</v>
      </c>
      <c r="U63" s="60" t="s">
        <v>385</v>
      </c>
      <c r="V63" s="60" t="s">
        <v>385</v>
      </c>
      <c r="W63" s="61" t="s">
        <v>385</v>
      </c>
      <c r="X63" s="73">
        <f>'Расчет субсидий'!AF63-1</f>
        <v>0</v>
      </c>
      <c r="Y63" s="73">
        <f>X63*'Расчет субсидий'!AG63</f>
        <v>0</v>
      </c>
      <c r="Z63" s="55">
        <f t="shared" si="13"/>
        <v>0</v>
      </c>
      <c r="AA63" s="27" t="s">
        <v>367</v>
      </c>
      <c r="AB63" s="27" t="s">
        <v>367</v>
      </c>
      <c r="AC63" s="27" t="s">
        <v>367</v>
      </c>
      <c r="AD63" s="27" t="s">
        <v>367</v>
      </c>
      <c r="AE63" s="27" t="s">
        <v>367</v>
      </c>
      <c r="AF63" s="27" t="s">
        <v>367</v>
      </c>
      <c r="AG63" s="54">
        <f t="shared" si="14"/>
        <v>-13.729434969253973</v>
      </c>
    </row>
    <row r="64" spans="1:33" ht="15" customHeight="1">
      <c r="A64" s="33" t="s">
        <v>63</v>
      </c>
      <c r="B64" s="52">
        <f>'Расчет субсидий'!AT64</f>
        <v>-31.400000000000006</v>
      </c>
      <c r="C64" s="54">
        <f>'Расчет субсидий'!D64-1</f>
        <v>-0.85205882352941176</v>
      </c>
      <c r="D64" s="54">
        <f>C64*'Расчет субсидий'!E64</f>
        <v>-8.5205882352941167</v>
      </c>
      <c r="E64" s="55">
        <f t="shared" si="15"/>
        <v>-19.662355045170841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4">
        <f>'Расчет субсидий'!P64-1</f>
        <v>-0.37121680049413219</v>
      </c>
      <c r="M64" s="54">
        <f>L64*'Расчет субсидий'!Q64</f>
        <v>-7.4243360098826443</v>
      </c>
      <c r="N64" s="55">
        <f t="shared" si="16"/>
        <v>-17.132611806809201</v>
      </c>
      <c r="O64" s="54">
        <f>'Расчет субсидий'!T64-1</f>
        <v>2.4999999999999911E-2</v>
      </c>
      <c r="P64" s="54">
        <f>O64*'Расчет субсидий'!U64</f>
        <v>0.62499999999999778</v>
      </c>
      <c r="Q64" s="55">
        <f t="shared" si="17"/>
        <v>1.4422680176385188</v>
      </c>
      <c r="R64" s="54">
        <f>'Расчет субсидий'!X64-1</f>
        <v>1.4814814814814836E-2</v>
      </c>
      <c r="S64" s="54">
        <f>R64*'Расчет субсидий'!Y64</f>
        <v>0.3703703703703709</v>
      </c>
      <c r="T64" s="55">
        <f t="shared" si="18"/>
        <v>0.8546773437857933</v>
      </c>
      <c r="U64" s="60" t="s">
        <v>385</v>
      </c>
      <c r="V64" s="60" t="s">
        <v>385</v>
      </c>
      <c r="W64" s="61" t="s">
        <v>385</v>
      </c>
      <c r="X64" s="73">
        <f>'Расчет субсидий'!AF64-1</f>
        <v>6.7125645438898429E-2</v>
      </c>
      <c r="Y64" s="73">
        <f>X64*'Расчет субсидий'!AG64</f>
        <v>1.3425129087779686</v>
      </c>
      <c r="Z64" s="55">
        <f t="shared" si="13"/>
        <v>3.0980214905557273</v>
      </c>
      <c r="AA64" s="27" t="s">
        <v>367</v>
      </c>
      <c r="AB64" s="27" t="s">
        <v>367</v>
      </c>
      <c r="AC64" s="27" t="s">
        <v>367</v>
      </c>
      <c r="AD64" s="27" t="s">
        <v>367</v>
      </c>
      <c r="AE64" s="27" t="s">
        <v>367</v>
      </c>
      <c r="AF64" s="27" t="s">
        <v>367</v>
      </c>
      <c r="AG64" s="54">
        <f t="shared" si="14"/>
        <v>-13.607040966028425</v>
      </c>
    </row>
    <row r="65" spans="1:33" ht="15" customHeight="1">
      <c r="A65" s="32" t="s">
        <v>64</v>
      </c>
      <c r="B65" s="56"/>
      <c r="C65" s="57"/>
      <c r="D65" s="57"/>
      <c r="E65" s="58"/>
      <c r="F65" s="57"/>
      <c r="G65" s="57"/>
      <c r="H65" s="58"/>
      <c r="I65" s="58"/>
      <c r="J65" s="58"/>
      <c r="K65" s="58"/>
      <c r="L65" s="57"/>
      <c r="M65" s="57"/>
      <c r="N65" s="58"/>
      <c r="O65" s="57"/>
      <c r="P65" s="57"/>
      <c r="Q65" s="58"/>
      <c r="R65" s="57"/>
      <c r="S65" s="57"/>
      <c r="T65" s="58"/>
      <c r="U65" s="58"/>
      <c r="V65" s="58"/>
      <c r="W65" s="58"/>
      <c r="X65" s="75"/>
      <c r="Y65" s="75"/>
      <c r="Z65" s="58"/>
      <c r="AA65" s="58"/>
      <c r="AB65" s="58"/>
      <c r="AC65" s="58"/>
      <c r="AD65" s="58"/>
      <c r="AE65" s="58"/>
      <c r="AF65" s="58"/>
      <c r="AG65" s="58"/>
    </row>
    <row r="66" spans="1:33" ht="15" customHeight="1">
      <c r="A66" s="33" t="s">
        <v>65</v>
      </c>
      <c r="B66" s="52">
        <f>'Расчет субсидий'!AT66</f>
        <v>-52.036363636363603</v>
      </c>
      <c r="C66" s="54">
        <f>'Расчет субсидий'!D66-1</f>
        <v>0</v>
      </c>
      <c r="D66" s="54">
        <f>C66*'Расчет субсидий'!E66</f>
        <v>0</v>
      </c>
      <c r="E66" s="55">
        <f>$B66*D66/$AG66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4">
        <f>'Расчет субсидий'!P66-1</f>
        <v>-0.59973009446693659</v>
      </c>
      <c r="M66" s="54">
        <f>L66*'Расчет субсидий'!Q66</f>
        <v>-11.994601889338732</v>
      </c>
      <c r="N66" s="55">
        <f>$B66*M66/$AG66</f>
        <v>-72.13613509869171</v>
      </c>
      <c r="O66" s="54">
        <f>'Расчет субсидий'!T66-1</f>
        <v>7.9541839007157833E-5</v>
      </c>
      <c r="P66" s="54">
        <f>O66*'Расчет субсидий'!U66</f>
        <v>2.386255170214735E-3</v>
      </c>
      <c r="Q66" s="55">
        <f>$B66*P66/$AG66</f>
        <v>1.4351057828068657E-2</v>
      </c>
      <c r="R66" s="54">
        <f>'Расчет субсидий'!X66-1</f>
        <v>8.5365853658536661E-2</v>
      </c>
      <c r="S66" s="54">
        <f>R66*'Расчет субсидий'!Y66</f>
        <v>1.7073170731707332</v>
      </c>
      <c r="T66" s="55">
        <f>$B66*S66/$AG66</f>
        <v>10.267890187836553</v>
      </c>
      <c r="U66" s="60" t="s">
        <v>385</v>
      </c>
      <c r="V66" s="60" t="s">
        <v>385</v>
      </c>
      <c r="W66" s="61" t="s">
        <v>385</v>
      </c>
      <c r="X66" s="73">
        <f>'Расчет субсидий'!AF66-1</f>
        <v>8.1621621621621676E-2</v>
      </c>
      <c r="Y66" s="73">
        <f>X66*'Расчет субсидий'!AG66</f>
        <v>1.6324324324324335</v>
      </c>
      <c r="Z66" s="55">
        <f t="shared" si="13"/>
        <v>9.8175302166634868</v>
      </c>
      <c r="AA66" s="27" t="s">
        <v>367</v>
      </c>
      <c r="AB66" s="27" t="s">
        <v>367</v>
      </c>
      <c r="AC66" s="27" t="s">
        <v>367</v>
      </c>
      <c r="AD66" s="27" t="s">
        <v>367</v>
      </c>
      <c r="AE66" s="27" t="s">
        <v>367</v>
      </c>
      <c r="AF66" s="27" t="s">
        <v>367</v>
      </c>
      <c r="AG66" s="54">
        <f t="shared" si="14"/>
        <v>-8.6524661285653508</v>
      </c>
    </row>
    <row r="67" spans="1:33" ht="15" customHeight="1">
      <c r="A67" s="33" t="s">
        <v>66</v>
      </c>
      <c r="B67" s="52">
        <f>'Расчет субсидий'!AT67</f>
        <v>-30.872727272727275</v>
      </c>
      <c r="C67" s="54">
        <f>'Расчет субсидий'!D67-1</f>
        <v>5.3684120024073634E-2</v>
      </c>
      <c r="D67" s="54">
        <f>C67*'Расчет субсидий'!E67</f>
        <v>0.53684120024073634</v>
      </c>
      <c r="E67" s="55">
        <f>$B67*D67/$AG67</f>
        <v>3.7479499455475827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4">
        <f>'Расчет субсидий'!P67-1</f>
        <v>9.1124375527152468E-2</v>
      </c>
      <c r="M67" s="54">
        <f>L67*'Расчет субсидий'!Q67</f>
        <v>1.8224875105430494</v>
      </c>
      <c r="N67" s="55">
        <f>$B67*M67/$AG67</f>
        <v>12.723673151088107</v>
      </c>
      <c r="O67" s="54">
        <f>'Расчет субсидий'!T67-1</f>
        <v>7.4074074074073071E-3</v>
      </c>
      <c r="P67" s="54">
        <f>O67*'Расчет субсидий'!U67</f>
        <v>3.7037037037036535E-2</v>
      </c>
      <c r="Q67" s="55">
        <f>$B67*P67/$AG67</f>
        <v>0.25857359845696792</v>
      </c>
      <c r="R67" s="54">
        <f>'Расчет субсидий'!X67-1</f>
        <v>-6.3866799204771341E-2</v>
      </c>
      <c r="S67" s="54">
        <f>R67*'Расчет субсидий'!Y67</f>
        <v>-2.8740059642147102</v>
      </c>
      <c r="T67" s="55">
        <f>$B67*S67/$AG67</f>
        <v>-20.064835732152481</v>
      </c>
      <c r="U67" s="60" t="s">
        <v>385</v>
      </c>
      <c r="V67" s="60" t="s">
        <v>385</v>
      </c>
      <c r="W67" s="61" t="s">
        <v>385</v>
      </c>
      <c r="X67" s="73">
        <f>'Расчет субсидий'!AF67-1</f>
        <v>-0.19722222222222219</v>
      </c>
      <c r="Y67" s="73">
        <f>X67*'Расчет субсидий'!AG67</f>
        <v>-3.9444444444444438</v>
      </c>
      <c r="Z67" s="55">
        <f t="shared" si="13"/>
        <v>-27.538088235667455</v>
      </c>
      <c r="AA67" s="27" t="s">
        <v>367</v>
      </c>
      <c r="AB67" s="27" t="s">
        <v>367</v>
      </c>
      <c r="AC67" s="27" t="s">
        <v>367</v>
      </c>
      <c r="AD67" s="27" t="s">
        <v>367</v>
      </c>
      <c r="AE67" s="27" t="s">
        <v>367</v>
      </c>
      <c r="AF67" s="27" t="s">
        <v>367</v>
      </c>
      <c r="AG67" s="54">
        <f t="shared" si="14"/>
        <v>-4.4220846608383315</v>
      </c>
    </row>
    <row r="68" spans="1:33" ht="15" customHeight="1">
      <c r="A68" s="33" t="s">
        <v>67</v>
      </c>
      <c r="B68" s="52">
        <f>'Расчет субсидий'!AT68</f>
        <v>9</v>
      </c>
      <c r="C68" s="54">
        <f>'Расчет субсидий'!D68-1</f>
        <v>0</v>
      </c>
      <c r="D68" s="54">
        <f>C68*'Расчет субсидий'!E68</f>
        <v>0</v>
      </c>
      <c r="E68" s="55">
        <f>$B68*D68/$AG68</f>
        <v>0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4">
        <f>'Расчет субсидий'!P68-1</f>
        <v>-0.11894369271060667</v>
      </c>
      <c r="M68" s="54">
        <f>L68*'Расчет субсидий'!Q68</f>
        <v>-2.3788738542121335</v>
      </c>
      <c r="N68" s="55">
        <f>$B68*M68/$AG68</f>
        <v>-6.5829527464669235</v>
      </c>
      <c r="O68" s="54">
        <f>'Расчет субсидий'!T68-1</f>
        <v>6.2885326757090132E-2</v>
      </c>
      <c r="P68" s="54">
        <f>O68*'Расчет субсидий'!U68</f>
        <v>1.2577065351418026</v>
      </c>
      <c r="Q68" s="55">
        <f>$B68*P68/$AG68</f>
        <v>3.4803958499527985</v>
      </c>
      <c r="R68" s="54">
        <f>'Расчет субсидий'!X68-1</f>
        <v>0.10411622276029076</v>
      </c>
      <c r="S68" s="54">
        <f>R68*'Расчет субсидий'!Y68</f>
        <v>3.1234866828087227</v>
      </c>
      <c r="T68" s="55">
        <f>$B68*S68/$AG68</f>
        <v>8.643487001524278</v>
      </c>
      <c r="U68" s="60" t="s">
        <v>385</v>
      </c>
      <c r="V68" s="60" t="s">
        <v>385</v>
      </c>
      <c r="W68" s="61" t="s">
        <v>385</v>
      </c>
      <c r="X68" s="73">
        <f>'Расчет субсидий'!AF68-1</f>
        <v>6.25E-2</v>
      </c>
      <c r="Y68" s="73">
        <f>X68*'Расчет субсидий'!AG68</f>
        <v>1.25</v>
      </c>
      <c r="Z68" s="55">
        <f t="shared" si="13"/>
        <v>3.4590698949898453</v>
      </c>
      <c r="AA68" s="27" t="s">
        <v>367</v>
      </c>
      <c r="AB68" s="27" t="s">
        <v>367</v>
      </c>
      <c r="AC68" s="27" t="s">
        <v>367</v>
      </c>
      <c r="AD68" s="27" t="s">
        <v>367</v>
      </c>
      <c r="AE68" s="27" t="s">
        <v>367</v>
      </c>
      <c r="AF68" s="27" t="s">
        <v>367</v>
      </c>
      <c r="AG68" s="54">
        <f t="shared" si="14"/>
        <v>3.2523193637383918</v>
      </c>
    </row>
    <row r="69" spans="1:33" ht="15" customHeight="1">
      <c r="A69" s="33" t="s">
        <v>68</v>
      </c>
      <c r="B69" s="52">
        <f>'Расчет субсидий'!AT69</f>
        <v>30.409090909090878</v>
      </c>
      <c r="C69" s="54">
        <f>'Расчет субсидий'!D69-1</f>
        <v>-8.9511036106053155E-2</v>
      </c>
      <c r="D69" s="54">
        <f>C69*'Расчет субсидий'!E69</f>
        <v>-0.89511036106053155</v>
      </c>
      <c r="E69" s="55">
        <f>$B69*D69/$AG69</f>
        <v>-3.8990387639845534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4">
        <f>'Расчет субсидий'!P69-1</f>
        <v>-0.20604215177025498</v>
      </c>
      <c r="M69" s="54">
        <f>L69*'Расчет субсидий'!Q69</f>
        <v>-4.1208430354051</v>
      </c>
      <c r="N69" s="55">
        <f>$B69*M69/$AG69</f>
        <v>-17.950106974857942</v>
      </c>
      <c r="O69" s="54">
        <f>'Расчет субсидий'!T69-1</f>
        <v>0.21508771929824566</v>
      </c>
      <c r="P69" s="54">
        <f>O69*'Расчет субсидий'!U69</f>
        <v>2.1508771929824566</v>
      </c>
      <c r="Q69" s="55">
        <f>$B69*P69/$AG69</f>
        <v>9.3690721466710407</v>
      </c>
      <c r="R69" s="54">
        <f>'Расчет субсидий'!X69-1</f>
        <v>0.30000000000000004</v>
      </c>
      <c r="S69" s="54">
        <f>R69*'Расчет субсидий'!Y69</f>
        <v>12.000000000000002</v>
      </c>
      <c r="T69" s="55">
        <f>$B69*S69/$AG69</f>
        <v>52.271169235913469</v>
      </c>
      <c r="U69" s="60" t="s">
        <v>385</v>
      </c>
      <c r="V69" s="60" t="s">
        <v>385</v>
      </c>
      <c r="W69" s="61" t="s">
        <v>385</v>
      </c>
      <c r="X69" s="73">
        <f>'Расчет субсидий'!AF69-1</f>
        <v>-0.10769230769230764</v>
      </c>
      <c r="Y69" s="73">
        <f>X69*'Расчет субсидий'!AG69</f>
        <v>-2.1538461538461529</v>
      </c>
      <c r="Z69" s="55">
        <f t="shared" si="13"/>
        <v>-9.3820047346511277</v>
      </c>
      <c r="AA69" s="27" t="s">
        <v>367</v>
      </c>
      <c r="AB69" s="27" t="s">
        <v>367</v>
      </c>
      <c r="AC69" s="27" t="s">
        <v>367</v>
      </c>
      <c r="AD69" s="27" t="s">
        <v>367</v>
      </c>
      <c r="AE69" s="27" t="s">
        <v>367</v>
      </c>
      <c r="AF69" s="27" t="s">
        <v>367</v>
      </c>
      <c r="AG69" s="54">
        <f t="shared" si="14"/>
        <v>6.9810776426706731</v>
      </c>
    </row>
    <row r="70" spans="1:33" ht="15" customHeight="1">
      <c r="A70" s="33" t="s">
        <v>69</v>
      </c>
      <c r="B70" s="52">
        <f>'Расчет субсидий'!AT70</f>
        <v>-26.445454545454538</v>
      </c>
      <c r="C70" s="54">
        <f>'Расчет субсидий'!D70-1</f>
        <v>-1</v>
      </c>
      <c r="D70" s="54">
        <f>C70*'Расчет субсидий'!E70</f>
        <v>0</v>
      </c>
      <c r="E70" s="55">
        <f>$B70*D70/$AG70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4">
        <f>'Расчет субсидий'!P70-1</f>
        <v>-0.16889117043121149</v>
      </c>
      <c r="M70" s="54">
        <f>L70*'Расчет субсидий'!Q70</f>
        <v>-3.3778234086242298</v>
      </c>
      <c r="N70" s="55">
        <f>$B70*M70/$AG70</f>
        <v>-16.780743887006565</v>
      </c>
      <c r="O70" s="54">
        <f>'Расчет субсидий'!T70-1</f>
        <v>2.7978339350180681E-2</v>
      </c>
      <c r="P70" s="54">
        <f>O70*'Расчет субсидий'!U70</f>
        <v>0.55956678700361362</v>
      </c>
      <c r="Q70" s="55">
        <f>$B70*P70/$AG70</f>
        <v>2.7798809483078544</v>
      </c>
      <c r="R70" s="54">
        <f>'Расчет субсидий'!X70-1</f>
        <v>-8.8531187122736554E-2</v>
      </c>
      <c r="S70" s="54">
        <f>R70*'Расчет субсидий'!Y70</f>
        <v>-2.6559356136820966</v>
      </c>
      <c r="T70" s="55">
        <f>$B70*S70/$AG70</f>
        <v>-13.194465761527606</v>
      </c>
      <c r="U70" s="60" t="s">
        <v>385</v>
      </c>
      <c r="V70" s="60" t="s">
        <v>385</v>
      </c>
      <c r="W70" s="61" t="s">
        <v>385</v>
      </c>
      <c r="X70" s="73">
        <f>'Расчет субсидий'!AF70-1</f>
        <v>7.547169811320753E-3</v>
      </c>
      <c r="Y70" s="73">
        <f>X70*'Расчет субсидий'!AG70</f>
        <v>0.15094339622641506</v>
      </c>
      <c r="Z70" s="55">
        <f t="shared" si="13"/>
        <v>0.74987415477177921</v>
      </c>
      <c r="AA70" s="27" t="s">
        <v>367</v>
      </c>
      <c r="AB70" s="27" t="s">
        <v>367</v>
      </c>
      <c r="AC70" s="27" t="s">
        <v>367</v>
      </c>
      <c r="AD70" s="27" t="s">
        <v>367</v>
      </c>
      <c r="AE70" s="27" t="s">
        <v>367</v>
      </c>
      <c r="AF70" s="27" t="s">
        <v>367</v>
      </c>
      <c r="AG70" s="54">
        <f t="shared" si="14"/>
        <v>-5.3232488390762978</v>
      </c>
    </row>
    <row r="71" spans="1:33" ht="15" customHeight="1">
      <c r="A71" s="32" t="s">
        <v>70</v>
      </c>
      <c r="B71" s="56"/>
      <c r="C71" s="57"/>
      <c r="D71" s="57"/>
      <c r="E71" s="58"/>
      <c r="F71" s="57"/>
      <c r="G71" s="57"/>
      <c r="H71" s="58"/>
      <c r="I71" s="58"/>
      <c r="J71" s="58"/>
      <c r="K71" s="58"/>
      <c r="L71" s="57"/>
      <c r="M71" s="57"/>
      <c r="N71" s="58"/>
      <c r="O71" s="57"/>
      <c r="P71" s="57"/>
      <c r="Q71" s="58"/>
      <c r="R71" s="57"/>
      <c r="S71" s="57"/>
      <c r="T71" s="58"/>
      <c r="U71" s="58"/>
      <c r="V71" s="58"/>
      <c r="W71" s="58"/>
      <c r="X71" s="75"/>
      <c r="Y71" s="75"/>
      <c r="Z71" s="58"/>
      <c r="AA71" s="58"/>
      <c r="AB71" s="58"/>
      <c r="AC71" s="58"/>
      <c r="AD71" s="58"/>
      <c r="AE71" s="58"/>
      <c r="AF71" s="58"/>
      <c r="AG71" s="58"/>
    </row>
    <row r="72" spans="1:33" ht="15" customHeight="1">
      <c r="A72" s="33" t="s">
        <v>71</v>
      </c>
      <c r="B72" s="52">
        <f>'Расчет субсидий'!AT72</f>
        <v>-8.4090909090909065</v>
      </c>
      <c r="C72" s="54">
        <f>'Расчет субсидий'!D72-1</f>
        <v>-6.7422680412371094E-2</v>
      </c>
      <c r="D72" s="54">
        <f>C72*'Расчет субсидий'!E72</f>
        <v>-0.67422680412371094</v>
      </c>
      <c r="E72" s="55">
        <f t="shared" ref="E72:E79" si="19">$B72*D72/$AG72</f>
        <v>-0.82182360679701305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4">
        <f>'Расчет субсидий'!P72-1</f>
        <v>-0.35723095898859092</v>
      </c>
      <c r="M72" s="54">
        <f>L72*'Расчет субсидий'!Q72</f>
        <v>-7.1446191797718184</v>
      </c>
      <c r="N72" s="55">
        <f t="shared" ref="N72:N79" si="20">$B72*M72/$AG72</f>
        <v>-8.7086669761557491</v>
      </c>
      <c r="O72" s="54">
        <f>'Расчет субсидий'!T72-1</f>
        <v>1.4000000000000012E-2</v>
      </c>
      <c r="P72" s="54">
        <f>O72*'Расчет субсидий'!U72</f>
        <v>0.42000000000000037</v>
      </c>
      <c r="Q72" s="55">
        <f t="shared" ref="Q72:Q79" si="21">$B72*P72/$AG72</f>
        <v>0.51194332937171805</v>
      </c>
      <c r="R72" s="54">
        <f>'Расчет субсидий'!X72-1</f>
        <v>2.4999999999999911E-2</v>
      </c>
      <c r="S72" s="54">
        <f>R72*'Расчет субсидий'!Y72</f>
        <v>0.49999999999999822</v>
      </c>
      <c r="T72" s="55">
        <f t="shared" ref="T72:T79" si="22">$B72*S72/$AG72</f>
        <v>0.60945634449013786</v>
      </c>
      <c r="U72" s="60" t="s">
        <v>385</v>
      </c>
      <c r="V72" s="60" t="s">
        <v>385</v>
      </c>
      <c r="W72" s="61" t="s">
        <v>385</v>
      </c>
      <c r="X72" s="73">
        <f>'Расчет субсидий'!AF72-1</f>
        <v>0</v>
      </c>
      <c r="Y72" s="73">
        <f>X72*'Расчет субсидий'!AG72</f>
        <v>0</v>
      </c>
      <c r="Z72" s="55">
        <f t="shared" si="13"/>
        <v>0</v>
      </c>
      <c r="AA72" s="27" t="s">
        <v>367</v>
      </c>
      <c r="AB72" s="27" t="s">
        <v>367</v>
      </c>
      <c r="AC72" s="27" t="s">
        <v>367</v>
      </c>
      <c r="AD72" s="27" t="s">
        <v>367</v>
      </c>
      <c r="AE72" s="27" t="s">
        <v>367</v>
      </c>
      <c r="AF72" s="27" t="s">
        <v>367</v>
      </c>
      <c r="AG72" s="54">
        <f t="shared" si="14"/>
        <v>-6.8988459838955301</v>
      </c>
    </row>
    <row r="73" spans="1:33" ht="15" customHeight="1">
      <c r="A73" s="33" t="s">
        <v>72</v>
      </c>
      <c r="B73" s="52">
        <f>'Расчет субсидий'!AT73</f>
        <v>24.054545454545462</v>
      </c>
      <c r="C73" s="54">
        <f>'Расчет субсидий'!D73-1</f>
        <v>5.9651160335325359E-2</v>
      </c>
      <c r="D73" s="54">
        <f>C73*'Расчет субсидий'!E73</f>
        <v>0.59651160335325359</v>
      </c>
      <c r="E73" s="55">
        <f t="shared" si="19"/>
        <v>1.5233602286927508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4">
        <f>'Расчет субсидий'!P73-1</f>
        <v>0.14881613563285589</v>
      </c>
      <c r="M73" s="54">
        <f>L73*'Расчет субсидий'!Q73</f>
        <v>2.9763227126571179</v>
      </c>
      <c r="N73" s="55">
        <f t="shared" si="20"/>
        <v>7.6008775398988142</v>
      </c>
      <c r="O73" s="54">
        <f>'Расчет субсидий'!T73-1</f>
        <v>2.9166666666666563E-2</v>
      </c>
      <c r="P73" s="54">
        <f>O73*'Расчет субсидий'!U73</f>
        <v>0.58333333333333126</v>
      </c>
      <c r="Q73" s="55">
        <f t="shared" si="21"/>
        <v>1.4897058080268797</v>
      </c>
      <c r="R73" s="54">
        <f>'Расчет субсидий'!X73-1</f>
        <v>0.17368421052631589</v>
      </c>
      <c r="S73" s="54">
        <f>R73*'Расчет субсидий'!Y73</f>
        <v>5.2105263157894761</v>
      </c>
      <c r="T73" s="55">
        <f t="shared" si="22"/>
        <v>13.3065451123003</v>
      </c>
      <c r="U73" s="60" t="s">
        <v>385</v>
      </c>
      <c r="V73" s="60" t="s">
        <v>385</v>
      </c>
      <c r="W73" s="61" t="s">
        <v>385</v>
      </c>
      <c r="X73" s="73">
        <f>'Расчет субсидий'!AF73-1</f>
        <v>2.624671916010568E-3</v>
      </c>
      <c r="Y73" s="73">
        <f>X73*'Расчет субсидий'!AG73</f>
        <v>5.2493438320211361E-2</v>
      </c>
      <c r="Z73" s="55">
        <f t="shared" si="13"/>
        <v>0.13405676562671984</v>
      </c>
      <c r="AA73" s="27" t="s">
        <v>367</v>
      </c>
      <c r="AB73" s="27" t="s">
        <v>367</v>
      </c>
      <c r="AC73" s="27" t="s">
        <v>367</v>
      </c>
      <c r="AD73" s="27" t="s">
        <v>367</v>
      </c>
      <c r="AE73" s="27" t="s">
        <v>367</v>
      </c>
      <c r="AF73" s="27" t="s">
        <v>367</v>
      </c>
      <c r="AG73" s="54">
        <f t="shared" si="14"/>
        <v>9.4191874034533889</v>
      </c>
    </row>
    <row r="74" spans="1:33" ht="15" customHeight="1">
      <c r="A74" s="33" t="s">
        <v>73</v>
      </c>
      <c r="B74" s="52">
        <f>'Расчет субсидий'!AT74</f>
        <v>-2.4636363636363541</v>
      </c>
      <c r="C74" s="54">
        <f>'Расчет субсидий'!D74-1</f>
        <v>0.21233502538071058</v>
      </c>
      <c r="D74" s="54">
        <f>C74*'Расчет субсидий'!E74</f>
        <v>2.1233502538071058</v>
      </c>
      <c r="E74" s="55">
        <f t="shared" si="19"/>
        <v>1.7792942090240615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4">
        <f>'Расчет субсидий'!P74-1</f>
        <v>-0.60912788070492541</v>
      </c>
      <c r="M74" s="54">
        <f>L74*'Расчет субсидий'!Q74</f>
        <v>-12.182557614098508</v>
      </c>
      <c r="N74" s="55">
        <f t="shared" si="20"/>
        <v>-10.208562706507033</v>
      </c>
      <c r="O74" s="54">
        <f>'Расчет субсидий'!T74-1</f>
        <v>0.20976744186046514</v>
      </c>
      <c r="P74" s="54">
        <f>O74*'Расчет субсидий'!U74</f>
        <v>5.2441860465116283</v>
      </c>
      <c r="Q74" s="55">
        <f t="shared" si="21"/>
        <v>4.3944468638053493</v>
      </c>
      <c r="R74" s="54">
        <f>'Расчет субсидий'!X74-1</f>
        <v>7.4999999999999956E-2</v>
      </c>
      <c r="S74" s="54">
        <f>R74*'Расчет субсидий'!Y74</f>
        <v>1.8749999999999989</v>
      </c>
      <c r="T74" s="55">
        <f t="shared" si="22"/>
        <v>1.5711852700412685</v>
      </c>
      <c r="U74" s="60" t="s">
        <v>385</v>
      </c>
      <c r="V74" s="60" t="s">
        <v>385</v>
      </c>
      <c r="W74" s="61" t="s">
        <v>385</v>
      </c>
      <c r="X74" s="73">
        <f>'Расчет субсидий'!AF74-1</f>
        <v>0</v>
      </c>
      <c r="Y74" s="73">
        <f>X74*'Расчет субсидий'!AG74</f>
        <v>0</v>
      </c>
      <c r="Z74" s="55">
        <f t="shared" si="13"/>
        <v>0</v>
      </c>
      <c r="AA74" s="27" t="s">
        <v>367</v>
      </c>
      <c r="AB74" s="27" t="s">
        <v>367</v>
      </c>
      <c r="AC74" s="27" t="s">
        <v>367</v>
      </c>
      <c r="AD74" s="27" t="s">
        <v>367</v>
      </c>
      <c r="AE74" s="27" t="s">
        <v>367</v>
      </c>
      <c r="AF74" s="27" t="s">
        <v>367</v>
      </c>
      <c r="AG74" s="54">
        <f t="shared" si="14"/>
        <v>-2.9400213137797753</v>
      </c>
    </row>
    <row r="75" spans="1:33" ht="15" customHeight="1">
      <c r="A75" s="33" t="s">
        <v>74</v>
      </c>
      <c r="B75" s="52">
        <f>'Расчет субсидий'!AT75</f>
        <v>28.045454545454561</v>
      </c>
      <c r="C75" s="54">
        <f>'Расчет субсидий'!D75-1</f>
        <v>7.9603729603729523E-2</v>
      </c>
      <c r="D75" s="54">
        <f>C75*'Расчет субсидий'!E75</f>
        <v>0.79603729603729523</v>
      </c>
      <c r="E75" s="55">
        <f t="shared" si="19"/>
        <v>1.7138109897934088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4">
        <f>'Расчет субсидий'!P75-1</f>
        <v>0.23461266473802622</v>
      </c>
      <c r="M75" s="54">
        <f>L75*'Расчет субсидий'!Q75</f>
        <v>4.6922532947605244</v>
      </c>
      <c r="N75" s="55">
        <f t="shared" si="20"/>
        <v>10.102083537400185</v>
      </c>
      <c r="O75" s="54">
        <f>'Расчет субсидий'!T75-1</f>
        <v>0.12916666666666665</v>
      </c>
      <c r="P75" s="54">
        <f>O75*'Расчет субсидий'!U75</f>
        <v>3.8749999999999996</v>
      </c>
      <c r="Q75" s="55">
        <f t="shared" si="21"/>
        <v>8.3425960297447173</v>
      </c>
      <c r="R75" s="54">
        <f>'Расчет субсидий'!X75-1</f>
        <v>0.16666666666666674</v>
      </c>
      <c r="S75" s="54">
        <f>R75*'Расчет субсидий'!Y75</f>
        <v>3.3333333333333348</v>
      </c>
      <c r="T75" s="55">
        <f t="shared" si="22"/>
        <v>7.176426692253524</v>
      </c>
      <c r="U75" s="60" t="s">
        <v>385</v>
      </c>
      <c r="V75" s="60" t="s">
        <v>385</v>
      </c>
      <c r="W75" s="61" t="s">
        <v>385</v>
      </c>
      <c r="X75" s="73">
        <f>'Расчет субсидий'!AF75-1</f>
        <v>1.650165016501659E-2</v>
      </c>
      <c r="Y75" s="73">
        <f>X75*'Расчет субсидий'!AG75</f>
        <v>0.33003300330033181</v>
      </c>
      <c r="Z75" s="55">
        <f t="shared" si="13"/>
        <v>0.71053729626272866</v>
      </c>
      <c r="AA75" s="27" t="s">
        <v>367</v>
      </c>
      <c r="AB75" s="27" t="s">
        <v>367</v>
      </c>
      <c r="AC75" s="27" t="s">
        <v>367</v>
      </c>
      <c r="AD75" s="27" t="s">
        <v>367</v>
      </c>
      <c r="AE75" s="27" t="s">
        <v>367</v>
      </c>
      <c r="AF75" s="27" t="s">
        <v>367</v>
      </c>
      <c r="AG75" s="54">
        <f t="shared" si="14"/>
        <v>13.026656927431485</v>
      </c>
    </row>
    <row r="76" spans="1:33" ht="15" customHeight="1">
      <c r="A76" s="33" t="s">
        <v>75</v>
      </c>
      <c r="B76" s="52">
        <f>'Расчет субсидий'!AT76</f>
        <v>8.7818181818181813</v>
      </c>
      <c r="C76" s="54">
        <f>'Расчет субсидий'!D76-1</f>
        <v>7.2192513368982691E-3</v>
      </c>
      <c r="D76" s="54">
        <f>C76*'Расчет субсидий'!E76</f>
        <v>7.2192513368982691E-2</v>
      </c>
      <c r="E76" s="55">
        <f t="shared" si="19"/>
        <v>9.8209648454672269E-2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4">
        <f>'Расчет субсидий'!P76-1</f>
        <v>0.20847136382365061</v>
      </c>
      <c r="M76" s="54">
        <f>L76*'Расчет субсидий'!Q76</f>
        <v>4.1694272764730123</v>
      </c>
      <c r="N76" s="55">
        <f t="shared" si="20"/>
        <v>5.6720284136231109</v>
      </c>
      <c r="O76" s="54">
        <f>'Расчет субсидий'!T76-1</f>
        <v>5.9459459459459518E-2</v>
      </c>
      <c r="P76" s="54">
        <f>O76*'Расчет субсидий'!U76</f>
        <v>1.7837837837837855</v>
      </c>
      <c r="Q76" s="55">
        <f t="shared" si="21"/>
        <v>2.426633596051226</v>
      </c>
      <c r="R76" s="54">
        <f>'Расчет субсидий'!X76-1</f>
        <v>5.7142857142857162E-2</v>
      </c>
      <c r="S76" s="54">
        <f>R76*'Расчет субсидий'!Y76</f>
        <v>1.1428571428571432</v>
      </c>
      <c r="T76" s="55">
        <f t="shared" si="22"/>
        <v>1.5547262866475378</v>
      </c>
      <c r="U76" s="60" t="s">
        <v>385</v>
      </c>
      <c r="V76" s="60" t="s">
        <v>385</v>
      </c>
      <c r="W76" s="61" t="s">
        <v>385</v>
      </c>
      <c r="X76" s="73">
        <f>'Расчет субсидий'!AF76-1</f>
        <v>-3.5643564356435675E-2</v>
      </c>
      <c r="Y76" s="73">
        <f>X76*'Расчет субсидий'!AG76</f>
        <v>-0.7128712871287135</v>
      </c>
      <c r="Z76" s="55">
        <f t="shared" si="13"/>
        <v>-0.96977976295836577</v>
      </c>
      <c r="AA76" s="27" t="s">
        <v>367</v>
      </c>
      <c r="AB76" s="27" t="s">
        <v>367</v>
      </c>
      <c r="AC76" s="27" t="s">
        <v>367</v>
      </c>
      <c r="AD76" s="27" t="s">
        <v>367</v>
      </c>
      <c r="AE76" s="27" t="s">
        <v>367</v>
      </c>
      <c r="AF76" s="27" t="s">
        <v>367</v>
      </c>
      <c r="AG76" s="54">
        <f t="shared" si="14"/>
        <v>6.4553894293542102</v>
      </c>
    </row>
    <row r="77" spans="1:33" ht="15" customHeight="1">
      <c r="A77" s="33" t="s">
        <v>76</v>
      </c>
      <c r="B77" s="52">
        <f>'Расчет субсидий'!AT77</f>
        <v>1.3272727272727707</v>
      </c>
      <c r="C77" s="54">
        <f>'Расчет субсидий'!D77-1</f>
        <v>-0.14913957934990441</v>
      </c>
      <c r="D77" s="54">
        <f>C77*'Расчет субсидий'!E77</f>
        <v>-1.4913957934990441</v>
      </c>
      <c r="E77" s="55">
        <f t="shared" si="19"/>
        <v>-4.0698349858514664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4">
        <f>'Расчет субсидий'!P77-1</f>
        <v>2.4271844660194164E-2</v>
      </c>
      <c r="M77" s="54">
        <f>L77*'Расчет субсидий'!Q77</f>
        <v>0.48543689320388328</v>
      </c>
      <c r="N77" s="55">
        <f t="shared" si="20"/>
        <v>1.3246973472742816</v>
      </c>
      <c r="O77" s="54">
        <f>'Расчет субсидий'!T77-1</f>
        <v>9.5238095238103782E-4</v>
      </c>
      <c r="P77" s="54">
        <f>O77*'Расчет субсидий'!U77</f>
        <v>2.8571428571431134E-2</v>
      </c>
      <c r="Q77" s="55">
        <f t="shared" si="21"/>
        <v>7.7967901011007604E-2</v>
      </c>
      <c r="R77" s="54">
        <f>'Расчет субсидий'!X77-1</f>
        <v>5.0000000000000044E-2</v>
      </c>
      <c r="S77" s="54">
        <f>R77*'Расчет субсидий'!Y77</f>
        <v>1.0000000000000009</v>
      </c>
      <c r="T77" s="55">
        <f t="shared" si="22"/>
        <v>2.7288765353850239</v>
      </c>
      <c r="U77" s="60" t="s">
        <v>385</v>
      </c>
      <c r="V77" s="60" t="s">
        <v>385</v>
      </c>
      <c r="W77" s="61" t="s">
        <v>385</v>
      </c>
      <c r="X77" s="73">
        <f>'Расчет субсидий'!AF77-1</f>
        <v>2.3188405797101463E-2</v>
      </c>
      <c r="Y77" s="73">
        <f>X77*'Расчет субсидий'!AG77</f>
        <v>0.46376811594202927</v>
      </c>
      <c r="Z77" s="55">
        <f t="shared" si="13"/>
        <v>1.2655659294539237</v>
      </c>
      <c r="AA77" s="27" t="s">
        <v>367</v>
      </c>
      <c r="AB77" s="27" t="s">
        <v>367</v>
      </c>
      <c r="AC77" s="27" t="s">
        <v>367</v>
      </c>
      <c r="AD77" s="27" t="s">
        <v>367</v>
      </c>
      <c r="AE77" s="27" t="s">
        <v>367</v>
      </c>
      <c r="AF77" s="27" t="s">
        <v>367</v>
      </c>
      <c r="AG77" s="54">
        <f t="shared" si="14"/>
        <v>0.48638064421830052</v>
      </c>
    </row>
    <row r="78" spans="1:33" ht="15" customHeight="1">
      <c r="A78" s="33" t="s">
        <v>77</v>
      </c>
      <c r="B78" s="52">
        <f>'Расчет субсидий'!AT78</f>
        <v>37.563636363636363</v>
      </c>
      <c r="C78" s="54">
        <f>'Расчет субсидий'!D78-1</f>
        <v>-9.9925980754996813E-3</v>
      </c>
      <c r="D78" s="54">
        <f>C78*'Расчет субсидий'!E78</f>
        <v>-9.9925980754996813E-2</v>
      </c>
      <c r="E78" s="55">
        <f t="shared" si="19"/>
        <v>-0.28340114053268894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4">
        <f>'Расчет субсидий'!P78-1</f>
        <v>0.30000000000000004</v>
      </c>
      <c r="M78" s="54">
        <f>L78*'Расчет субсидий'!Q78</f>
        <v>6.0000000000000009</v>
      </c>
      <c r="N78" s="55">
        <f t="shared" si="20"/>
        <v>17.01666403820715</v>
      </c>
      <c r="O78" s="54">
        <f>'Расчет субсидий'!T78-1</f>
        <v>0.21045454545454545</v>
      </c>
      <c r="P78" s="54">
        <f>O78*'Расчет субсидий'!U78</f>
        <v>5.2613636363636367</v>
      </c>
      <c r="Q78" s="55">
        <f t="shared" si="21"/>
        <v>14.921809563806647</v>
      </c>
      <c r="R78" s="54">
        <f>'Расчет субсидий'!X78-1</f>
        <v>8.3333333333333259E-2</v>
      </c>
      <c r="S78" s="54">
        <f>R78*'Расчет субсидий'!Y78</f>
        <v>2.0833333333333313</v>
      </c>
      <c r="T78" s="55">
        <f t="shared" si="22"/>
        <v>5.9085639021552536</v>
      </c>
      <c r="U78" s="60" t="s">
        <v>385</v>
      </c>
      <c r="V78" s="60" t="s">
        <v>385</v>
      </c>
      <c r="W78" s="61" t="s">
        <v>385</v>
      </c>
      <c r="X78" s="73">
        <f>'Расчет субсидий'!AF78-1</f>
        <v>0</v>
      </c>
      <c r="Y78" s="73">
        <f>X78*'Расчет субсидий'!AG78</f>
        <v>0</v>
      </c>
      <c r="Z78" s="55">
        <f t="shared" si="13"/>
        <v>0</v>
      </c>
      <c r="AA78" s="27" t="s">
        <v>367</v>
      </c>
      <c r="AB78" s="27" t="s">
        <v>367</v>
      </c>
      <c r="AC78" s="27" t="s">
        <v>367</v>
      </c>
      <c r="AD78" s="27" t="s">
        <v>367</v>
      </c>
      <c r="AE78" s="27" t="s">
        <v>367</v>
      </c>
      <c r="AF78" s="27" t="s">
        <v>367</v>
      </c>
      <c r="AG78" s="54">
        <f t="shared" si="14"/>
        <v>13.244770988941973</v>
      </c>
    </row>
    <row r="79" spans="1:33" ht="15" customHeight="1">
      <c r="A79" s="33" t="s">
        <v>78</v>
      </c>
      <c r="B79" s="52">
        <f>'Расчет субсидий'!AT79</f>
        <v>24.627272727272725</v>
      </c>
      <c r="C79" s="54">
        <f>'Расчет субсидий'!D79-1</f>
        <v>-2.2381378692927223E-3</v>
      </c>
      <c r="D79" s="54">
        <f>C79*'Расчет субсидий'!E79</f>
        <v>-2.2381378692927223E-2</v>
      </c>
      <c r="E79" s="55">
        <f t="shared" si="19"/>
        <v>-4.7749772914183843E-2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4">
        <f>'Расчет субсидий'!P79-1</f>
        <v>0.28514035727305864</v>
      </c>
      <c r="M79" s="54">
        <f>L79*'Расчет субсидий'!Q79</f>
        <v>5.7028071454611728</v>
      </c>
      <c r="N79" s="55">
        <f t="shared" si="20"/>
        <v>12.166710098838031</v>
      </c>
      <c r="O79" s="54">
        <f>'Расчет субсидий'!T79-1</f>
        <v>0.20520833333333321</v>
      </c>
      <c r="P79" s="54">
        <f>O79*'Расчет субсидий'!U79</f>
        <v>4.1041666666666643</v>
      </c>
      <c r="Q79" s="55">
        <f t="shared" si="21"/>
        <v>8.7560748166611297</v>
      </c>
      <c r="R79" s="54">
        <f>'Расчет субсидий'!X79-1</f>
        <v>6.3333333333333242E-2</v>
      </c>
      <c r="S79" s="54">
        <f>R79*'Расчет субсидий'!Y79</f>
        <v>1.8999999999999972</v>
      </c>
      <c r="T79" s="55">
        <f t="shared" si="22"/>
        <v>4.0535737222309356</v>
      </c>
      <c r="U79" s="60" t="s">
        <v>385</v>
      </c>
      <c r="V79" s="60" t="s">
        <v>385</v>
      </c>
      <c r="W79" s="61" t="s">
        <v>385</v>
      </c>
      <c r="X79" s="73">
        <f>'Расчет субсидий'!AF79-1</f>
        <v>-7.0621468926553854E-3</v>
      </c>
      <c r="Y79" s="73">
        <f>X79*'Расчет субсидий'!AG79</f>
        <v>-0.14124293785310771</v>
      </c>
      <c r="Z79" s="55">
        <f t="shared" si="13"/>
        <v>-0.30133613754318705</v>
      </c>
      <c r="AA79" s="27" t="s">
        <v>367</v>
      </c>
      <c r="AB79" s="27" t="s">
        <v>367</v>
      </c>
      <c r="AC79" s="27" t="s">
        <v>367</v>
      </c>
      <c r="AD79" s="27" t="s">
        <v>367</v>
      </c>
      <c r="AE79" s="27" t="s">
        <v>367</v>
      </c>
      <c r="AF79" s="27" t="s">
        <v>367</v>
      </c>
      <c r="AG79" s="54">
        <f t="shared" si="14"/>
        <v>11.543349495581799</v>
      </c>
    </row>
    <row r="80" spans="1:33" ht="15" customHeight="1">
      <c r="A80" s="32" t="s">
        <v>79</v>
      </c>
      <c r="B80" s="56"/>
      <c r="C80" s="57"/>
      <c r="D80" s="57"/>
      <c r="E80" s="58"/>
      <c r="F80" s="57"/>
      <c r="G80" s="57"/>
      <c r="H80" s="58"/>
      <c r="I80" s="58"/>
      <c r="J80" s="58"/>
      <c r="K80" s="58"/>
      <c r="L80" s="57"/>
      <c r="M80" s="57"/>
      <c r="N80" s="58"/>
      <c r="O80" s="57"/>
      <c r="P80" s="57"/>
      <c r="Q80" s="58"/>
      <c r="R80" s="57"/>
      <c r="S80" s="57"/>
      <c r="T80" s="58"/>
      <c r="U80" s="58"/>
      <c r="V80" s="58"/>
      <c r="W80" s="58"/>
      <c r="X80" s="75"/>
      <c r="Y80" s="75"/>
      <c r="Z80" s="58"/>
      <c r="AA80" s="58"/>
      <c r="AB80" s="58"/>
      <c r="AC80" s="58"/>
      <c r="AD80" s="58"/>
      <c r="AE80" s="58"/>
      <c r="AF80" s="58"/>
      <c r="AG80" s="58"/>
    </row>
    <row r="81" spans="1:33" ht="15" customHeight="1">
      <c r="A81" s="33" t="s">
        <v>80</v>
      </c>
      <c r="B81" s="52">
        <f>'Расчет субсидий'!AT81</f>
        <v>85</v>
      </c>
      <c r="C81" s="54">
        <f>'Расчет субсидий'!D81-1</f>
        <v>0.21748614925085508</v>
      </c>
      <c r="D81" s="54">
        <f>C81*'Расчет субсидий'!E81</f>
        <v>2.1748614925085508</v>
      </c>
      <c r="E81" s="55">
        <f t="shared" ref="E81:E89" si="23">$B81*D81/$AG81</f>
        <v>11.159399839407978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4">
        <f>'Расчет субсидий'!P81-1</f>
        <v>0.24722334946152635</v>
      </c>
      <c r="M81" s="54">
        <f>L81*'Расчет субсидий'!Q81</f>
        <v>4.9444669892305271</v>
      </c>
      <c r="N81" s="55">
        <f t="shared" ref="N81:N89" si="24">$B81*M81/$AG81</f>
        <v>25.370481897646751</v>
      </c>
      <c r="O81" s="54">
        <f>'Расчет субсидий'!T81-1</f>
        <v>0.16363636363636358</v>
      </c>
      <c r="P81" s="54">
        <f>O81*'Расчет субсидий'!U81</f>
        <v>2.4545454545454537</v>
      </c>
      <c r="Q81" s="55">
        <f t="shared" ref="Q81:Q89" si="25">$B81*P81/$AG81</f>
        <v>12.594482106389322</v>
      </c>
      <c r="R81" s="54">
        <f>'Расчет субсидий'!X81-1</f>
        <v>0.18777292576419224</v>
      </c>
      <c r="S81" s="54">
        <f>R81*'Расчет субсидий'!Y81</f>
        <v>6.5720524017467286</v>
      </c>
      <c r="T81" s="55">
        <f t="shared" ref="T81:T89" si="26">$B81*S81/$AG81</f>
        <v>33.721761486539776</v>
      </c>
      <c r="U81" s="60" t="s">
        <v>385</v>
      </c>
      <c r="V81" s="60" t="s">
        <v>385</v>
      </c>
      <c r="W81" s="61" t="s">
        <v>385</v>
      </c>
      <c r="X81" s="73">
        <f>'Расчет субсидий'!AF81-1</f>
        <v>2.0988490182803021E-2</v>
      </c>
      <c r="Y81" s="73">
        <f>X81*'Расчет субсидий'!AG81</f>
        <v>0.41976980365606043</v>
      </c>
      <c r="Z81" s="55">
        <f t="shared" si="13"/>
        <v>2.1538746700161835</v>
      </c>
      <c r="AA81" s="27" t="s">
        <v>367</v>
      </c>
      <c r="AB81" s="27" t="s">
        <v>367</v>
      </c>
      <c r="AC81" s="27" t="s">
        <v>367</v>
      </c>
      <c r="AD81" s="27" t="s">
        <v>367</v>
      </c>
      <c r="AE81" s="27" t="s">
        <v>367</v>
      </c>
      <c r="AF81" s="27" t="s">
        <v>367</v>
      </c>
      <c r="AG81" s="54">
        <f t="shared" si="14"/>
        <v>16.565696141687319</v>
      </c>
    </row>
    <row r="82" spans="1:33" ht="15" customHeight="1">
      <c r="A82" s="33" t="s">
        <v>81</v>
      </c>
      <c r="B82" s="52">
        <f>'Расчет субсидий'!AT82</f>
        <v>7.2090909090908326</v>
      </c>
      <c r="C82" s="54">
        <f>'Расчет субсидий'!D82-1</f>
        <v>1.5784165405950512E-2</v>
      </c>
      <c r="D82" s="54">
        <f>C82*'Расчет субсидий'!E82</f>
        <v>0.15784165405950512</v>
      </c>
      <c r="E82" s="55">
        <f t="shared" si="23"/>
        <v>0.86213957314482015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4">
        <f>'Расчет субсидий'!P82-1</f>
        <v>-0.34990457148050536</v>
      </c>
      <c r="M82" s="54">
        <f>L82*'Расчет субсидий'!Q82</f>
        <v>-6.9980914296101071</v>
      </c>
      <c r="N82" s="55">
        <f t="shared" si="24"/>
        <v>-38.223950413481866</v>
      </c>
      <c r="O82" s="54">
        <f>'Расчет субсидий'!T82-1</f>
        <v>0.17065009560229449</v>
      </c>
      <c r="P82" s="54">
        <f>O82*'Расчет субсидий'!U82</f>
        <v>4.2662523900573621</v>
      </c>
      <c r="Q82" s="55">
        <f t="shared" si="25"/>
        <v>23.302499181271283</v>
      </c>
      <c r="R82" s="54">
        <f>'Расчет субсидий'!X82-1</f>
        <v>0.20538461538461528</v>
      </c>
      <c r="S82" s="54">
        <f>R82*'Расчет субсидий'!Y82</f>
        <v>5.1346153846153815</v>
      </c>
      <c r="T82" s="55">
        <f t="shared" si="26"/>
        <v>28.045544392776566</v>
      </c>
      <c r="U82" s="60" t="s">
        <v>385</v>
      </c>
      <c r="V82" s="60" t="s">
        <v>385</v>
      </c>
      <c r="W82" s="61" t="s">
        <v>385</v>
      </c>
      <c r="X82" s="73">
        <f>'Расчет субсидий'!AF82-1</f>
        <v>-6.2038404726735608E-2</v>
      </c>
      <c r="Y82" s="73">
        <f>X82*'Расчет субсидий'!AG82</f>
        <v>-1.2407680945347122</v>
      </c>
      <c r="Z82" s="55">
        <f t="shared" si="13"/>
        <v>-6.7771418246199708</v>
      </c>
      <c r="AA82" s="27" t="s">
        <v>367</v>
      </c>
      <c r="AB82" s="27" t="s">
        <v>367</v>
      </c>
      <c r="AC82" s="27" t="s">
        <v>367</v>
      </c>
      <c r="AD82" s="27" t="s">
        <v>367</v>
      </c>
      <c r="AE82" s="27" t="s">
        <v>367</v>
      </c>
      <c r="AF82" s="27" t="s">
        <v>367</v>
      </c>
      <c r="AG82" s="54">
        <f t="shared" si="14"/>
        <v>1.3198499045874299</v>
      </c>
    </row>
    <row r="83" spans="1:33" ht="15" customHeight="1">
      <c r="A83" s="33" t="s">
        <v>82</v>
      </c>
      <c r="B83" s="52">
        <f>'Расчет субсидий'!AT83</f>
        <v>-14.272727272727252</v>
      </c>
      <c r="C83" s="54">
        <f>'Расчет субсидий'!D83-1</f>
        <v>3.6036036036036112E-2</v>
      </c>
      <c r="D83" s="54">
        <f>C83*'Расчет субсидий'!E83</f>
        <v>0.36036036036036112</v>
      </c>
      <c r="E83" s="55">
        <f t="shared" si="23"/>
        <v>2.6802537567454041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4">
        <f>'Расчет субсидий'!P83-1</f>
        <v>-0.48357963875205257</v>
      </c>
      <c r="M83" s="54">
        <f>L83*'Расчет субсидий'!Q83</f>
        <v>-9.6715927750410522</v>
      </c>
      <c r="N83" s="55">
        <f t="shared" si="24"/>
        <v>-71.934445961517838</v>
      </c>
      <c r="O83" s="54">
        <f>'Расчет субсидий'!T83-1</f>
        <v>0.18029739776951681</v>
      </c>
      <c r="P83" s="54">
        <f>O83*'Расчет субсидий'!U83</f>
        <v>3.6059479553903362</v>
      </c>
      <c r="Q83" s="55">
        <f t="shared" si="25"/>
        <v>26.819974162525764</v>
      </c>
      <c r="R83" s="54">
        <f>'Расчет субсидий'!X83-1</f>
        <v>0.11926605504587151</v>
      </c>
      <c r="S83" s="54">
        <f>R83*'Расчет субсидий'!Y83</f>
        <v>3.5779816513761453</v>
      </c>
      <c r="T83" s="55">
        <f t="shared" si="26"/>
        <v>26.611969066400977</v>
      </c>
      <c r="U83" s="60" t="s">
        <v>385</v>
      </c>
      <c r="V83" s="60" t="s">
        <v>385</v>
      </c>
      <c r="W83" s="61" t="s">
        <v>385</v>
      </c>
      <c r="X83" s="73">
        <f>'Расчет субсидий'!AF83-1</f>
        <v>1.0416666666666741E-2</v>
      </c>
      <c r="Y83" s="73">
        <f>X83*'Расчет субсидий'!AG83</f>
        <v>0.20833333333333481</v>
      </c>
      <c r="Z83" s="55">
        <f t="shared" si="13"/>
        <v>1.5495217031184447</v>
      </c>
      <c r="AA83" s="27" t="s">
        <v>367</v>
      </c>
      <c r="AB83" s="27" t="s">
        <v>367</v>
      </c>
      <c r="AC83" s="27" t="s">
        <v>367</v>
      </c>
      <c r="AD83" s="27" t="s">
        <v>367</v>
      </c>
      <c r="AE83" s="27" t="s">
        <v>367</v>
      </c>
      <c r="AF83" s="27" t="s">
        <v>367</v>
      </c>
      <c r="AG83" s="54">
        <f t="shared" si="14"/>
        <v>-1.9189694745808756</v>
      </c>
    </row>
    <row r="84" spans="1:33" ht="15" customHeight="1">
      <c r="A84" s="33" t="s">
        <v>83</v>
      </c>
      <c r="B84" s="52">
        <f>'Расчет субсидий'!AT84</f>
        <v>80.072727272727207</v>
      </c>
      <c r="C84" s="54">
        <f>'Расчет субсидий'!D84-1</f>
        <v>7.7072538860103679E-2</v>
      </c>
      <c r="D84" s="54">
        <f>C84*'Расчет субсидий'!E84</f>
        <v>0.77072538860103679</v>
      </c>
      <c r="E84" s="55">
        <f t="shared" si="23"/>
        <v>5.7815831620837752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4">
        <f>'Расчет субсидий'!P84-1</f>
        <v>-6.1973439954305265E-2</v>
      </c>
      <c r="M84" s="54">
        <f>L84*'Расчет субсидий'!Q84</f>
        <v>-1.2394687990861053</v>
      </c>
      <c r="N84" s="55">
        <f t="shared" si="24"/>
        <v>-9.2978537423449605</v>
      </c>
      <c r="O84" s="54">
        <f>'Расчет субсидий'!T84-1</f>
        <v>0.21689727463312369</v>
      </c>
      <c r="P84" s="54">
        <f>O84*'Расчет субсидий'!U84</f>
        <v>5.4224318658280923</v>
      </c>
      <c r="Q84" s="55">
        <f t="shared" si="25"/>
        <v>40.676278784487458</v>
      </c>
      <c r="R84" s="54">
        <f>'Расчет субсидий'!X84-1</f>
        <v>0.17218543046357615</v>
      </c>
      <c r="S84" s="54">
        <f>R84*'Расчет субсидий'!Y84</f>
        <v>4.3046357615894042</v>
      </c>
      <c r="T84" s="55">
        <f t="shared" si="26"/>
        <v>32.291150656504385</v>
      </c>
      <c r="U84" s="60" t="s">
        <v>385</v>
      </c>
      <c r="V84" s="60" t="s">
        <v>385</v>
      </c>
      <c r="W84" s="61" t="s">
        <v>385</v>
      </c>
      <c r="X84" s="73">
        <f>'Расчет субсидий'!AF84-1</f>
        <v>7.079646017699126E-2</v>
      </c>
      <c r="Y84" s="73">
        <f>X84*'Расчет субсидий'!AG84</f>
        <v>1.4159292035398252</v>
      </c>
      <c r="Z84" s="55">
        <f t="shared" si="13"/>
        <v>10.621568411996556</v>
      </c>
      <c r="AA84" s="27" t="s">
        <v>367</v>
      </c>
      <c r="AB84" s="27" t="s">
        <v>367</v>
      </c>
      <c r="AC84" s="27" t="s">
        <v>367</v>
      </c>
      <c r="AD84" s="27" t="s">
        <v>367</v>
      </c>
      <c r="AE84" s="27" t="s">
        <v>367</v>
      </c>
      <c r="AF84" s="27" t="s">
        <v>367</v>
      </c>
      <c r="AG84" s="54">
        <f t="shared" si="14"/>
        <v>10.674253420472253</v>
      </c>
    </row>
    <row r="85" spans="1:33">
      <c r="A85" s="33" t="s">
        <v>84</v>
      </c>
      <c r="B85" s="52">
        <f>'Расчет субсидий'!AT85</f>
        <v>-21.381818181818119</v>
      </c>
      <c r="C85" s="54">
        <f>'Расчет субсидий'!D85-1</f>
        <v>2.3622047244094446E-2</v>
      </c>
      <c r="D85" s="54">
        <f>C85*'Расчет субсидий'!E85</f>
        <v>0.23622047244094446</v>
      </c>
      <c r="E85" s="55">
        <f t="shared" si="23"/>
        <v>1.2528273693748164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4">
        <f>'Расчет субсидий'!P85-1</f>
        <v>-0.47950942267424468</v>
      </c>
      <c r="M85" s="54">
        <f>L85*'Расчет субсидий'!Q85</f>
        <v>-9.5901884534848936</v>
      </c>
      <c r="N85" s="55">
        <f t="shared" si="24"/>
        <v>-50.86286742141688</v>
      </c>
      <c r="O85" s="54">
        <f>'Расчет субсидий'!T85-1</f>
        <v>0.18042226487523982</v>
      </c>
      <c r="P85" s="54">
        <f>O85*'Расчет субсидий'!U85</f>
        <v>3.6084452975047965</v>
      </c>
      <c r="Q85" s="55">
        <f t="shared" si="25"/>
        <v>19.137879891998178</v>
      </c>
      <c r="R85" s="54">
        <f>'Расчет субсидий'!X85-1</f>
        <v>0.17796610169491522</v>
      </c>
      <c r="S85" s="54">
        <f>R85*'Расчет субсидий'!Y85</f>
        <v>5.3389830508474567</v>
      </c>
      <c r="T85" s="55">
        <f t="shared" si="26"/>
        <v>28.316021984090174</v>
      </c>
      <c r="U85" s="60" t="s">
        <v>385</v>
      </c>
      <c r="V85" s="60" t="s">
        <v>385</v>
      </c>
      <c r="W85" s="61" t="s">
        <v>385</v>
      </c>
      <c r="X85" s="73">
        <f>'Расчет субсидий'!AF85-1</f>
        <v>-0.18125000000000002</v>
      </c>
      <c r="Y85" s="73">
        <f>X85*'Расчет субсидий'!AG85</f>
        <v>-3.6250000000000004</v>
      </c>
      <c r="Z85" s="55">
        <f t="shared" si="13"/>
        <v>-19.225680005864405</v>
      </c>
      <c r="AA85" s="27" t="s">
        <v>367</v>
      </c>
      <c r="AB85" s="27" t="s">
        <v>367</v>
      </c>
      <c r="AC85" s="27" t="s">
        <v>367</v>
      </c>
      <c r="AD85" s="27" t="s">
        <v>367</v>
      </c>
      <c r="AE85" s="27" t="s">
        <v>367</v>
      </c>
      <c r="AF85" s="27" t="s">
        <v>367</v>
      </c>
      <c r="AG85" s="54">
        <f t="shared" si="14"/>
        <v>-4.0315396326916968</v>
      </c>
    </row>
    <row r="86" spans="1:33" ht="15" customHeight="1">
      <c r="A86" s="33" t="s">
        <v>85</v>
      </c>
      <c r="B86" s="52">
        <f>'Расчет субсидий'!AT86</f>
        <v>38.454545454545439</v>
      </c>
      <c r="C86" s="54">
        <f>'Расчет субсидий'!D86-1</f>
        <v>2.4390243902439046E-2</v>
      </c>
      <c r="D86" s="54">
        <f>C86*'Расчет субсидий'!E86</f>
        <v>0.24390243902439046</v>
      </c>
      <c r="E86" s="55">
        <f t="shared" si="23"/>
        <v>0.97487798896315847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4">
        <f>'Расчет субсидий'!P86-1</f>
        <v>9.9845599588265443E-2</v>
      </c>
      <c r="M86" s="54">
        <f>L86*'Расчет субсидий'!Q86</f>
        <v>1.9969119917653089</v>
      </c>
      <c r="N86" s="55">
        <f t="shared" si="24"/>
        <v>7.981656741341169</v>
      </c>
      <c r="O86" s="54">
        <f>'Расчет субсидий'!T86-1</f>
        <v>0.14689265536723162</v>
      </c>
      <c r="P86" s="54">
        <f>O86*'Расчет субсидий'!U86</f>
        <v>4.4067796610169481</v>
      </c>
      <c r="Q86" s="55">
        <f t="shared" si="25"/>
        <v>17.613897224317384</v>
      </c>
      <c r="R86" s="54">
        <f>'Расчет субсидий'!X86-1</f>
        <v>0.16153846153846141</v>
      </c>
      <c r="S86" s="54">
        <f>R86*'Расчет субсидий'!Y86</f>
        <v>3.2307692307692282</v>
      </c>
      <c r="T86" s="55">
        <f t="shared" si="26"/>
        <v>12.913383823035046</v>
      </c>
      <c r="U86" s="60" t="s">
        <v>385</v>
      </c>
      <c r="V86" s="60" t="s">
        <v>385</v>
      </c>
      <c r="W86" s="61" t="s">
        <v>385</v>
      </c>
      <c r="X86" s="73">
        <f>'Расчет субсидий'!AF86-1</f>
        <v>-1.2875536480686733E-2</v>
      </c>
      <c r="Y86" s="73">
        <f>X86*'Расчет субсидий'!AG86</f>
        <v>-0.25751072961373467</v>
      </c>
      <c r="Z86" s="55">
        <f t="shared" si="13"/>
        <v>-1.0292703231113196</v>
      </c>
      <c r="AA86" s="27" t="s">
        <v>367</v>
      </c>
      <c r="AB86" s="27" t="s">
        <v>367</v>
      </c>
      <c r="AC86" s="27" t="s">
        <v>367</v>
      </c>
      <c r="AD86" s="27" t="s">
        <v>367</v>
      </c>
      <c r="AE86" s="27" t="s">
        <v>367</v>
      </c>
      <c r="AF86" s="27" t="s">
        <v>367</v>
      </c>
      <c r="AG86" s="54">
        <f t="shared" si="14"/>
        <v>9.6208525929621409</v>
      </c>
    </row>
    <row r="87" spans="1:33" ht="15" customHeight="1">
      <c r="A87" s="33" t="s">
        <v>86</v>
      </c>
      <c r="B87" s="52">
        <f>'Расчет субсидий'!AT87</f>
        <v>25.963636363636397</v>
      </c>
      <c r="C87" s="54">
        <f>'Расчет субсидий'!D87-1</f>
        <v>4.7619047619047672E-2</v>
      </c>
      <c r="D87" s="54">
        <f>C87*'Расчет субсидий'!E87</f>
        <v>0.47619047619047672</v>
      </c>
      <c r="E87" s="55">
        <f t="shared" si="23"/>
        <v>2.164175054951742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4">
        <f>'Расчет субсидий'!P87-1</f>
        <v>-0.11908476339053564</v>
      </c>
      <c r="M87" s="54">
        <f>L87*'Расчет субсидий'!Q87</f>
        <v>-2.3816952678107128</v>
      </c>
      <c r="N87" s="55">
        <f t="shared" si="24"/>
        <v>-10.82425152289435</v>
      </c>
      <c r="O87" s="54">
        <f>'Расчет субсидий'!T87-1</f>
        <v>0.18518518518518534</v>
      </c>
      <c r="P87" s="54">
        <f>O87*'Расчет субсидий'!U87</f>
        <v>4.6296296296296333</v>
      </c>
      <c r="Q87" s="55">
        <f t="shared" si="25"/>
        <v>21.040590812030818</v>
      </c>
      <c r="R87" s="54">
        <f>'Расчет субсидий'!X87-1</f>
        <v>0.16981132075471694</v>
      </c>
      <c r="S87" s="54">
        <f>R87*'Расчет субсидий'!Y87</f>
        <v>4.2452830188679238</v>
      </c>
      <c r="T87" s="55">
        <f t="shared" si="26"/>
        <v>19.293824782352768</v>
      </c>
      <c r="U87" s="60" t="s">
        <v>385</v>
      </c>
      <c r="V87" s="60" t="s">
        <v>385</v>
      </c>
      <c r="W87" s="61" t="s">
        <v>385</v>
      </c>
      <c r="X87" s="73">
        <f>'Расчет субсидий'!AF87-1</f>
        <v>-6.2827225130890008E-2</v>
      </c>
      <c r="Y87" s="73">
        <f>X87*'Расчет субсидий'!AG87</f>
        <v>-1.2565445026178002</v>
      </c>
      <c r="Z87" s="55">
        <f t="shared" si="13"/>
        <v>-5.7107027628045852</v>
      </c>
      <c r="AA87" s="27" t="s">
        <v>367</v>
      </c>
      <c r="AB87" s="27" t="s">
        <v>367</v>
      </c>
      <c r="AC87" s="27" t="s">
        <v>367</v>
      </c>
      <c r="AD87" s="27" t="s">
        <v>367</v>
      </c>
      <c r="AE87" s="27" t="s">
        <v>367</v>
      </c>
      <c r="AF87" s="27" t="s">
        <v>367</v>
      </c>
      <c r="AG87" s="54">
        <f t="shared" si="14"/>
        <v>5.7128633542595217</v>
      </c>
    </row>
    <row r="88" spans="1:33" ht="15" customHeight="1">
      <c r="A88" s="33" t="s">
        <v>87</v>
      </c>
      <c r="B88" s="52">
        <f>'Расчет субсидий'!AT88</f>
        <v>-29.590909090909122</v>
      </c>
      <c r="C88" s="54">
        <f>'Расчет субсидий'!D88-1</f>
        <v>2.7027027027026973E-2</v>
      </c>
      <c r="D88" s="54">
        <f>C88*'Расчет субсидий'!E88</f>
        <v>0.27027027027026973</v>
      </c>
      <c r="E88" s="55">
        <f t="shared" si="23"/>
        <v>1.0803478023900996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4">
        <f>'Расчет субсидий'!P88-1</f>
        <v>-0.75382262996941896</v>
      </c>
      <c r="M88" s="54">
        <f>L88*'Расчет субсидий'!Q88</f>
        <v>-15.076452599388379</v>
      </c>
      <c r="N88" s="55">
        <f t="shared" si="24"/>
        <v>-60.264906004274756</v>
      </c>
      <c r="O88" s="54">
        <f>'Расчет субсидий'!T88-1</f>
        <v>0.17319587628865984</v>
      </c>
      <c r="P88" s="54">
        <f>O88*'Расчет субсидий'!U88</f>
        <v>4.3298969072164963</v>
      </c>
      <c r="Q88" s="55">
        <f t="shared" si="25"/>
        <v>17.307840050662051</v>
      </c>
      <c r="R88" s="54">
        <f>'Расчет субсидий'!X88-1</f>
        <v>0.1585365853658538</v>
      </c>
      <c r="S88" s="54">
        <f>R88*'Расчет субсидий'!Y88</f>
        <v>3.963414634146345</v>
      </c>
      <c r="T88" s="55">
        <f t="shared" si="26"/>
        <v>15.84290527285486</v>
      </c>
      <c r="U88" s="60" t="s">
        <v>385</v>
      </c>
      <c r="V88" s="60" t="s">
        <v>385</v>
      </c>
      <c r="W88" s="61" t="s">
        <v>385</v>
      </c>
      <c r="X88" s="73">
        <f>'Расчет субсидий'!AF88-1</f>
        <v>-4.4493882091212411E-2</v>
      </c>
      <c r="Y88" s="73">
        <f>X88*'Расчет субсидий'!AG88</f>
        <v>-0.88987764182424822</v>
      </c>
      <c r="Z88" s="55">
        <f t="shared" si="13"/>
        <v>-3.557096212541377</v>
      </c>
      <c r="AA88" s="27" t="s">
        <v>367</v>
      </c>
      <c r="AB88" s="27" t="s">
        <v>367</v>
      </c>
      <c r="AC88" s="27" t="s">
        <v>367</v>
      </c>
      <c r="AD88" s="27" t="s">
        <v>367</v>
      </c>
      <c r="AE88" s="27" t="s">
        <v>367</v>
      </c>
      <c r="AF88" s="27" t="s">
        <v>367</v>
      </c>
      <c r="AG88" s="54">
        <f t="shared" si="14"/>
        <v>-7.402748429579515</v>
      </c>
    </row>
    <row r="89" spans="1:33" ht="15" customHeight="1">
      <c r="A89" s="33" t="s">
        <v>88</v>
      </c>
      <c r="B89" s="52">
        <f>'Расчет субсидий'!AT89</f>
        <v>59.545454545454504</v>
      </c>
      <c r="C89" s="54">
        <f>'Расчет субсидий'!D89-1</f>
        <v>1.8445322793148922E-2</v>
      </c>
      <c r="D89" s="54">
        <f>C89*'Расчет субсидий'!E89</f>
        <v>0.18445322793148922</v>
      </c>
      <c r="E89" s="55">
        <f t="shared" si="23"/>
        <v>0.95662032126854857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4">
        <f>'Расчет субсидий'!P89-1</f>
        <v>0.10937812437512484</v>
      </c>
      <c r="M89" s="54">
        <f>L89*'Расчет субсидий'!Q89</f>
        <v>2.1875624875024968</v>
      </c>
      <c r="N89" s="55">
        <f t="shared" si="24"/>
        <v>11.345243198275366</v>
      </c>
      <c r="O89" s="54">
        <f>'Расчет субсидий'!T89-1</f>
        <v>0.180064308681672</v>
      </c>
      <c r="P89" s="54">
        <f>O89*'Расчет субсидий'!U89</f>
        <v>5.4019292604501601</v>
      </c>
      <c r="Q89" s="55">
        <f t="shared" si="25"/>
        <v>28.015748829948297</v>
      </c>
      <c r="R89" s="54">
        <f>'Расчет субсидий'!X89-1</f>
        <v>0.171875</v>
      </c>
      <c r="S89" s="54">
        <f>R89*'Расчет субсидий'!Y89</f>
        <v>3.4375</v>
      </c>
      <c r="T89" s="55">
        <f t="shared" si="26"/>
        <v>17.827730049712265</v>
      </c>
      <c r="U89" s="60" t="s">
        <v>385</v>
      </c>
      <c r="V89" s="60" t="s">
        <v>385</v>
      </c>
      <c r="W89" s="61" t="s">
        <v>385</v>
      </c>
      <c r="X89" s="73">
        <f>'Расчет субсидий'!AF89-1</f>
        <v>1.3498312710911176E-2</v>
      </c>
      <c r="Y89" s="73">
        <f>X89*'Расчет субсидий'!AG89</f>
        <v>0.26996625421822351</v>
      </c>
      <c r="Z89" s="55">
        <f t="shared" si="13"/>
        <v>1.4001121462500317</v>
      </c>
      <c r="AA89" s="27" t="s">
        <v>367</v>
      </c>
      <c r="AB89" s="27" t="s">
        <v>367</v>
      </c>
      <c r="AC89" s="27" t="s">
        <v>367</v>
      </c>
      <c r="AD89" s="27" t="s">
        <v>367</v>
      </c>
      <c r="AE89" s="27" t="s">
        <v>367</v>
      </c>
      <c r="AF89" s="27" t="s">
        <v>367</v>
      </c>
      <c r="AG89" s="54">
        <f t="shared" si="14"/>
        <v>11.481411230102369</v>
      </c>
    </row>
    <row r="90" spans="1:33" ht="15" customHeight="1">
      <c r="A90" s="32" t="s">
        <v>89</v>
      </c>
      <c r="B90" s="56"/>
      <c r="C90" s="57"/>
      <c r="D90" s="57"/>
      <c r="E90" s="58"/>
      <c r="F90" s="57"/>
      <c r="G90" s="57"/>
      <c r="H90" s="58"/>
      <c r="I90" s="58"/>
      <c r="J90" s="58"/>
      <c r="K90" s="58"/>
      <c r="L90" s="57"/>
      <c r="M90" s="57"/>
      <c r="N90" s="58"/>
      <c r="O90" s="57"/>
      <c r="P90" s="57"/>
      <c r="Q90" s="58"/>
      <c r="R90" s="57"/>
      <c r="S90" s="57"/>
      <c r="T90" s="58"/>
      <c r="U90" s="58"/>
      <c r="V90" s="58"/>
      <c r="W90" s="58"/>
      <c r="X90" s="75"/>
      <c r="Y90" s="75"/>
      <c r="Z90" s="58"/>
      <c r="AA90" s="58"/>
      <c r="AB90" s="58"/>
      <c r="AC90" s="58"/>
      <c r="AD90" s="58"/>
      <c r="AE90" s="58"/>
      <c r="AF90" s="58"/>
      <c r="AG90" s="58"/>
    </row>
    <row r="91" spans="1:33" ht="15" customHeight="1">
      <c r="A91" s="33" t="s">
        <v>90</v>
      </c>
      <c r="B91" s="52">
        <f>'Расчет субсидий'!AT91</f>
        <v>-8.8909090909091049</v>
      </c>
      <c r="C91" s="54">
        <f>'Расчет субсидий'!D91-1</f>
        <v>-1</v>
      </c>
      <c r="D91" s="54">
        <f>C91*'Расчет субсидий'!E91</f>
        <v>0</v>
      </c>
      <c r="E91" s="55">
        <f t="shared" ref="E91:E103" si="27">$B91*D91/$AG91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4">
        <f>'Расчет субсидий'!P91-1</f>
        <v>-0.60796324655436451</v>
      </c>
      <c r="M91" s="54">
        <f>L91*'Расчет субсидий'!Q91</f>
        <v>-12.159264931087289</v>
      </c>
      <c r="N91" s="55">
        <f t="shared" ref="N91:N103" si="28">$B91*M91/$AG91</f>
        <v>-19.985510137113248</v>
      </c>
      <c r="O91" s="54">
        <f>'Расчет субсидий'!T91-1</f>
        <v>0.14999999999999991</v>
      </c>
      <c r="P91" s="54">
        <f>O91*'Расчет субсидий'!U91</f>
        <v>2.9999999999999982</v>
      </c>
      <c r="Q91" s="55">
        <f t="shared" ref="Q91:Q103" si="29">$B91*P91/$AG91</f>
        <v>4.9309337983129513</v>
      </c>
      <c r="R91" s="54">
        <f>'Расчет субсидий'!X91-1</f>
        <v>0.125</v>
      </c>
      <c r="S91" s="54">
        <f>R91*'Расчет субсидий'!Y91</f>
        <v>3.75</v>
      </c>
      <c r="T91" s="55">
        <f t="shared" ref="T91:T103" si="30">$B91*S91/$AG91</f>
        <v>6.1636672478911922</v>
      </c>
      <c r="U91" s="60" t="s">
        <v>385</v>
      </c>
      <c r="V91" s="60" t="s">
        <v>385</v>
      </c>
      <c r="W91" s="61" t="s">
        <v>385</v>
      </c>
      <c r="X91" s="73">
        <f>'Расчет субсидий'!AF91-1</f>
        <v>0</v>
      </c>
      <c r="Y91" s="73">
        <f>X91*'Расчет субсидий'!AG91</f>
        <v>0</v>
      </c>
      <c r="Z91" s="55">
        <f t="shared" si="13"/>
        <v>0</v>
      </c>
      <c r="AA91" s="27" t="s">
        <v>367</v>
      </c>
      <c r="AB91" s="27" t="s">
        <v>367</v>
      </c>
      <c r="AC91" s="27" t="s">
        <v>367</v>
      </c>
      <c r="AD91" s="27" t="s">
        <v>367</v>
      </c>
      <c r="AE91" s="27" t="s">
        <v>367</v>
      </c>
      <c r="AF91" s="27" t="s">
        <v>367</v>
      </c>
      <c r="AG91" s="54">
        <f t="shared" si="14"/>
        <v>-5.4092649310872911</v>
      </c>
    </row>
    <row r="92" spans="1:33" ht="15" customHeight="1">
      <c r="A92" s="33" t="s">
        <v>91</v>
      </c>
      <c r="B92" s="52">
        <f>'Расчет субсидий'!AT92</f>
        <v>21.145454545454584</v>
      </c>
      <c r="C92" s="54">
        <f>'Расчет субсидий'!D92-1</f>
        <v>0.12183721166548112</v>
      </c>
      <c r="D92" s="54">
        <f>C92*'Расчет субсидий'!E92</f>
        <v>1.2183721166548112</v>
      </c>
      <c r="E92" s="55">
        <f t="shared" si="27"/>
        <v>5.2477108748990693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4">
        <f>'Расчет субсидий'!P92-1</f>
        <v>-0.17723168156700664</v>
      </c>
      <c r="M92" s="54">
        <f>L92*'Расчет субсидий'!Q92</f>
        <v>-3.5446336313401328</v>
      </c>
      <c r="N92" s="55">
        <f t="shared" si="28"/>
        <v>-15.267267036435864</v>
      </c>
      <c r="O92" s="54">
        <f>'Расчет субсидий'!T92-1</f>
        <v>0.16766467065868262</v>
      </c>
      <c r="P92" s="54">
        <f>O92*'Расчет субсидий'!U92</f>
        <v>3.3532934131736525</v>
      </c>
      <c r="Q92" s="55">
        <f t="shared" si="29"/>
        <v>14.443136108001069</v>
      </c>
      <c r="R92" s="54">
        <f>'Расчет субсидий'!X92-1</f>
        <v>0.12941176470588234</v>
      </c>
      <c r="S92" s="54">
        <f>R92*'Расчет субсидий'!Y92</f>
        <v>3.8823529411764701</v>
      </c>
      <c r="T92" s="55">
        <f t="shared" si="30"/>
        <v>16.721874598990311</v>
      </c>
      <c r="U92" s="60" t="s">
        <v>385</v>
      </c>
      <c r="V92" s="60" t="s">
        <v>385</v>
      </c>
      <c r="W92" s="61" t="s">
        <v>385</v>
      </c>
      <c r="X92" s="73">
        <f>'Расчет субсидий'!AF92-1</f>
        <v>0</v>
      </c>
      <c r="Y92" s="73">
        <f>X92*'Расчет субсидий'!AG92</f>
        <v>0</v>
      </c>
      <c r="Z92" s="55">
        <f t="shared" si="13"/>
        <v>0</v>
      </c>
      <c r="AA92" s="27" t="s">
        <v>367</v>
      </c>
      <c r="AB92" s="27" t="s">
        <v>367</v>
      </c>
      <c r="AC92" s="27" t="s">
        <v>367</v>
      </c>
      <c r="AD92" s="27" t="s">
        <v>367</v>
      </c>
      <c r="AE92" s="27" t="s">
        <v>367</v>
      </c>
      <c r="AF92" s="27" t="s">
        <v>367</v>
      </c>
      <c r="AG92" s="54">
        <f t="shared" si="14"/>
        <v>4.909384839664801</v>
      </c>
    </row>
    <row r="93" spans="1:33" ht="15" customHeight="1">
      <c r="A93" s="33" t="s">
        <v>92</v>
      </c>
      <c r="B93" s="52">
        <f>'Расчет субсидий'!AT93</f>
        <v>-18.363636363636374</v>
      </c>
      <c r="C93" s="54">
        <f>'Расчет субсидий'!D93-1</f>
        <v>-1</v>
      </c>
      <c r="D93" s="54">
        <f>C93*'Расчет субсидий'!E93</f>
        <v>0</v>
      </c>
      <c r="E93" s="55">
        <f t="shared" si="27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4">
        <f>'Расчет субсидий'!P93-1</f>
        <v>-0.63904786680541104</v>
      </c>
      <c r="M93" s="54">
        <f>L93*'Расчет субсидий'!Q93</f>
        <v>-12.780957336108221</v>
      </c>
      <c r="N93" s="55">
        <f t="shared" si="28"/>
        <v>-49.4871273462144</v>
      </c>
      <c r="O93" s="54">
        <f>'Расчет субсидий'!T93-1</f>
        <v>0.16083916083916083</v>
      </c>
      <c r="P93" s="54">
        <f>O93*'Расчет субсидий'!U93</f>
        <v>3.2167832167832167</v>
      </c>
      <c r="Q93" s="55">
        <f t="shared" si="29"/>
        <v>12.455198504135616</v>
      </c>
      <c r="R93" s="54">
        <f>'Расчет субсидий'!X93-1</f>
        <v>0.16071428571428581</v>
      </c>
      <c r="S93" s="54">
        <f>R93*'Расчет субсидий'!Y93</f>
        <v>4.8214285714285747</v>
      </c>
      <c r="T93" s="55">
        <f t="shared" si="30"/>
        <v>18.66829247844241</v>
      </c>
      <c r="U93" s="60" t="s">
        <v>385</v>
      </c>
      <c r="V93" s="60" t="s">
        <v>385</v>
      </c>
      <c r="W93" s="61" t="s">
        <v>385</v>
      </c>
      <c r="X93" s="73">
        <f>'Расчет субсидий'!AF93-1</f>
        <v>0</v>
      </c>
      <c r="Y93" s="73">
        <f>X93*'Расчет субсидий'!AG93</f>
        <v>0</v>
      </c>
      <c r="Z93" s="55">
        <f t="shared" si="13"/>
        <v>0</v>
      </c>
      <c r="AA93" s="27" t="s">
        <v>367</v>
      </c>
      <c r="AB93" s="27" t="s">
        <v>367</v>
      </c>
      <c r="AC93" s="27" t="s">
        <v>367</v>
      </c>
      <c r="AD93" s="27" t="s">
        <v>367</v>
      </c>
      <c r="AE93" s="27" t="s">
        <v>367</v>
      </c>
      <c r="AF93" s="27" t="s">
        <v>367</v>
      </c>
      <c r="AG93" s="54">
        <f t="shared" si="14"/>
        <v>-4.7427455478964298</v>
      </c>
    </row>
    <row r="94" spans="1:33" ht="15" customHeight="1">
      <c r="A94" s="33" t="s">
        <v>93</v>
      </c>
      <c r="B94" s="52">
        <f>'Расчет субсидий'!AT94</f>
        <v>6.0818181818181927</v>
      </c>
      <c r="C94" s="54">
        <f>'Расчет субсидий'!D94-1</f>
        <v>-1</v>
      </c>
      <c r="D94" s="54">
        <f>C94*'Расчет субсидий'!E94</f>
        <v>0</v>
      </c>
      <c r="E94" s="55">
        <f t="shared" si="27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4">
        <f>'Расчет субсидий'!P94-1</f>
        <v>-0.56988957716132504</v>
      </c>
      <c r="M94" s="54">
        <f>L94*'Расчет субсидий'!Q94</f>
        <v>-11.3977915432265</v>
      </c>
      <c r="N94" s="55">
        <f t="shared" si="28"/>
        <v>-19.243554800339858</v>
      </c>
      <c r="O94" s="54">
        <f>'Расчет субсидий'!T94-1</f>
        <v>0.30000000000000004</v>
      </c>
      <c r="P94" s="54">
        <f>O94*'Расчет субсидий'!U94</f>
        <v>6.0000000000000009</v>
      </c>
      <c r="Q94" s="55">
        <f t="shared" si="29"/>
        <v>10.13014919286322</v>
      </c>
      <c r="R94" s="54">
        <f>'Расчет субсидий'!X94-1</f>
        <v>0.30000000000000004</v>
      </c>
      <c r="S94" s="54">
        <f>R94*'Расчет субсидий'!Y94</f>
        <v>9.0000000000000018</v>
      </c>
      <c r="T94" s="55">
        <f t="shared" si="30"/>
        <v>15.195223789294831</v>
      </c>
      <c r="U94" s="60" t="s">
        <v>385</v>
      </c>
      <c r="V94" s="60" t="s">
        <v>385</v>
      </c>
      <c r="W94" s="61" t="s">
        <v>385</v>
      </c>
      <c r="X94" s="73">
        <f>'Расчет субсидий'!AF94-1</f>
        <v>0</v>
      </c>
      <c r="Y94" s="73">
        <f>X94*'Расчет субсидий'!AG94</f>
        <v>0</v>
      </c>
      <c r="Z94" s="55">
        <f t="shared" si="13"/>
        <v>0</v>
      </c>
      <c r="AA94" s="27" t="s">
        <v>367</v>
      </c>
      <c r="AB94" s="27" t="s">
        <v>367</v>
      </c>
      <c r="AC94" s="27" t="s">
        <v>367</v>
      </c>
      <c r="AD94" s="27" t="s">
        <v>367</v>
      </c>
      <c r="AE94" s="27" t="s">
        <v>367</v>
      </c>
      <c r="AF94" s="27" t="s">
        <v>367</v>
      </c>
      <c r="AG94" s="54">
        <f t="shared" si="14"/>
        <v>3.6022084567735027</v>
      </c>
    </row>
    <row r="95" spans="1:33" ht="15" customHeight="1">
      <c r="A95" s="33" t="s">
        <v>94</v>
      </c>
      <c r="B95" s="52">
        <f>'Расчет субсидий'!AT95</f>
        <v>31.690909090909088</v>
      </c>
      <c r="C95" s="54">
        <f>'Расчет субсидий'!D95-1</f>
        <v>0.20229102167182655</v>
      </c>
      <c r="D95" s="54">
        <f>C95*'Расчет субсидий'!E95</f>
        <v>2.0229102167182655</v>
      </c>
      <c r="E95" s="55">
        <f t="shared" si="27"/>
        <v>6.9615044024659065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4">
        <f>'Расчет субсидий'!P95-1</f>
        <v>-0.10372670807453421</v>
      </c>
      <c r="M95" s="54">
        <f>L95*'Расчет субсидий'!Q95</f>
        <v>-2.0745341614906843</v>
      </c>
      <c r="N95" s="55">
        <f t="shared" si="28"/>
        <v>-7.1391595034366579</v>
      </c>
      <c r="O95" s="54">
        <f>'Расчет субсидий'!T95-1</f>
        <v>0.18470705064548154</v>
      </c>
      <c r="P95" s="54">
        <f>O95*'Расчет субсидий'!U95</f>
        <v>4.617676266137039</v>
      </c>
      <c r="Q95" s="55">
        <f t="shared" si="29"/>
        <v>15.890954225356188</v>
      </c>
      <c r="R95" s="54">
        <f>'Расчет субсидий'!X95-1</f>
        <v>0.18571428571428572</v>
      </c>
      <c r="S95" s="54">
        <f>R95*'Расчет субсидий'!Y95</f>
        <v>4.6428571428571432</v>
      </c>
      <c r="T95" s="55">
        <f t="shared" si="30"/>
        <v>15.977609966523652</v>
      </c>
      <c r="U95" s="60" t="s">
        <v>385</v>
      </c>
      <c r="V95" s="60" t="s">
        <v>385</v>
      </c>
      <c r="W95" s="61" t="s">
        <v>385</v>
      </c>
      <c r="X95" s="73">
        <f>'Расчет субсидий'!AF95-1</f>
        <v>0</v>
      </c>
      <c r="Y95" s="73">
        <f>X95*'Расчет субсидий'!AG95</f>
        <v>0</v>
      </c>
      <c r="Z95" s="55">
        <f t="shared" si="13"/>
        <v>0</v>
      </c>
      <c r="AA95" s="27" t="s">
        <v>367</v>
      </c>
      <c r="AB95" s="27" t="s">
        <v>367</v>
      </c>
      <c r="AC95" s="27" t="s">
        <v>367</v>
      </c>
      <c r="AD95" s="27" t="s">
        <v>367</v>
      </c>
      <c r="AE95" s="27" t="s">
        <v>367</v>
      </c>
      <c r="AF95" s="27" t="s">
        <v>367</v>
      </c>
      <c r="AG95" s="54">
        <f t="shared" si="14"/>
        <v>9.2089094642217635</v>
      </c>
    </row>
    <row r="96" spans="1:33" ht="15" customHeight="1">
      <c r="A96" s="33" t="s">
        <v>95</v>
      </c>
      <c r="B96" s="52">
        <f>'Расчет субсидий'!AT96</f>
        <v>23.709090909090918</v>
      </c>
      <c r="C96" s="54">
        <f>'Расчет субсидий'!D96-1</f>
        <v>-1</v>
      </c>
      <c r="D96" s="54">
        <f>C96*'Расчет субсидий'!E96</f>
        <v>0</v>
      </c>
      <c r="E96" s="55">
        <f t="shared" si="27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4">
        <f>'Расчет субсидий'!P96-1</f>
        <v>0.20369781312127233</v>
      </c>
      <c r="M96" s="54">
        <f>L96*'Расчет субсидий'!Q96</f>
        <v>4.0739562624254466</v>
      </c>
      <c r="N96" s="55">
        <f t="shared" si="28"/>
        <v>8.4702237061704597</v>
      </c>
      <c r="O96" s="54">
        <f>'Расчет субсидий'!T96-1</f>
        <v>0.16446700507614209</v>
      </c>
      <c r="P96" s="54">
        <f>O96*'Расчет субсидий'!U96</f>
        <v>4.1116751269035525</v>
      </c>
      <c r="Q96" s="55">
        <f t="shared" si="29"/>
        <v>8.5486455643084458</v>
      </c>
      <c r="R96" s="54">
        <f>'Расчет субсидий'!X96-1</f>
        <v>0.12871287128712883</v>
      </c>
      <c r="S96" s="54">
        <f>R96*'Расчет субсидий'!Y96</f>
        <v>3.2178217821782207</v>
      </c>
      <c r="T96" s="55">
        <f t="shared" si="30"/>
        <v>6.6902216386120132</v>
      </c>
      <c r="U96" s="60" t="s">
        <v>385</v>
      </c>
      <c r="V96" s="60" t="s">
        <v>385</v>
      </c>
      <c r="W96" s="61" t="s">
        <v>385</v>
      </c>
      <c r="X96" s="73">
        <f>'Расчет субсидий'!AF96-1</f>
        <v>0</v>
      </c>
      <c r="Y96" s="73">
        <f>X96*'Расчет субсидий'!AG96</f>
        <v>0</v>
      </c>
      <c r="Z96" s="55">
        <f t="shared" si="13"/>
        <v>0</v>
      </c>
      <c r="AA96" s="27" t="s">
        <v>367</v>
      </c>
      <c r="AB96" s="27" t="s">
        <v>367</v>
      </c>
      <c r="AC96" s="27" t="s">
        <v>367</v>
      </c>
      <c r="AD96" s="27" t="s">
        <v>367</v>
      </c>
      <c r="AE96" s="27" t="s">
        <v>367</v>
      </c>
      <c r="AF96" s="27" t="s">
        <v>367</v>
      </c>
      <c r="AG96" s="54">
        <f t="shared" si="14"/>
        <v>11.40345317150722</v>
      </c>
    </row>
    <row r="97" spans="1:33" ht="15" customHeight="1">
      <c r="A97" s="33" t="s">
        <v>96</v>
      </c>
      <c r="B97" s="52">
        <f>'Расчет субсидий'!AT97</f>
        <v>19.572727272727263</v>
      </c>
      <c r="C97" s="54">
        <f>'Расчет субсидий'!D97-1</f>
        <v>-6.9508196721311477E-2</v>
      </c>
      <c r="D97" s="54">
        <f>C97*'Расчет субсидий'!E97</f>
        <v>-0.69508196721311477</v>
      </c>
      <c r="E97" s="55">
        <f t="shared" si="27"/>
        <v>-1.8991830326088999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4">
        <f>'Расчет субсидий'!P97-1</f>
        <v>-5.804953560371473E-3</v>
      </c>
      <c r="M97" s="54">
        <f>L97*'Расчет субсидий'!Q97</f>
        <v>-0.11609907120742946</v>
      </c>
      <c r="N97" s="55">
        <f t="shared" si="28"/>
        <v>-0.31721925836006959</v>
      </c>
      <c r="O97" s="54">
        <f>'Расчет субсидий'!T97-1</f>
        <v>0.15873015873015883</v>
      </c>
      <c r="P97" s="54">
        <f>O97*'Расчет субсидий'!U97</f>
        <v>3.1746031746031766</v>
      </c>
      <c r="Q97" s="55">
        <f t="shared" si="29"/>
        <v>8.6740165460574232</v>
      </c>
      <c r="R97" s="54">
        <f>'Расчет субсидий'!X97-1</f>
        <v>0.15999999999999992</v>
      </c>
      <c r="S97" s="54">
        <f>R97*'Расчет субсидий'!Y97</f>
        <v>4.7999999999999972</v>
      </c>
      <c r="T97" s="55">
        <f t="shared" si="30"/>
        <v>13.11511301763881</v>
      </c>
      <c r="U97" s="60" t="s">
        <v>385</v>
      </c>
      <c r="V97" s="60" t="s">
        <v>385</v>
      </c>
      <c r="W97" s="61" t="s">
        <v>385</v>
      </c>
      <c r="X97" s="73">
        <f>'Расчет субсидий'!AF97-1</f>
        <v>0</v>
      </c>
      <c r="Y97" s="73">
        <f>X97*'Расчет субсидий'!AG97</f>
        <v>0</v>
      </c>
      <c r="Z97" s="55">
        <f t="shared" si="13"/>
        <v>0</v>
      </c>
      <c r="AA97" s="27" t="s">
        <v>367</v>
      </c>
      <c r="AB97" s="27" t="s">
        <v>367</v>
      </c>
      <c r="AC97" s="27" t="s">
        <v>367</v>
      </c>
      <c r="AD97" s="27" t="s">
        <v>367</v>
      </c>
      <c r="AE97" s="27" t="s">
        <v>367</v>
      </c>
      <c r="AF97" s="27" t="s">
        <v>367</v>
      </c>
      <c r="AG97" s="54">
        <f t="shared" si="14"/>
        <v>7.1634221361826294</v>
      </c>
    </row>
    <row r="98" spans="1:33" ht="15" customHeight="1">
      <c r="A98" s="33" t="s">
        <v>97</v>
      </c>
      <c r="B98" s="52">
        <f>'Расчет субсидий'!AT98</f>
        <v>36.74545454545455</v>
      </c>
      <c r="C98" s="54">
        <f>'Расчет субсидий'!D98-1</f>
        <v>8.8495575221238854E-2</v>
      </c>
      <c r="D98" s="54">
        <f>C98*'Расчет субсидий'!E98</f>
        <v>0.88495575221238854</v>
      </c>
      <c r="E98" s="55">
        <f t="shared" si="27"/>
        <v>2.3049036194925816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4">
        <f>'Расчет субсидий'!P98-1</f>
        <v>0.20088739229474095</v>
      </c>
      <c r="M98" s="54">
        <f>L98*'Расчет субсидий'!Q98</f>
        <v>4.017747845894819</v>
      </c>
      <c r="N98" s="55">
        <f t="shared" si="28"/>
        <v>10.464389353998994</v>
      </c>
      <c r="O98" s="54">
        <f>'Расчет субсидий'!T98-1</f>
        <v>0.18303571428571441</v>
      </c>
      <c r="P98" s="54">
        <f>O98*'Расчет субсидий'!U98</f>
        <v>4.5758928571428603</v>
      </c>
      <c r="Q98" s="55">
        <f t="shared" si="29"/>
        <v>11.918100969987888</v>
      </c>
      <c r="R98" s="54">
        <f>'Расчет субсидий'!X98-1</f>
        <v>0.18518518518518512</v>
      </c>
      <c r="S98" s="54">
        <f>R98*'Расчет субсидий'!Y98</f>
        <v>4.629629629629628</v>
      </c>
      <c r="T98" s="55">
        <f t="shared" si="30"/>
        <v>12.058060601975086</v>
      </c>
      <c r="U98" s="60" t="s">
        <v>385</v>
      </c>
      <c r="V98" s="60" t="s">
        <v>385</v>
      </c>
      <c r="W98" s="61" t="s">
        <v>385</v>
      </c>
      <c r="X98" s="73">
        <f>'Расчет субсидий'!AF98-1</f>
        <v>0</v>
      </c>
      <c r="Y98" s="73">
        <f>X98*'Расчет субсидий'!AG98</f>
        <v>0</v>
      </c>
      <c r="Z98" s="55">
        <f t="shared" si="13"/>
        <v>0</v>
      </c>
      <c r="AA98" s="27" t="s">
        <v>367</v>
      </c>
      <c r="AB98" s="27" t="s">
        <v>367</v>
      </c>
      <c r="AC98" s="27" t="s">
        <v>367</v>
      </c>
      <c r="AD98" s="27" t="s">
        <v>367</v>
      </c>
      <c r="AE98" s="27" t="s">
        <v>367</v>
      </c>
      <c r="AF98" s="27" t="s">
        <v>367</v>
      </c>
      <c r="AG98" s="54">
        <f t="shared" si="14"/>
        <v>14.108226084879695</v>
      </c>
    </row>
    <row r="99" spans="1:33" ht="15" customHeight="1">
      <c r="A99" s="33" t="s">
        <v>98</v>
      </c>
      <c r="B99" s="52">
        <f>'Расчет субсидий'!AT99</f>
        <v>2.863636363636374</v>
      </c>
      <c r="C99" s="54">
        <f>'Расчет субсидий'!D99-1</f>
        <v>-9.3681917211329013E-2</v>
      </c>
      <c r="D99" s="54">
        <f>C99*'Расчет субсидий'!E99</f>
        <v>-0.93681917211329013</v>
      </c>
      <c r="E99" s="55">
        <f t="shared" si="27"/>
        <v>-1.6230016968186958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4">
        <f>'Расчет субсидий'!P99-1</f>
        <v>-5.509826977994281E-2</v>
      </c>
      <c r="M99" s="54">
        <f>L99*'Расчет субсидий'!Q99</f>
        <v>-1.1019653955988562</v>
      </c>
      <c r="N99" s="55">
        <f t="shared" si="28"/>
        <v>-1.9091109150316854</v>
      </c>
      <c r="O99" s="54">
        <f>'Расчет субсидий'!T99-1</f>
        <v>0.10302575643910994</v>
      </c>
      <c r="P99" s="54">
        <f>O99*'Расчет субсидий'!U99</f>
        <v>2.5756439109777487</v>
      </c>
      <c r="Q99" s="55">
        <f t="shared" si="29"/>
        <v>4.4621999232655591</v>
      </c>
      <c r="R99" s="54">
        <f>'Расчет субсидий'!X99-1</f>
        <v>4.4642857142857206E-2</v>
      </c>
      <c r="S99" s="54">
        <f>R99*'Расчет субсидий'!Y99</f>
        <v>1.1160714285714302</v>
      </c>
      <c r="T99" s="55">
        <f t="shared" si="30"/>
        <v>1.9335490522211956</v>
      </c>
      <c r="U99" s="60" t="s">
        <v>385</v>
      </c>
      <c r="V99" s="60" t="s">
        <v>385</v>
      </c>
      <c r="W99" s="61" t="s">
        <v>385</v>
      </c>
      <c r="X99" s="73">
        <f>'Расчет субсидий'!AF99-1</f>
        <v>0</v>
      </c>
      <c r="Y99" s="73">
        <f>X99*'Расчет субсидий'!AG99</f>
        <v>0</v>
      </c>
      <c r="Z99" s="55">
        <f t="shared" si="13"/>
        <v>0</v>
      </c>
      <c r="AA99" s="27" t="s">
        <v>367</v>
      </c>
      <c r="AB99" s="27" t="s">
        <v>367</v>
      </c>
      <c r="AC99" s="27" t="s">
        <v>367</v>
      </c>
      <c r="AD99" s="27" t="s">
        <v>367</v>
      </c>
      <c r="AE99" s="27" t="s">
        <v>367</v>
      </c>
      <c r="AF99" s="27" t="s">
        <v>367</v>
      </c>
      <c r="AG99" s="54">
        <f t="shared" si="14"/>
        <v>1.6529307718370325</v>
      </c>
    </row>
    <row r="100" spans="1:33" ht="15" customHeight="1">
      <c r="A100" s="33" t="s">
        <v>99</v>
      </c>
      <c r="B100" s="52">
        <f>'Расчет субсидий'!AT100</f>
        <v>-50.372727272727275</v>
      </c>
      <c r="C100" s="54">
        <f>'Расчет субсидий'!D100-1</f>
        <v>-1</v>
      </c>
      <c r="D100" s="54">
        <f>C100*'Расчет субсидий'!E100</f>
        <v>0</v>
      </c>
      <c r="E100" s="55">
        <f t="shared" si="27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4">
        <f>'Расчет субсидий'!P100-1</f>
        <v>-1</v>
      </c>
      <c r="M100" s="54">
        <f>L100*'Расчет субсидий'!Q100</f>
        <v>-20</v>
      </c>
      <c r="N100" s="55">
        <f t="shared" si="28"/>
        <v>-78.67740259740259</v>
      </c>
      <c r="O100" s="54">
        <f>'Расчет субсидий'!T100-1</f>
        <v>0.14634146341463405</v>
      </c>
      <c r="P100" s="54">
        <f>O100*'Расчет субсидий'!U100</f>
        <v>2.1951219512195106</v>
      </c>
      <c r="Q100" s="55">
        <f t="shared" si="29"/>
        <v>8.635324675324668</v>
      </c>
      <c r="R100" s="54">
        <f>'Расчет субсидий'!X100-1</f>
        <v>0.14285714285714279</v>
      </c>
      <c r="S100" s="54">
        <f>R100*'Расчет субсидий'!Y100</f>
        <v>4.9999999999999982</v>
      </c>
      <c r="T100" s="55">
        <f t="shared" si="30"/>
        <v>19.66935064935064</v>
      </c>
      <c r="U100" s="60" t="s">
        <v>385</v>
      </c>
      <c r="V100" s="60" t="s">
        <v>385</v>
      </c>
      <c r="W100" s="61" t="s">
        <v>385</v>
      </c>
      <c r="X100" s="73">
        <f>'Расчет субсидий'!AF100-1</f>
        <v>0</v>
      </c>
      <c r="Y100" s="73">
        <f>X100*'Расчет субсидий'!AG100</f>
        <v>0</v>
      </c>
      <c r="Z100" s="55">
        <f t="shared" si="13"/>
        <v>0</v>
      </c>
      <c r="AA100" s="27" t="s">
        <v>367</v>
      </c>
      <c r="AB100" s="27" t="s">
        <v>367</v>
      </c>
      <c r="AC100" s="27" t="s">
        <v>367</v>
      </c>
      <c r="AD100" s="27" t="s">
        <v>367</v>
      </c>
      <c r="AE100" s="27" t="s">
        <v>367</v>
      </c>
      <c r="AF100" s="27" t="s">
        <v>367</v>
      </c>
      <c r="AG100" s="54">
        <f t="shared" si="14"/>
        <v>-12.804878048780489</v>
      </c>
    </row>
    <row r="101" spans="1:33" ht="15" customHeight="1">
      <c r="A101" s="33" t="s">
        <v>100</v>
      </c>
      <c r="B101" s="52">
        <f>'Расчет субсидий'!AT101</f>
        <v>1.5090909090909115</v>
      </c>
      <c r="C101" s="54">
        <f>'Расчет субсидий'!D101-1</f>
        <v>-1</v>
      </c>
      <c r="D101" s="54">
        <f>C101*'Расчет субсидий'!E101</f>
        <v>0</v>
      </c>
      <c r="E101" s="55">
        <f t="shared" si="27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4">
        <f>'Расчет субсидий'!P101-1</f>
        <v>0.23486643437862953</v>
      </c>
      <c r="M101" s="54">
        <f>L101*'Расчет субсидий'!Q101</f>
        <v>4.6973286875725906</v>
      </c>
      <c r="N101" s="55">
        <f t="shared" si="28"/>
        <v>1.1724466207027082</v>
      </c>
      <c r="O101" s="54">
        <f>'Расчет субсидий'!T101-1</f>
        <v>3.8952085487762744E-2</v>
      </c>
      <c r="P101" s="54">
        <f>O101*'Расчет субсидий'!U101</f>
        <v>1.1685625646328823</v>
      </c>
      <c r="Q101" s="55">
        <f t="shared" si="29"/>
        <v>0.29167156933433996</v>
      </c>
      <c r="R101" s="54">
        <f>'Расчет субсидий'!X101-1</f>
        <v>9.009009009008917E-3</v>
      </c>
      <c r="S101" s="54">
        <f>R101*'Расчет субсидий'!Y101</f>
        <v>0.18018018018017834</v>
      </c>
      <c r="T101" s="55">
        <f t="shared" si="30"/>
        <v>4.4972719053863429E-2</v>
      </c>
      <c r="U101" s="60" t="s">
        <v>385</v>
      </c>
      <c r="V101" s="60" t="s">
        <v>385</v>
      </c>
      <c r="W101" s="61" t="s">
        <v>385</v>
      </c>
      <c r="X101" s="73">
        <f>'Расчет субсидий'!AF101-1</f>
        <v>0</v>
      </c>
      <c r="Y101" s="73">
        <f>X101*'Расчет субсидий'!AG101</f>
        <v>0</v>
      </c>
      <c r="Z101" s="55">
        <f t="shared" si="13"/>
        <v>0</v>
      </c>
      <c r="AA101" s="27" t="s">
        <v>367</v>
      </c>
      <c r="AB101" s="27" t="s">
        <v>367</v>
      </c>
      <c r="AC101" s="27" t="s">
        <v>367</v>
      </c>
      <c r="AD101" s="27" t="s">
        <v>367</v>
      </c>
      <c r="AE101" s="27" t="s">
        <v>367</v>
      </c>
      <c r="AF101" s="27" t="s">
        <v>367</v>
      </c>
      <c r="AG101" s="54">
        <f t="shared" si="14"/>
        <v>6.0460714323856513</v>
      </c>
    </row>
    <row r="102" spans="1:33" ht="15" customHeight="1">
      <c r="A102" s="33" t="s">
        <v>101</v>
      </c>
      <c r="B102" s="52">
        <f>'Расчет субсидий'!AT102</f>
        <v>13.563636363636363</v>
      </c>
      <c r="C102" s="54">
        <f>'Расчет субсидий'!D102-1</f>
        <v>-1</v>
      </c>
      <c r="D102" s="54">
        <f>C102*'Расчет субсидий'!E102</f>
        <v>0</v>
      </c>
      <c r="E102" s="55">
        <f t="shared" si="27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4">
        <f>'Расчет субсидий'!P102-1</f>
        <v>-0.14700854700854704</v>
      </c>
      <c r="M102" s="54">
        <f>L102*'Расчет субсидий'!Q102</f>
        <v>-2.9401709401709408</v>
      </c>
      <c r="N102" s="55">
        <f t="shared" si="28"/>
        <v>-7.5246595747176324</v>
      </c>
      <c r="O102" s="54">
        <f>'Расчет субсидий'!T102-1</f>
        <v>0.16199999999999992</v>
      </c>
      <c r="P102" s="54">
        <f>O102*'Расчет субсидий'!U102</f>
        <v>3.2399999999999984</v>
      </c>
      <c r="Q102" s="55">
        <f t="shared" si="29"/>
        <v>8.2919998592556929</v>
      </c>
      <c r="R102" s="54">
        <f>'Расчет субсидий'!X102-1</f>
        <v>0.16666666666666674</v>
      </c>
      <c r="S102" s="54">
        <f>R102*'Расчет субсидий'!Y102</f>
        <v>5.0000000000000018</v>
      </c>
      <c r="T102" s="55">
        <f t="shared" si="30"/>
        <v>12.796296079098303</v>
      </c>
      <c r="U102" s="60" t="s">
        <v>385</v>
      </c>
      <c r="V102" s="60" t="s">
        <v>385</v>
      </c>
      <c r="W102" s="61" t="s">
        <v>385</v>
      </c>
      <c r="X102" s="73">
        <f>'Расчет субсидий'!AF102-1</f>
        <v>0</v>
      </c>
      <c r="Y102" s="73">
        <f>X102*'Расчет субсидий'!AG102</f>
        <v>0</v>
      </c>
      <c r="Z102" s="55">
        <f t="shared" si="13"/>
        <v>0</v>
      </c>
      <c r="AA102" s="27" t="s">
        <v>367</v>
      </c>
      <c r="AB102" s="27" t="s">
        <v>367</v>
      </c>
      <c r="AC102" s="27" t="s">
        <v>367</v>
      </c>
      <c r="AD102" s="27" t="s">
        <v>367</v>
      </c>
      <c r="AE102" s="27" t="s">
        <v>367</v>
      </c>
      <c r="AF102" s="27" t="s">
        <v>367</v>
      </c>
      <c r="AG102" s="54">
        <f t="shared" si="14"/>
        <v>5.2998290598290598</v>
      </c>
    </row>
    <row r="103" spans="1:33" ht="15" customHeight="1">
      <c r="A103" s="33" t="s">
        <v>102</v>
      </c>
      <c r="B103" s="52">
        <f>'Расчет субсидий'!AT103</f>
        <v>12.281818181818181</v>
      </c>
      <c r="C103" s="54">
        <f>'Расчет субсидий'!D103-1</f>
        <v>-1</v>
      </c>
      <c r="D103" s="54">
        <f>C103*'Расчет субсидий'!E103</f>
        <v>0</v>
      </c>
      <c r="E103" s="55">
        <f t="shared" si="27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4">
        <f>'Расчет субсидий'!P103-1</f>
        <v>-6.794317479925871E-3</v>
      </c>
      <c r="M103" s="54">
        <f>L103*'Расчет субсидий'!Q103</f>
        <v>-0.13588634959851742</v>
      </c>
      <c r="N103" s="55">
        <f t="shared" si="28"/>
        <v>-0.2240117233928729</v>
      </c>
      <c r="O103" s="54">
        <f>'Расчет субсидий'!T103-1</f>
        <v>0.16260162601626016</v>
      </c>
      <c r="P103" s="54">
        <f>O103*'Расчет субсидий'!U103</f>
        <v>2.4390243902439024</v>
      </c>
      <c r="Q103" s="55">
        <f t="shared" si="29"/>
        <v>4.0207869198787325</v>
      </c>
      <c r="R103" s="54">
        <f>'Расчет субсидий'!X103-1</f>
        <v>0.14705882352941169</v>
      </c>
      <c r="S103" s="54">
        <f>R103*'Расчет субсидий'!Y103</f>
        <v>5.1470588235294095</v>
      </c>
      <c r="T103" s="55">
        <f t="shared" si="30"/>
        <v>8.4850429853323224</v>
      </c>
      <c r="U103" s="60" t="s">
        <v>385</v>
      </c>
      <c r="V103" s="60" t="s">
        <v>385</v>
      </c>
      <c r="W103" s="61" t="s">
        <v>385</v>
      </c>
      <c r="X103" s="73">
        <f>'Расчет субсидий'!AF103-1</f>
        <v>0</v>
      </c>
      <c r="Y103" s="73">
        <f>X103*'Расчет субсидий'!AG103</f>
        <v>0</v>
      </c>
      <c r="Z103" s="55">
        <f t="shared" si="13"/>
        <v>0</v>
      </c>
      <c r="AA103" s="27" t="s">
        <v>367</v>
      </c>
      <c r="AB103" s="27" t="s">
        <v>367</v>
      </c>
      <c r="AC103" s="27" t="s">
        <v>367</v>
      </c>
      <c r="AD103" s="27" t="s">
        <v>367</v>
      </c>
      <c r="AE103" s="27" t="s">
        <v>367</v>
      </c>
      <c r="AF103" s="27" t="s">
        <v>367</v>
      </c>
      <c r="AG103" s="54">
        <f t="shared" si="14"/>
        <v>7.450196864174794</v>
      </c>
    </row>
    <row r="104" spans="1:33" ht="15" customHeight="1">
      <c r="A104" s="32" t="s">
        <v>103</v>
      </c>
      <c r="B104" s="56"/>
      <c r="C104" s="57"/>
      <c r="D104" s="57"/>
      <c r="E104" s="58"/>
      <c r="F104" s="57"/>
      <c r="G104" s="57"/>
      <c r="H104" s="58"/>
      <c r="I104" s="58"/>
      <c r="J104" s="58"/>
      <c r="K104" s="58"/>
      <c r="L104" s="57"/>
      <c r="M104" s="57"/>
      <c r="N104" s="58"/>
      <c r="O104" s="57"/>
      <c r="P104" s="57"/>
      <c r="Q104" s="58"/>
      <c r="R104" s="57"/>
      <c r="S104" s="57"/>
      <c r="T104" s="58"/>
      <c r="U104" s="58"/>
      <c r="V104" s="58"/>
      <c r="W104" s="58"/>
      <c r="X104" s="75"/>
      <c r="Y104" s="75"/>
      <c r="Z104" s="58"/>
      <c r="AA104" s="58"/>
      <c r="AB104" s="58"/>
      <c r="AC104" s="58"/>
      <c r="AD104" s="58"/>
      <c r="AE104" s="58"/>
      <c r="AF104" s="58"/>
      <c r="AG104" s="58"/>
    </row>
    <row r="105" spans="1:33" ht="15" customHeight="1">
      <c r="A105" s="33" t="s">
        <v>104</v>
      </c>
      <c r="B105" s="52">
        <f>'Расчет субсидий'!AT105</f>
        <v>83.190909090909145</v>
      </c>
      <c r="C105" s="54">
        <f>'Расчет субсидий'!D105-1</f>
        <v>0.27514227668438673</v>
      </c>
      <c r="D105" s="54">
        <f>C105*'Расчет субсидий'!E105</f>
        <v>2.7514227668438673</v>
      </c>
      <c r="E105" s="55">
        <f t="shared" ref="E105:E119" si="31">$B105*D105/$AG105</f>
        <v>11.359019214847997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4">
        <f>'Расчет субсидий'!P105-1</f>
        <v>0.17821955250444943</v>
      </c>
      <c r="M105" s="54">
        <f>L105*'Расчет субсидий'!Q105</f>
        <v>3.5643910500889886</v>
      </c>
      <c r="N105" s="55">
        <f t="shared" ref="N105:N119" si="32">$B105*M105/$AG105</f>
        <v>14.715290908796417</v>
      </c>
      <c r="O105" s="54">
        <f>'Расчет субсидий'!T105-1</f>
        <v>0.26818181818181808</v>
      </c>
      <c r="P105" s="54">
        <f>O105*'Расчет субсидий'!U105</f>
        <v>8.0454545454545432</v>
      </c>
      <c r="Q105" s="55">
        <f t="shared" ref="Q105:Q119" si="33">$B105*P105/$AG105</f>
        <v>33.214987487668139</v>
      </c>
      <c r="R105" s="54">
        <f>'Расчет субсидий'!X105-1</f>
        <v>0.27697674418604645</v>
      </c>
      <c r="S105" s="54">
        <f>R105*'Расчет субсидий'!Y105</f>
        <v>5.5395348837209291</v>
      </c>
      <c r="T105" s="55">
        <f t="shared" ref="T105:T119" si="34">$B105*S105/$AG105</f>
        <v>22.869507348623852</v>
      </c>
      <c r="U105" s="60" t="s">
        <v>385</v>
      </c>
      <c r="V105" s="60" t="s">
        <v>385</v>
      </c>
      <c r="W105" s="61" t="s">
        <v>385</v>
      </c>
      <c r="X105" s="73">
        <f>'Расчет субсидий'!AF105-1</f>
        <v>1.2499999999999956E-2</v>
      </c>
      <c r="Y105" s="73">
        <f>X105*'Расчет субсидий'!AG105</f>
        <v>0.24999999999999911</v>
      </c>
      <c r="Z105" s="55">
        <f t="shared" si="13"/>
        <v>1.0321041309727355</v>
      </c>
      <c r="AA105" s="27" t="s">
        <v>367</v>
      </c>
      <c r="AB105" s="27" t="s">
        <v>367</v>
      </c>
      <c r="AC105" s="27" t="s">
        <v>367</v>
      </c>
      <c r="AD105" s="27" t="s">
        <v>367</v>
      </c>
      <c r="AE105" s="27" t="s">
        <v>367</v>
      </c>
      <c r="AF105" s="27" t="s">
        <v>367</v>
      </c>
      <c r="AG105" s="54">
        <f t="shared" si="14"/>
        <v>20.150803246108328</v>
      </c>
    </row>
    <row r="106" spans="1:33" ht="15" customHeight="1">
      <c r="A106" s="33" t="s">
        <v>105</v>
      </c>
      <c r="B106" s="52">
        <f>'Расчет субсидий'!AT106</f>
        <v>45.572727272727263</v>
      </c>
      <c r="C106" s="54">
        <f>'Расчет субсидий'!D106-1</f>
        <v>-1</v>
      </c>
      <c r="D106" s="54">
        <f>C106*'Расчет субсидий'!E106</f>
        <v>0</v>
      </c>
      <c r="E106" s="55">
        <f t="shared" si="31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4">
        <f>'Расчет субсидий'!P106-1</f>
        <v>0.30000000000000004</v>
      </c>
      <c r="M106" s="54">
        <f>L106*'Расчет субсидий'!Q106</f>
        <v>6.0000000000000009</v>
      </c>
      <c r="N106" s="55">
        <f t="shared" si="32"/>
        <v>23.570188761954896</v>
      </c>
      <c r="O106" s="54">
        <f>'Расчет субсидий'!T106-1</f>
        <v>0.12000000000000011</v>
      </c>
      <c r="P106" s="54">
        <f>O106*'Расчет субсидий'!U106</f>
        <v>3.0000000000000027</v>
      </c>
      <c r="Q106" s="55">
        <f t="shared" si="33"/>
        <v>11.785094380977455</v>
      </c>
      <c r="R106" s="54">
        <f>'Расчет субсидий'!X106-1</f>
        <v>3.3271719038816983E-2</v>
      </c>
      <c r="S106" s="54">
        <f>R106*'Расчет субсидий'!Y106</f>
        <v>0.83179297597042456</v>
      </c>
      <c r="T106" s="55">
        <f t="shared" si="34"/>
        <v>3.2675862424151858</v>
      </c>
      <c r="U106" s="60" t="s">
        <v>385</v>
      </c>
      <c r="V106" s="60" t="s">
        <v>385</v>
      </c>
      <c r="W106" s="61" t="s">
        <v>385</v>
      </c>
      <c r="X106" s="73">
        <f>'Расчет субсидий'!AF106-1</f>
        <v>8.84573894282632E-2</v>
      </c>
      <c r="Y106" s="73">
        <f>X106*'Расчет субсидий'!AG106</f>
        <v>1.769147788565264</v>
      </c>
      <c r="Z106" s="55">
        <f t="shared" si="13"/>
        <v>6.9498578873797223</v>
      </c>
      <c r="AA106" s="27" t="s">
        <v>367</v>
      </c>
      <c r="AB106" s="27" t="s">
        <v>367</v>
      </c>
      <c r="AC106" s="27" t="s">
        <v>367</v>
      </c>
      <c r="AD106" s="27" t="s">
        <v>367</v>
      </c>
      <c r="AE106" s="27" t="s">
        <v>367</v>
      </c>
      <c r="AF106" s="27" t="s">
        <v>367</v>
      </c>
      <c r="AG106" s="54">
        <f t="shared" si="14"/>
        <v>11.600940764535693</v>
      </c>
    </row>
    <row r="107" spans="1:33" ht="15" customHeight="1">
      <c r="A107" s="33" t="s">
        <v>106</v>
      </c>
      <c r="B107" s="52">
        <f>'Расчет субсидий'!AT107</f>
        <v>55.736363636363649</v>
      </c>
      <c r="C107" s="54">
        <f>'Расчет субсидий'!D107-1</f>
        <v>0.2868538238141336</v>
      </c>
      <c r="D107" s="54">
        <f>C107*'Расчет субсидий'!E107</f>
        <v>2.868538238141336</v>
      </c>
      <c r="E107" s="55">
        <f t="shared" si="31"/>
        <v>17.50585358845586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4">
        <f>'Расчет субсидий'!P107-1</f>
        <v>0.10274601643936254</v>
      </c>
      <c r="M107" s="54">
        <f>L107*'Расчет субсидий'!Q107</f>
        <v>2.0549203287872508</v>
      </c>
      <c r="N107" s="55">
        <f t="shared" si="32"/>
        <v>12.540580402023826</v>
      </c>
      <c r="O107" s="54">
        <f>'Расчет субсидий'!T107-1</f>
        <v>2.3809523809523725E-2</v>
      </c>
      <c r="P107" s="54">
        <f>O107*'Расчет субсидий'!U107</f>
        <v>0.59523809523809312</v>
      </c>
      <c r="Q107" s="55">
        <f t="shared" si="33"/>
        <v>3.6325647700834276</v>
      </c>
      <c r="R107" s="54">
        <f>'Расчет субсидий'!X107-1</f>
        <v>0.20199999999999996</v>
      </c>
      <c r="S107" s="54">
        <f>R107*'Расчет субсидий'!Y107</f>
        <v>5.0499999999999989</v>
      </c>
      <c r="T107" s="55">
        <f t="shared" si="34"/>
        <v>30.818679509387909</v>
      </c>
      <c r="U107" s="60" t="s">
        <v>385</v>
      </c>
      <c r="V107" s="60" t="s">
        <v>385</v>
      </c>
      <c r="W107" s="61" t="s">
        <v>385</v>
      </c>
      <c r="X107" s="73">
        <f>'Расчет субсидий'!AF107-1</f>
        <v>-7.1782178217821735E-2</v>
      </c>
      <c r="Y107" s="73">
        <f>X107*'Расчет субсидий'!AG107</f>
        <v>-1.4356435643564347</v>
      </c>
      <c r="Z107" s="55">
        <f t="shared" si="13"/>
        <v>-8.7613146335873839</v>
      </c>
      <c r="AA107" s="27" t="s">
        <v>367</v>
      </c>
      <c r="AB107" s="27" t="s">
        <v>367</v>
      </c>
      <c r="AC107" s="27" t="s">
        <v>367</v>
      </c>
      <c r="AD107" s="27" t="s">
        <v>367</v>
      </c>
      <c r="AE107" s="27" t="s">
        <v>367</v>
      </c>
      <c r="AF107" s="27" t="s">
        <v>367</v>
      </c>
      <c r="AG107" s="54">
        <f t="shared" si="14"/>
        <v>9.1330530978102455</v>
      </c>
    </row>
    <row r="108" spans="1:33" ht="15" customHeight="1">
      <c r="A108" s="33" t="s">
        <v>107</v>
      </c>
      <c r="B108" s="52">
        <f>'Расчет субсидий'!AT108</f>
        <v>-14.118181818181881</v>
      </c>
      <c r="C108" s="54">
        <f>'Расчет субсидий'!D108-1</f>
        <v>-0.70800821742244335</v>
      </c>
      <c r="D108" s="54">
        <f>C108*'Расчет субсидий'!E108</f>
        <v>-7.0800821742244331</v>
      </c>
      <c r="E108" s="55">
        <f t="shared" si="31"/>
        <v>-28.02033172653146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4">
        <f>'Расчет субсидий'!P108-1</f>
        <v>-9.5549085527690814E-3</v>
      </c>
      <c r="M108" s="54">
        <f>L108*'Расчет субсидий'!Q108</f>
        <v>-0.19109817105538163</v>
      </c>
      <c r="N108" s="55">
        <f t="shared" si="32"/>
        <v>-0.75629547984615075</v>
      </c>
      <c r="O108" s="54">
        <f>'Расчет субсидий'!T108-1</f>
        <v>0</v>
      </c>
      <c r="P108" s="54">
        <f>O108*'Расчет субсидий'!U108</f>
        <v>0</v>
      </c>
      <c r="Q108" s="55">
        <f t="shared" si="33"/>
        <v>0</v>
      </c>
      <c r="R108" s="54">
        <f>'Расчет субсидий'!X108-1</f>
        <v>0.25166666666666671</v>
      </c>
      <c r="S108" s="54">
        <f>R108*'Расчет субсидий'!Y108</f>
        <v>7.5500000000000007</v>
      </c>
      <c r="T108" s="55">
        <f t="shared" si="34"/>
        <v>29.880091689541239</v>
      </c>
      <c r="U108" s="60" t="s">
        <v>385</v>
      </c>
      <c r="V108" s="60" t="s">
        <v>385</v>
      </c>
      <c r="W108" s="61" t="s">
        <v>385</v>
      </c>
      <c r="X108" s="73">
        <f>'Расчет субсидий'!AF108-1</f>
        <v>-0.19230769230769229</v>
      </c>
      <c r="Y108" s="73">
        <f>X108*'Расчет субсидий'!AG108</f>
        <v>-3.8461538461538458</v>
      </c>
      <c r="Z108" s="55">
        <f t="shared" si="13"/>
        <v>-15.22164630134551</v>
      </c>
      <c r="AA108" s="27" t="s">
        <v>367</v>
      </c>
      <c r="AB108" s="27" t="s">
        <v>367</v>
      </c>
      <c r="AC108" s="27" t="s">
        <v>367</v>
      </c>
      <c r="AD108" s="27" t="s">
        <v>367</v>
      </c>
      <c r="AE108" s="27" t="s">
        <v>367</v>
      </c>
      <c r="AF108" s="27" t="s">
        <v>367</v>
      </c>
      <c r="AG108" s="54">
        <f t="shared" si="14"/>
        <v>-3.5673341914336598</v>
      </c>
    </row>
    <row r="109" spans="1:33" ht="15" customHeight="1">
      <c r="A109" s="33" t="s">
        <v>108</v>
      </c>
      <c r="B109" s="52">
        <f>'Расчет субсидий'!AT109</f>
        <v>30.554545454545462</v>
      </c>
      <c r="C109" s="54">
        <f>'Расчет субсидий'!D109-1</f>
        <v>-0.71328323655546699</v>
      </c>
      <c r="D109" s="54">
        <f>C109*'Расчет субсидий'!E109</f>
        <v>-7.1328323655546697</v>
      </c>
      <c r="E109" s="55">
        <f t="shared" si="31"/>
        <v>-32.336445708148503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4">
        <f>'Расчет субсидий'!P109-1</f>
        <v>4.0129338219443866E-2</v>
      </c>
      <c r="M109" s="54">
        <f>L109*'Расчет субсидий'!Q109</f>
        <v>0.80258676438887733</v>
      </c>
      <c r="N109" s="55">
        <f t="shared" si="32"/>
        <v>3.6384989864711819</v>
      </c>
      <c r="O109" s="54">
        <f>'Расчет субсидий'!T109-1</f>
        <v>0.22280092592592582</v>
      </c>
      <c r="P109" s="54">
        <f>O109*'Расчет субсидий'!U109</f>
        <v>5.5700231481481453</v>
      </c>
      <c r="Q109" s="55">
        <f t="shared" si="33"/>
        <v>25.251504857035378</v>
      </c>
      <c r="R109" s="54">
        <f>'Расчет субсидий'!X109-1</f>
        <v>0.30000000000000004</v>
      </c>
      <c r="S109" s="54">
        <f>R109*'Расчет субсидий'!Y109</f>
        <v>7.5000000000000009</v>
      </c>
      <c r="T109" s="55">
        <f t="shared" si="34"/>
        <v>34.000987319187402</v>
      </c>
      <c r="U109" s="60" t="s">
        <v>385</v>
      </c>
      <c r="V109" s="60" t="s">
        <v>385</v>
      </c>
      <c r="W109" s="61" t="s">
        <v>385</v>
      </c>
      <c r="X109" s="73">
        <f>'Расчет субсидий'!AF109-1</f>
        <v>0</v>
      </c>
      <c r="Y109" s="73">
        <f>X109*'Расчет субсидий'!AG109</f>
        <v>0</v>
      </c>
      <c r="Z109" s="55">
        <f t="shared" si="13"/>
        <v>0</v>
      </c>
      <c r="AA109" s="27" t="s">
        <v>367</v>
      </c>
      <c r="AB109" s="27" t="s">
        <v>367</v>
      </c>
      <c r="AC109" s="27" t="s">
        <v>367</v>
      </c>
      <c r="AD109" s="27" t="s">
        <v>367</v>
      </c>
      <c r="AE109" s="27" t="s">
        <v>367</v>
      </c>
      <c r="AF109" s="27" t="s">
        <v>367</v>
      </c>
      <c r="AG109" s="54">
        <f t="shared" si="14"/>
        <v>6.7397775469823538</v>
      </c>
    </row>
    <row r="110" spans="1:33" ht="15" customHeight="1">
      <c r="A110" s="33" t="s">
        <v>109</v>
      </c>
      <c r="B110" s="52">
        <f>'Расчет субсидий'!AT110</f>
        <v>-40.918181818181893</v>
      </c>
      <c r="C110" s="54">
        <f>'Расчет субсидий'!D110-1</f>
        <v>-0.28261413516883294</v>
      </c>
      <c r="D110" s="54">
        <f>C110*'Расчет субсидий'!E110</f>
        <v>-2.8261413516883294</v>
      </c>
      <c r="E110" s="55">
        <f t="shared" si="31"/>
        <v>-14.776191800742058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4">
        <f>'Расчет субсидий'!P110-1</f>
        <v>-1</v>
      </c>
      <c r="M110" s="54">
        <f>L110*'Расчет субсидий'!Q110</f>
        <v>-20</v>
      </c>
      <c r="N110" s="55">
        <f t="shared" si="32"/>
        <v>-104.56796006975942</v>
      </c>
      <c r="O110" s="54">
        <f>'Расчет субсидий'!T110-1</f>
        <v>0.30000000000000004</v>
      </c>
      <c r="P110" s="54">
        <f>O110*'Расчет субсидий'!U110</f>
        <v>9.0000000000000018</v>
      </c>
      <c r="Q110" s="55">
        <f t="shared" si="33"/>
        <v>47.055582031391751</v>
      </c>
      <c r="R110" s="54">
        <f>'Расчет субсидий'!X110-1</f>
        <v>0.30000000000000004</v>
      </c>
      <c r="S110" s="54">
        <f>R110*'Расчет субсидий'!Y110</f>
        <v>6.0000000000000009</v>
      </c>
      <c r="T110" s="55">
        <f t="shared" si="34"/>
        <v>31.37038802092783</v>
      </c>
      <c r="U110" s="60" t="s">
        <v>385</v>
      </c>
      <c r="V110" s="60" t="s">
        <v>385</v>
      </c>
      <c r="W110" s="61" t="s">
        <v>385</v>
      </c>
      <c r="X110" s="73">
        <f>'Расчет субсидий'!AF110-1</f>
        <v>0</v>
      </c>
      <c r="Y110" s="73">
        <f>X110*'Расчет субсидий'!AG110</f>
        <v>0</v>
      </c>
      <c r="Z110" s="55">
        <f t="shared" si="13"/>
        <v>0</v>
      </c>
      <c r="AA110" s="27" t="s">
        <v>367</v>
      </c>
      <c r="AB110" s="27" t="s">
        <v>367</v>
      </c>
      <c r="AC110" s="27" t="s">
        <v>367</v>
      </c>
      <c r="AD110" s="27" t="s">
        <v>367</v>
      </c>
      <c r="AE110" s="27" t="s">
        <v>367</v>
      </c>
      <c r="AF110" s="27" t="s">
        <v>367</v>
      </c>
      <c r="AG110" s="54">
        <f t="shared" si="14"/>
        <v>-7.8261413516883254</v>
      </c>
    </row>
    <row r="111" spans="1:33" ht="15" customHeight="1">
      <c r="A111" s="33" t="s">
        <v>110</v>
      </c>
      <c r="B111" s="52">
        <f>'Расчет субсидий'!AT111</f>
        <v>-138.9909090909091</v>
      </c>
      <c r="C111" s="54">
        <f>'Расчет субсидий'!D111-1</f>
        <v>-1</v>
      </c>
      <c r="D111" s="54">
        <f>C111*'Расчет субсидий'!E111</f>
        <v>0</v>
      </c>
      <c r="E111" s="55">
        <f t="shared" si="31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4">
        <f>'Расчет субсидий'!P111-1</f>
        <v>-0.48680209220289505</v>
      </c>
      <c r="M111" s="54">
        <f>L111*'Расчет субсидий'!Q111</f>
        <v>-9.7360418440579011</v>
      </c>
      <c r="N111" s="55">
        <f t="shared" si="32"/>
        <v>-79.629073542485813</v>
      </c>
      <c r="O111" s="54">
        <f>'Расчет субсидий'!T111-1</f>
        <v>5.2577319587628901E-2</v>
      </c>
      <c r="P111" s="54">
        <f>O111*'Расчет субсидий'!U111</f>
        <v>1.051546391752578</v>
      </c>
      <c r="Q111" s="55">
        <f t="shared" si="33"/>
        <v>8.6003805554005446</v>
      </c>
      <c r="R111" s="54">
        <f>'Расчет субсидий'!X111-1</f>
        <v>3.2000000000000028E-2</v>
      </c>
      <c r="S111" s="54">
        <f>R111*'Расчет субсидий'!Y111</f>
        <v>0.96000000000000085</v>
      </c>
      <c r="T111" s="55">
        <f t="shared" si="34"/>
        <v>7.8516415423421453</v>
      </c>
      <c r="U111" s="60" t="s">
        <v>385</v>
      </c>
      <c r="V111" s="60" t="s">
        <v>385</v>
      </c>
      <c r="W111" s="61" t="s">
        <v>385</v>
      </c>
      <c r="X111" s="73">
        <f>'Расчет субсидий'!AF111-1</f>
        <v>-0.46347826086956523</v>
      </c>
      <c r="Y111" s="73">
        <f>X111*'Расчет субсидий'!AG111</f>
        <v>-9.269565217391305</v>
      </c>
      <c r="Z111" s="55">
        <f t="shared" si="13"/>
        <v>-75.813857646165943</v>
      </c>
      <c r="AA111" s="27" t="s">
        <v>367</v>
      </c>
      <c r="AB111" s="27" t="s">
        <v>367</v>
      </c>
      <c r="AC111" s="27" t="s">
        <v>367</v>
      </c>
      <c r="AD111" s="27" t="s">
        <v>367</v>
      </c>
      <c r="AE111" s="27" t="s">
        <v>367</v>
      </c>
      <c r="AF111" s="27" t="s">
        <v>367</v>
      </c>
      <c r="AG111" s="54">
        <f t="shared" si="14"/>
        <v>-16.99406066969663</v>
      </c>
    </row>
    <row r="112" spans="1:33" ht="15" customHeight="1">
      <c r="A112" s="33" t="s">
        <v>111</v>
      </c>
      <c r="B112" s="52">
        <f>'Расчет субсидий'!AT112</f>
        <v>57.254545454545394</v>
      </c>
      <c r="C112" s="54">
        <f>'Расчет субсидий'!D112-1</f>
        <v>-0.30178002894356004</v>
      </c>
      <c r="D112" s="54">
        <f>C112*'Расчет субсидий'!E112</f>
        <v>-3.0178002894356002</v>
      </c>
      <c r="E112" s="55">
        <f t="shared" si="31"/>
        <v>-15.14240095440309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4">
        <f>'Расчет субсидий'!P112-1</f>
        <v>0.30000000000000004</v>
      </c>
      <c r="M112" s="54">
        <f>L112*'Расчет субсидий'!Q112</f>
        <v>6.0000000000000009</v>
      </c>
      <c r="N112" s="55">
        <f t="shared" si="32"/>
        <v>30.106169067738566</v>
      </c>
      <c r="O112" s="54">
        <f>'Расчет субсидий'!T112-1</f>
        <v>0.22500000000000009</v>
      </c>
      <c r="P112" s="54">
        <f>O112*'Расчет субсидий'!U112</f>
        <v>5.6250000000000018</v>
      </c>
      <c r="Q112" s="55">
        <f t="shared" si="33"/>
        <v>28.224533501004913</v>
      </c>
      <c r="R112" s="54">
        <f>'Расчет субсидий'!X112-1</f>
        <v>0.14085106382978729</v>
      </c>
      <c r="S112" s="54">
        <f>R112*'Расчет субсидий'!Y112</f>
        <v>3.5212765957446823</v>
      </c>
      <c r="T112" s="55">
        <f t="shared" si="34"/>
        <v>17.668691420960052</v>
      </c>
      <c r="U112" s="60" t="s">
        <v>385</v>
      </c>
      <c r="V112" s="60" t="s">
        <v>385</v>
      </c>
      <c r="W112" s="61" t="s">
        <v>385</v>
      </c>
      <c r="X112" s="73">
        <f>'Расчет субсидий'!AF112-1</f>
        <v>-3.5897435897435881E-2</v>
      </c>
      <c r="Y112" s="73">
        <f>X112*'Расчет субсидий'!AG112</f>
        <v>-0.71794871794871762</v>
      </c>
      <c r="Z112" s="55">
        <f t="shared" ref="Z112:Z175" si="35">$B112*Y112/$AG112</f>
        <v>-3.6024475807550398</v>
      </c>
      <c r="AA112" s="27" t="s">
        <v>367</v>
      </c>
      <c r="AB112" s="27" t="s">
        <v>367</v>
      </c>
      <c r="AC112" s="27" t="s">
        <v>367</v>
      </c>
      <c r="AD112" s="27" t="s">
        <v>367</v>
      </c>
      <c r="AE112" s="27" t="s">
        <v>367</v>
      </c>
      <c r="AF112" s="27" t="s">
        <v>367</v>
      </c>
      <c r="AG112" s="54">
        <f t="shared" ref="AG112:AG175" si="36">D112+M112+P112+S112+Y112</f>
        <v>11.410527588360367</v>
      </c>
    </row>
    <row r="113" spans="1:33" ht="15" customHeight="1">
      <c r="A113" s="33" t="s">
        <v>112</v>
      </c>
      <c r="B113" s="52">
        <f>'Расчет субсидий'!AT113</f>
        <v>3.5818181818183348</v>
      </c>
      <c r="C113" s="54">
        <f>'Расчет субсидий'!D113-1</f>
        <v>-7.6750448833034057E-2</v>
      </c>
      <c r="D113" s="54">
        <f>C113*'Расчет субсидий'!E113</f>
        <v>-0.76750448833034057</v>
      </c>
      <c r="E113" s="55">
        <f t="shared" si="31"/>
        <v>-8.1416653160872947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4">
        <f>'Расчет субсидий'!P113-1</f>
        <v>-0.43591528653085154</v>
      </c>
      <c r="M113" s="54">
        <f>L113*'Расчет субсидий'!Q113</f>
        <v>-8.7183057306170308</v>
      </c>
      <c r="N113" s="55">
        <f t="shared" si="32"/>
        <v>-92.483533922291159</v>
      </c>
      <c r="O113" s="54">
        <f>'Расчет субсидий'!T113-1</f>
        <v>3.0000000000000027E-2</v>
      </c>
      <c r="P113" s="54">
        <f>O113*'Расчет субсидий'!U113</f>
        <v>0.60000000000000053</v>
      </c>
      <c r="Q113" s="55">
        <f t="shared" si="33"/>
        <v>6.3647825699096563</v>
      </c>
      <c r="R113" s="54">
        <f>'Расчет субсидий'!X113-1</f>
        <v>0.30000000000000004</v>
      </c>
      <c r="S113" s="54">
        <f>R113*'Расчет субсидий'!Y113</f>
        <v>9.0000000000000018</v>
      </c>
      <c r="T113" s="55">
        <f t="shared" si="34"/>
        <v>95.47173854864478</v>
      </c>
      <c r="U113" s="60" t="s">
        <v>385</v>
      </c>
      <c r="V113" s="60" t="s">
        <v>385</v>
      </c>
      <c r="W113" s="61" t="s">
        <v>385</v>
      </c>
      <c r="X113" s="73">
        <f>'Расчет субсидий'!AF113-1</f>
        <v>1.1173184357541999E-2</v>
      </c>
      <c r="Y113" s="73">
        <f>X113*'Расчет субсидий'!AG113</f>
        <v>0.22346368715083997</v>
      </c>
      <c r="Z113" s="55">
        <f t="shared" si="35"/>
        <v>2.370496301642349</v>
      </c>
      <c r="AA113" s="27" t="s">
        <v>367</v>
      </c>
      <c r="AB113" s="27" t="s">
        <v>367</v>
      </c>
      <c r="AC113" s="27" t="s">
        <v>367</v>
      </c>
      <c r="AD113" s="27" t="s">
        <v>367</v>
      </c>
      <c r="AE113" s="27" t="s">
        <v>367</v>
      </c>
      <c r="AF113" s="27" t="s">
        <v>367</v>
      </c>
      <c r="AG113" s="54">
        <f t="shared" si="36"/>
        <v>0.33765346820347197</v>
      </c>
    </row>
    <row r="114" spans="1:33" ht="15" customHeight="1">
      <c r="A114" s="33" t="s">
        <v>113</v>
      </c>
      <c r="B114" s="52">
        <f>'Расчет субсидий'!AT114</f>
        <v>0</v>
      </c>
      <c r="C114" s="54">
        <f>'Расчет субсидий'!D114-1</f>
        <v>0.30000000000000004</v>
      </c>
      <c r="D114" s="54">
        <f>C114*'Расчет субсидий'!E114</f>
        <v>3.0000000000000004</v>
      </c>
      <c r="E114" s="55">
        <f t="shared" si="31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4">
        <f>'Расчет субсидий'!P114-1</f>
        <v>-0.184421333019958</v>
      </c>
      <c r="M114" s="54">
        <f>L114*'Расчет субсидий'!Q114</f>
        <v>-3.68842666039916</v>
      </c>
      <c r="N114" s="55">
        <f t="shared" si="32"/>
        <v>0</v>
      </c>
      <c r="O114" s="54">
        <f>'Расчет субсидий'!T114-1</f>
        <v>-1</v>
      </c>
      <c r="P114" s="54">
        <f>O114*'Расчет субсидий'!U114</f>
        <v>0</v>
      </c>
      <c r="Q114" s="55">
        <f t="shared" si="33"/>
        <v>0</v>
      </c>
      <c r="R114" s="54">
        <f>'Расчет субсидий'!X114-1</f>
        <v>-1</v>
      </c>
      <c r="S114" s="54">
        <f>R114*'Расчет субсидий'!Y114</f>
        <v>0</v>
      </c>
      <c r="T114" s="55">
        <f t="shared" si="34"/>
        <v>0</v>
      </c>
      <c r="U114" s="60" t="s">
        <v>385</v>
      </c>
      <c r="V114" s="60" t="s">
        <v>385</v>
      </c>
      <c r="W114" s="61" t="s">
        <v>385</v>
      </c>
      <c r="X114" s="73">
        <f>'Расчет субсидий'!AF114-1</f>
        <v>-1</v>
      </c>
      <c r="Y114" s="73">
        <f>X114*'Расчет субсидий'!AG114</f>
        <v>0</v>
      </c>
      <c r="Z114" s="55">
        <f t="shared" si="35"/>
        <v>0</v>
      </c>
      <c r="AA114" s="27" t="s">
        <v>367</v>
      </c>
      <c r="AB114" s="27" t="s">
        <v>367</v>
      </c>
      <c r="AC114" s="27" t="s">
        <v>367</v>
      </c>
      <c r="AD114" s="27" t="s">
        <v>367</v>
      </c>
      <c r="AE114" s="27" t="s">
        <v>367</v>
      </c>
      <c r="AF114" s="27" t="s">
        <v>367</v>
      </c>
      <c r="AG114" s="54">
        <f t="shared" si="36"/>
        <v>-0.68842666039915956</v>
      </c>
    </row>
    <row r="115" spans="1:33" ht="15" customHeight="1">
      <c r="A115" s="33" t="s">
        <v>114</v>
      </c>
      <c r="B115" s="52">
        <f>'Расчет субсидий'!AT115</f>
        <v>36.872727272727275</v>
      </c>
      <c r="C115" s="54">
        <f>'Расчет субсидий'!D115-1</f>
        <v>-0.14796239026920366</v>
      </c>
      <c r="D115" s="54">
        <f>C115*'Расчет субсидий'!E115</f>
        <v>-1.4796239026920366</v>
      </c>
      <c r="E115" s="55">
        <f t="shared" si="31"/>
        <v>-10.837831835336715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4">
        <f>'Расчет субсидий'!P115-1</f>
        <v>0.24484843004724555</v>
      </c>
      <c r="M115" s="54">
        <f>L115*'Расчет субсидий'!Q115</f>
        <v>4.8969686009449109</v>
      </c>
      <c r="N115" s="55">
        <f t="shared" si="32"/>
        <v>35.868927302001943</v>
      </c>
      <c r="O115" s="54">
        <f>'Расчет субсидий'!T115-1</f>
        <v>6.4999999999999947E-2</v>
      </c>
      <c r="P115" s="54">
        <f>O115*'Расчет субсидий'!U115</f>
        <v>1.9499999999999984</v>
      </c>
      <c r="Q115" s="55">
        <f t="shared" si="33"/>
        <v>14.283205374322263</v>
      </c>
      <c r="R115" s="54">
        <f>'Расчет субсидий'!X115-1</f>
        <v>-1.6666666666666607E-2</v>
      </c>
      <c r="S115" s="54">
        <f>R115*'Расчет субсидий'!Y115</f>
        <v>-0.33333333333333215</v>
      </c>
      <c r="T115" s="55">
        <f t="shared" si="34"/>
        <v>-2.4415735682602091</v>
      </c>
      <c r="U115" s="60" t="s">
        <v>385</v>
      </c>
      <c r="V115" s="60" t="s">
        <v>385</v>
      </c>
      <c r="W115" s="61" t="s">
        <v>385</v>
      </c>
      <c r="X115" s="73">
        <f>'Расчет субсидий'!AF115-1</f>
        <v>0</v>
      </c>
      <c r="Y115" s="73">
        <f>X115*'Расчет субсидий'!AG115</f>
        <v>0</v>
      </c>
      <c r="Z115" s="55">
        <f t="shared" si="35"/>
        <v>0</v>
      </c>
      <c r="AA115" s="27" t="s">
        <v>367</v>
      </c>
      <c r="AB115" s="27" t="s">
        <v>367</v>
      </c>
      <c r="AC115" s="27" t="s">
        <v>367</v>
      </c>
      <c r="AD115" s="27" t="s">
        <v>367</v>
      </c>
      <c r="AE115" s="27" t="s">
        <v>367</v>
      </c>
      <c r="AF115" s="27" t="s">
        <v>367</v>
      </c>
      <c r="AG115" s="54">
        <f t="shared" si="36"/>
        <v>5.0340113649195404</v>
      </c>
    </row>
    <row r="116" spans="1:33" ht="15" customHeight="1">
      <c r="A116" s="33" t="s">
        <v>115</v>
      </c>
      <c r="B116" s="52">
        <f>'Расчет субсидий'!AT116</f>
        <v>-34.054545454545519</v>
      </c>
      <c r="C116" s="54">
        <f>'Расчет субсидий'!D116-1</f>
        <v>-0.21344018223975914</v>
      </c>
      <c r="D116" s="54">
        <f>C116*'Расчет субсидий'!E116</f>
        <v>-2.1344018223975914</v>
      </c>
      <c r="E116" s="55">
        <f t="shared" si="31"/>
        <v>-12.418319537817904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4">
        <f>'Расчет субсидий'!P116-1</f>
        <v>-0.11649214659685869</v>
      </c>
      <c r="M116" s="54">
        <f>L116*'Расчет субсидий'!Q116</f>
        <v>-2.3298429319371738</v>
      </c>
      <c r="N116" s="55">
        <f t="shared" si="32"/>
        <v>-13.555429768712424</v>
      </c>
      <c r="O116" s="54">
        <f>'Расчет субсидий'!T116-1</f>
        <v>-0.4</v>
      </c>
      <c r="P116" s="54">
        <f>O116*'Расчет субсидий'!U116</f>
        <v>-10</v>
      </c>
      <c r="Q116" s="55">
        <f t="shared" si="33"/>
        <v>-58.181732265709471</v>
      </c>
      <c r="R116" s="54">
        <f>'Расчет субсидий'!X116-1</f>
        <v>0.30000000000000004</v>
      </c>
      <c r="S116" s="54">
        <f>R116*'Расчет субсидий'!Y116</f>
        <v>7.5000000000000009</v>
      </c>
      <c r="T116" s="55">
        <f t="shared" si="34"/>
        <v>43.636299199282114</v>
      </c>
      <c r="U116" s="60" t="s">
        <v>385</v>
      </c>
      <c r="V116" s="60" t="s">
        <v>385</v>
      </c>
      <c r="W116" s="61" t="s">
        <v>385</v>
      </c>
      <c r="X116" s="73">
        <f>'Расчет субсидий'!AF116-1</f>
        <v>5.555555555555558E-2</v>
      </c>
      <c r="Y116" s="73">
        <f>X116*'Расчет субсидий'!AG116</f>
        <v>1.1111111111111116</v>
      </c>
      <c r="Z116" s="55">
        <f t="shared" si="35"/>
        <v>6.4646369184121664</v>
      </c>
      <c r="AA116" s="27" t="s">
        <v>367</v>
      </c>
      <c r="AB116" s="27" t="s">
        <v>367</v>
      </c>
      <c r="AC116" s="27" t="s">
        <v>367</v>
      </c>
      <c r="AD116" s="27" t="s">
        <v>367</v>
      </c>
      <c r="AE116" s="27" t="s">
        <v>367</v>
      </c>
      <c r="AF116" s="27" t="s">
        <v>367</v>
      </c>
      <c r="AG116" s="54">
        <f t="shared" si="36"/>
        <v>-5.8531336432236518</v>
      </c>
    </row>
    <row r="117" spans="1:33" ht="15" customHeight="1">
      <c r="A117" s="33" t="s">
        <v>116</v>
      </c>
      <c r="B117" s="52">
        <f>'Расчет субсидий'!AT117</f>
        <v>-34.31818181818187</v>
      </c>
      <c r="C117" s="54">
        <f>'Расчет субсидий'!D117-1</f>
        <v>-6.7089755213055269E-2</v>
      </c>
      <c r="D117" s="54">
        <f>C117*'Расчет субсидий'!E117</f>
        <v>-0.67089755213055269</v>
      </c>
      <c r="E117" s="55">
        <f t="shared" si="31"/>
        <v>-4.1261721726206781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4">
        <f>'Расчет субсидий'!P117-1</f>
        <v>-0.44579301295719209</v>
      </c>
      <c r="M117" s="54">
        <f>L117*'Расчет субсидий'!Q117</f>
        <v>-8.9158602591438409</v>
      </c>
      <c r="N117" s="55">
        <f t="shared" si="32"/>
        <v>-54.834563607254161</v>
      </c>
      <c r="O117" s="54">
        <f>'Расчет субсидий'!T117-1</f>
        <v>2.1428571428571574E-2</v>
      </c>
      <c r="P117" s="54">
        <f>O117*'Расчет субсидий'!U117</f>
        <v>0.64285714285714723</v>
      </c>
      <c r="Q117" s="55">
        <f t="shared" si="33"/>
        <v>3.9537172932051905</v>
      </c>
      <c r="R117" s="54">
        <f>'Расчет субсидий'!X117-1</f>
        <v>0</v>
      </c>
      <c r="S117" s="54">
        <f>R117*'Расчет субсидий'!Y117</f>
        <v>0</v>
      </c>
      <c r="T117" s="55">
        <f t="shared" si="34"/>
        <v>0</v>
      </c>
      <c r="U117" s="60" t="s">
        <v>385</v>
      </c>
      <c r="V117" s="60" t="s">
        <v>385</v>
      </c>
      <c r="W117" s="61" t="s">
        <v>385</v>
      </c>
      <c r="X117" s="73">
        <f>'Расчет субсидий'!AF117-1</f>
        <v>0.16819571865443428</v>
      </c>
      <c r="Y117" s="73">
        <f>X117*'Расчет субсидий'!AG117</f>
        <v>3.3639143730886856</v>
      </c>
      <c r="Z117" s="55">
        <f t="shared" si="35"/>
        <v>20.688836668487777</v>
      </c>
      <c r="AA117" s="27" t="s">
        <v>367</v>
      </c>
      <c r="AB117" s="27" t="s">
        <v>367</v>
      </c>
      <c r="AC117" s="27" t="s">
        <v>367</v>
      </c>
      <c r="AD117" s="27" t="s">
        <v>367</v>
      </c>
      <c r="AE117" s="27" t="s">
        <v>367</v>
      </c>
      <c r="AF117" s="27" t="s">
        <v>367</v>
      </c>
      <c r="AG117" s="54">
        <f t="shared" si="36"/>
        <v>-5.5799862953285606</v>
      </c>
    </row>
    <row r="118" spans="1:33" ht="15" customHeight="1">
      <c r="A118" s="33" t="s">
        <v>117</v>
      </c>
      <c r="B118" s="52">
        <f>'Расчет субсидий'!AT118</f>
        <v>-51.072727272727263</v>
      </c>
      <c r="C118" s="54">
        <f>'Расчет субсидий'!D118-1</f>
        <v>-1</v>
      </c>
      <c r="D118" s="54">
        <f>C118*'Расчет субсидий'!E118</f>
        <v>0</v>
      </c>
      <c r="E118" s="55">
        <f t="shared" si="31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4">
        <f>'Расчет субсидий'!P118-1</f>
        <v>-1</v>
      </c>
      <c r="M118" s="54">
        <f>L118*'Расчет субсидий'!Q118</f>
        <v>-20</v>
      </c>
      <c r="N118" s="55">
        <f t="shared" si="32"/>
        <v>-89.405211855977726</v>
      </c>
      <c r="O118" s="54">
        <f>'Расчет субсидий'!T118-1</f>
        <v>8.8888888888889017E-2</v>
      </c>
      <c r="P118" s="54">
        <f>O118*'Расчет субсидий'!U118</f>
        <v>2.6666666666666705</v>
      </c>
      <c r="Q118" s="55">
        <f t="shared" si="33"/>
        <v>11.92069491413038</v>
      </c>
      <c r="R118" s="54">
        <f>'Расчет субсидий'!X118-1</f>
        <v>6.6666666666666652E-2</v>
      </c>
      <c r="S118" s="54">
        <f>R118*'Расчет субсидий'!Y118</f>
        <v>1.333333333333333</v>
      </c>
      <c r="T118" s="55">
        <f t="shared" si="34"/>
        <v>5.96034745706518</v>
      </c>
      <c r="U118" s="60" t="s">
        <v>385</v>
      </c>
      <c r="V118" s="60" t="s">
        <v>385</v>
      </c>
      <c r="W118" s="61" t="s">
        <v>385</v>
      </c>
      <c r="X118" s="73">
        <f>'Расчет субсидий'!AF118-1</f>
        <v>0.22875000000000001</v>
      </c>
      <c r="Y118" s="73">
        <f>X118*'Расчет субсидий'!AG118</f>
        <v>4.5750000000000002</v>
      </c>
      <c r="Z118" s="55">
        <f t="shared" si="35"/>
        <v>20.451442212054907</v>
      </c>
      <c r="AA118" s="27" t="s">
        <v>367</v>
      </c>
      <c r="AB118" s="27" t="s">
        <v>367</v>
      </c>
      <c r="AC118" s="27" t="s">
        <v>367</v>
      </c>
      <c r="AD118" s="27" t="s">
        <v>367</v>
      </c>
      <c r="AE118" s="27" t="s">
        <v>367</v>
      </c>
      <c r="AF118" s="27" t="s">
        <v>367</v>
      </c>
      <c r="AG118" s="54">
        <f t="shared" si="36"/>
        <v>-11.424999999999997</v>
      </c>
    </row>
    <row r="119" spans="1:33" ht="15" customHeight="1">
      <c r="A119" s="33" t="s">
        <v>118</v>
      </c>
      <c r="B119" s="52">
        <f>'Расчет субсидий'!AT119</f>
        <v>-129.64545454545453</v>
      </c>
      <c r="C119" s="54">
        <f>'Расчет субсидий'!D119-1</f>
        <v>0.30000000000000004</v>
      </c>
      <c r="D119" s="54">
        <f>C119*'Расчет субсидий'!E119</f>
        <v>3.0000000000000004</v>
      </c>
      <c r="E119" s="55">
        <f t="shared" si="31"/>
        <v>19.811353604189105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4">
        <f>'Расчет субсидий'!P119-1</f>
        <v>-0.45854981772253633</v>
      </c>
      <c r="M119" s="54">
        <f>L119*'Расчет субсидий'!Q119</f>
        <v>-9.1709963544507271</v>
      </c>
      <c r="N119" s="55">
        <f t="shared" si="32"/>
        <v>-60.563283893584178</v>
      </c>
      <c r="O119" s="54">
        <f>'Расчет субсидий'!T119-1</f>
        <v>-3.0909090909090997E-2</v>
      </c>
      <c r="P119" s="54">
        <f>O119*'Расчет субсидий'!U119</f>
        <v>-0.15454545454545499</v>
      </c>
      <c r="Q119" s="55">
        <f t="shared" si="33"/>
        <v>-1.0205848826400474</v>
      </c>
      <c r="R119" s="54">
        <f>'Расчет субсидий'!X119-1</f>
        <v>-0.30000000000000004</v>
      </c>
      <c r="S119" s="54">
        <f>R119*'Расчет субсидий'!Y119</f>
        <v>-13.500000000000002</v>
      </c>
      <c r="T119" s="55">
        <f t="shared" si="34"/>
        <v>-89.151091218850965</v>
      </c>
      <c r="U119" s="60" t="s">
        <v>385</v>
      </c>
      <c r="V119" s="60" t="s">
        <v>385</v>
      </c>
      <c r="W119" s="61" t="s">
        <v>385</v>
      </c>
      <c r="X119" s="73">
        <f>'Расчет субсидий'!AF119-1</f>
        <v>9.6774193548387899E-3</v>
      </c>
      <c r="Y119" s="73">
        <f>X119*'Расчет субсидий'!AG119</f>
        <v>0.1935483870967758</v>
      </c>
      <c r="Z119" s="55">
        <f t="shared" si="35"/>
        <v>1.2781518454315655</v>
      </c>
      <c r="AA119" s="27" t="s">
        <v>367</v>
      </c>
      <c r="AB119" s="27" t="s">
        <v>367</v>
      </c>
      <c r="AC119" s="27" t="s">
        <v>367</v>
      </c>
      <c r="AD119" s="27" t="s">
        <v>367</v>
      </c>
      <c r="AE119" s="27" t="s">
        <v>367</v>
      </c>
      <c r="AF119" s="27" t="s">
        <v>367</v>
      </c>
      <c r="AG119" s="54">
        <f t="shared" si="36"/>
        <v>-19.631993421899409</v>
      </c>
    </row>
    <row r="120" spans="1:33" ht="15" customHeight="1">
      <c r="A120" s="32" t="s">
        <v>119</v>
      </c>
      <c r="B120" s="56"/>
      <c r="C120" s="57"/>
      <c r="D120" s="57"/>
      <c r="E120" s="58"/>
      <c r="F120" s="57"/>
      <c r="G120" s="57"/>
      <c r="H120" s="58"/>
      <c r="I120" s="58"/>
      <c r="J120" s="58"/>
      <c r="K120" s="58"/>
      <c r="L120" s="57"/>
      <c r="M120" s="57"/>
      <c r="N120" s="58"/>
      <c r="O120" s="57"/>
      <c r="P120" s="57"/>
      <c r="Q120" s="58"/>
      <c r="R120" s="57"/>
      <c r="S120" s="57"/>
      <c r="T120" s="58"/>
      <c r="U120" s="58"/>
      <c r="V120" s="58"/>
      <c r="W120" s="58"/>
      <c r="X120" s="75"/>
      <c r="Y120" s="75"/>
      <c r="Z120" s="58"/>
      <c r="AA120" s="58"/>
      <c r="AB120" s="58"/>
      <c r="AC120" s="58"/>
      <c r="AD120" s="58"/>
      <c r="AE120" s="58"/>
      <c r="AF120" s="58"/>
      <c r="AG120" s="58"/>
    </row>
    <row r="121" spans="1:33" ht="15" customHeight="1">
      <c r="A121" s="33" t="s">
        <v>120</v>
      </c>
      <c r="B121" s="52">
        <f>'Расчет субсидий'!AT121</f>
        <v>4.863636363636374</v>
      </c>
      <c r="C121" s="54">
        <f>'Расчет субсидий'!D121-1</f>
        <v>-2.4048282265552556E-2</v>
      </c>
      <c r="D121" s="54">
        <f>C121*'Расчет субсидий'!E121</f>
        <v>-0.24048282265552556</v>
      </c>
      <c r="E121" s="55">
        <f t="shared" ref="E121:E127" si="37">$B121*D121/$AG121</f>
        <v>-0.45953423807346988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4">
        <f>'Расчет субсидий'!P121-1</f>
        <v>0.30000000000000004</v>
      </c>
      <c r="M121" s="54">
        <f>L121*'Расчет субсидий'!Q121</f>
        <v>6.0000000000000009</v>
      </c>
      <c r="N121" s="55">
        <f t="shared" ref="N121:N127" si="38">$B121*M121/$AG121</f>
        <v>11.465290526759656</v>
      </c>
      <c r="O121" s="54">
        <f>'Расчет субсидий'!T121-1</f>
        <v>0.2114285714285713</v>
      </c>
      <c r="P121" s="54">
        <f>O121*'Расчет субсидий'!U121</f>
        <v>5.2857142857142829</v>
      </c>
      <c r="Q121" s="55">
        <f t="shared" ref="Q121:Q127" si="39">$B121*P121/$AG121</f>
        <v>10.100374987859691</v>
      </c>
      <c r="R121" s="54">
        <f>'Расчет субсидий'!X121-1</f>
        <v>0.14000000000000012</v>
      </c>
      <c r="S121" s="54">
        <f>R121*'Расчет субсидий'!Y121</f>
        <v>3.5000000000000031</v>
      </c>
      <c r="T121" s="55">
        <f t="shared" ref="T121:T127" si="40">$B121*S121/$AG121</f>
        <v>6.688086140609804</v>
      </c>
      <c r="U121" s="60" t="s">
        <v>385</v>
      </c>
      <c r="V121" s="60" t="s">
        <v>385</v>
      </c>
      <c r="W121" s="61" t="s">
        <v>385</v>
      </c>
      <c r="X121" s="73">
        <f>'Расчет субсидий'!AF121-1</f>
        <v>-0.6</v>
      </c>
      <c r="Y121" s="73">
        <f>X121*'Расчет субсидий'!AG121</f>
        <v>-12</v>
      </c>
      <c r="Z121" s="55">
        <f t="shared" si="35"/>
        <v>-22.930581053519312</v>
      </c>
      <c r="AA121" s="27" t="s">
        <v>367</v>
      </c>
      <c r="AB121" s="27" t="s">
        <v>367</v>
      </c>
      <c r="AC121" s="27" t="s">
        <v>367</v>
      </c>
      <c r="AD121" s="27" t="s">
        <v>367</v>
      </c>
      <c r="AE121" s="27" t="s">
        <v>367</v>
      </c>
      <c r="AF121" s="27" t="s">
        <v>367</v>
      </c>
      <c r="AG121" s="54">
        <f t="shared" si="36"/>
        <v>2.5452314630587622</v>
      </c>
    </row>
    <row r="122" spans="1:33" ht="15" customHeight="1">
      <c r="A122" s="33" t="s">
        <v>121</v>
      </c>
      <c r="B122" s="52">
        <f>'Расчет субсидий'!AT122</f>
        <v>-1.7454545454545496</v>
      </c>
      <c r="C122" s="54">
        <f>'Расчет субсидий'!D122-1</f>
        <v>0.16912182767354111</v>
      </c>
      <c r="D122" s="54">
        <f>C122*'Расчет субсидий'!E122</f>
        <v>1.6912182767354111</v>
      </c>
      <c r="E122" s="55">
        <f t="shared" si="37"/>
        <v>3.4250277396137219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4">
        <f>'Расчет субсидий'!P122-1</f>
        <v>-0.33248657975460127</v>
      </c>
      <c r="M122" s="54">
        <f>L122*'Расчет субсидий'!Q122</f>
        <v>-6.6497315950920255</v>
      </c>
      <c r="N122" s="55">
        <f t="shared" si="38"/>
        <v>-13.46692824189434</v>
      </c>
      <c r="O122" s="54">
        <f>'Расчет субсидий'!T122-1</f>
        <v>0.1166666666666667</v>
      </c>
      <c r="P122" s="54">
        <f>O122*'Расчет субсидий'!U122</f>
        <v>3.5000000000000009</v>
      </c>
      <c r="Q122" s="55">
        <f t="shared" si="39"/>
        <v>7.0881430584985772</v>
      </c>
      <c r="R122" s="54">
        <f>'Расчет субсидий'!X122-1</f>
        <v>-1.4285714285714235E-2</v>
      </c>
      <c r="S122" s="54">
        <f>R122*'Расчет субсидий'!Y122</f>
        <v>-0.2857142857142847</v>
      </c>
      <c r="T122" s="55">
        <f t="shared" si="40"/>
        <v>-0.57862392314273869</v>
      </c>
      <c r="U122" s="60" t="s">
        <v>385</v>
      </c>
      <c r="V122" s="60" t="s">
        <v>385</v>
      </c>
      <c r="W122" s="61" t="s">
        <v>385</v>
      </c>
      <c r="X122" s="73">
        <f>'Расчет субсидий'!AF122-1</f>
        <v>4.4117647058823595E-2</v>
      </c>
      <c r="Y122" s="73">
        <f>X122*'Расчет субсидий'!AG122</f>
        <v>0.88235294117647189</v>
      </c>
      <c r="Z122" s="55">
        <f t="shared" si="35"/>
        <v>1.7869268214702316</v>
      </c>
      <c r="AA122" s="27" t="s">
        <v>367</v>
      </c>
      <c r="AB122" s="27" t="s">
        <v>367</v>
      </c>
      <c r="AC122" s="27" t="s">
        <v>367</v>
      </c>
      <c r="AD122" s="27" t="s">
        <v>367</v>
      </c>
      <c r="AE122" s="27" t="s">
        <v>367</v>
      </c>
      <c r="AF122" s="27" t="s">
        <v>367</v>
      </c>
      <c r="AG122" s="54">
        <f t="shared" si="36"/>
        <v>-0.86187466289442582</v>
      </c>
    </row>
    <row r="123" spans="1:33" ht="15" customHeight="1">
      <c r="A123" s="33" t="s">
        <v>122</v>
      </c>
      <c r="B123" s="52">
        <f>'Расчет субсидий'!AT123</f>
        <v>-1.6727272727272862</v>
      </c>
      <c r="C123" s="54">
        <f>'Расчет субсидий'!D123-1</f>
        <v>-0.38095238095238093</v>
      </c>
      <c r="D123" s="54">
        <f>C123*'Расчет субсидий'!E123</f>
        <v>-3.8095238095238093</v>
      </c>
      <c r="E123" s="55">
        <f t="shared" si="37"/>
        <v>-8.7655137622627581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4">
        <f>'Расчет субсидий'!P123-1</f>
        <v>-0.26148897058823528</v>
      </c>
      <c r="M123" s="54">
        <f>L123*'Расчет субсидий'!Q123</f>
        <v>-5.2297794117647056</v>
      </c>
      <c r="N123" s="55">
        <f t="shared" si="38"/>
        <v>-12.033447144448264</v>
      </c>
      <c r="O123" s="54">
        <f>'Расчет субсидий'!T123-1</f>
        <v>0.21583333333333332</v>
      </c>
      <c r="P123" s="54">
        <f>O123*'Расчет субсидий'!U123</f>
        <v>3.2374999999999998</v>
      </c>
      <c r="Q123" s="55">
        <f t="shared" si="39"/>
        <v>7.4493170863979907</v>
      </c>
      <c r="R123" s="54">
        <f>'Расчет субсидий'!X123-1</f>
        <v>0.1333333333333333</v>
      </c>
      <c r="S123" s="54">
        <f>R123*'Расчет субсидий'!Y123</f>
        <v>4.6666666666666661</v>
      </c>
      <c r="T123" s="55">
        <f t="shared" si="40"/>
        <v>10.737754358771879</v>
      </c>
      <c r="U123" s="60" t="s">
        <v>385</v>
      </c>
      <c r="V123" s="60" t="s">
        <v>385</v>
      </c>
      <c r="W123" s="61" t="s">
        <v>385</v>
      </c>
      <c r="X123" s="73">
        <f>'Расчет субсидий'!AF123-1</f>
        <v>2.0408163265306145E-2</v>
      </c>
      <c r="Y123" s="73">
        <f>X123*'Расчет субсидий'!AG123</f>
        <v>0.4081632653061229</v>
      </c>
      <c r="Z123" s="55">
        <f t="shared" si="35"/>
        <v>0.93916218881386804</v>
      </c>
      <c r="AA123" s="27" t="s">
        <v>367</v>
      </c>
      <c r="AB123" s="27" t="s">
        <v>367</v>
      </c>
      <c r="AC123" s="27" t="s">
        <v>367</v>
      </c>
      <c r="AD123" s="27" t="s">
        <v>367</v>
      </c>
      <c r="AE123" s="27" t="s">
        <v>367</v>
      </c>
      <c r="AF123" s="27" t="s">
        <v>367</v>
      </c>
      <c r="AG123" s="54">
        <f t="shared" si="36"/>
        <v>-0.72697328931572613</v>
      </c>
    </row>
    <row r="124" spans="1:33" ht="15" customHeight="1">
      <c r="A124" s="33" t="s">
        <v>123</v>
      </c>
      <c r="B124" s="52">
        <f>'Расчет субсидий'!AT124</f>
        <v>-16.581818181818193</v>
      </c>
      <c r="C124" s="54">
        <f>'Расчет субсидий'!D124-1</f>
        <v>-4.2843040473840022E-2</v>
      </c>
      <c r="D124" s="54">
        <f>C124*'Расчет субсидий'!E124</f>
        <v>-0.42843040473840022</v>
      </c>
      <c r="E124" s="55">
        <f t="shared" si="37"/>
        <v>-1.0375192979736398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4">
        <f>'Расчет субсидий'!P124-1</f>
        <v>-0.67831228164471913</v>
      </c>
      <c r="M124" s="54">
        <f>L124*'Расчет субсидий'!Q124</f>
        <v>-13.566245632894383</v>
      </c>
      <c r="N124" s="55">
        <f t="shared" si="38"/>
        <v>-32.853040982870688</v>
      </c>
      <c r="O124" s="54">
        <f>'Расчет субсидий'!T124-1</f>
        <v>0.10760233918128659</v>
      </c>
      <c r="P124" s="54">
        <f>O124*'Расчет субсидий'!U124</f>
        <v>3.2280701754385976</v>
      </c>
      <c r="Q124" s="55">
        <f t="shared" si="39"/>
        <v>7.8173375773265024</v>
      </c>
      <c r="R124" s="54">
        <f>'Расчет субсидий'!X124-1</f>
        <v>0.125</v>
      </c>
      <c r="S124" s="54">
        <f>R124*'Расчет субсидий'!Y124</f>
        <v>2.5</v>
      </c>
      <c r="T124" s="55">
        <f t="shared" si="40"/>
        <v>6.0541880693968819</v>
      </c>
      <c r="U124" s="60" t="s">
        <v>385</v>
      </c>
      <c r="V124" s="60" t="s">
        <v>385</v>
      </c>
      <c r="W124" s="61" t="s">
        <v>385</v>
      </c>
      <c r="X124" s="73">
        <f>'Расчет субсидий'!AF124-1</f>
        <v>7.0967741935483941E-2</v>
      </c>
      <c r="Y124" s="73">
        <f>X124*'Расчет субсидий'!AG124</f>
        <v>1.4193548387096788</v>
      </c>
      <c r="Z124" s="55">
        <f t="shared" si="35"/>
        <v>3.4372164523027489</v>
      </c>
      <c r="AA124" s="27" t="s">
        <v>367</v>
      </c>
      <c r="AB124" s="27" t="s">
        <v>367</v>
      </c>
      <c r="AC124" s="27" t="s">
        <v>367</v>
      </c>
      <c r="AD124" s="27" t="s">
        <v>367</v>
      </c>
      <c r="AE124" s="27" t="s">
        <v>367</v>
      </c>
      <c r="AF124" s="27" t="s">
        <v>367</v>
      </c>
      <c r="AG124" s="54">
        <f t="shared" si="36"/>
        <v>-6.8472510234845059</v>
      </c>
    </row>
    <row r="125" spans="1:33" ht="15" customHeight="1">
      <c r="A125" s="33" t="s">
        <v>124</v>
      </c>
      <c r="B125" s="52">
        <f>'Расчет субсидий'!AT125</f>
        <v>1.3454545454545439</v>
      </c>
      <c r="C125" s="54">
        <f>'Расчет субсидий'!D125-1</f>
        <v>0.26358313817330203</v>
      </c>
      <c r="D125" s="54">
        <f>C125*'Расчет субсидий'!E125</f>
        <v>2.6358313817330203</v>
      </c>
      <c r="E125" s="55">
        <f t="shared" si="37"/>
        <v>4.7089913183358441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4">
        <f>'Расчет субсидий'!P125-1</f>
        <v>-0.34217279726261762</v>
      </c>
      <c r="M125" s="54">
        <f>L125*'Расчет субсидий'!Q125</f>
        <v>-6.8434559452523525</v>
      </c>
      <c r="N125" s="55">
        <f t="shared" si="38"/>
        <v>-12.226037999600404</v>
      </c>
      <c r="O125" s="54">
        <f>'Расчет субсидий'!T125-1</f>
        <v>8.5714285714285632E-2</v>
      </c>
      <c r="P125" s="54">
        <f>O125*'Расчет субсидий'!U125</f>
        <v>2.571428571428569</v>
      </c>
      <c r="Q125" s="55">
        <f t="shared" si="39"/>
        <v>4.5939337783498475</v>
      </c>
      <c r="R125" s="54">
        <f>'Расчет субсидий'!X125-1</f>
        <v>0.14285714285714279</v>
      </c>
      <c r="S125" s="54">
        <f>R125*'Расчет субсидий'!Y125</f>
        <v>2.8571428571428559</v>
      </c>
      <c r="T125" s="55">
        <f t="shared" si="40"/>
        <v>5.1043708648331663</v>
      </c>
      <c r="U125" s="60" t="s">
        <v>385</v>
      </c>
      <c r="V125" s="60" t="s">
        <v>385</v>
      </c>
      <c r="W125" s="61" t="s">
        <v>385</v>
      </c>
      <c r="X125" s="73">
        <f>'Расчет субсидий'!AF125-1</f>
        <v>-2.3391812865497075E-2</v>
      </c>
      <c r="Y125" s="73">
        <f>X125*'Расчет субсидий'!AG125</f>
        <v>-0.46783625730994149</v>
      </c>
      <c r="Z125" s="55">
        <f t="shared" si="35"/>
        <v>-0.83580341646391054</v>
      </c>
      <c r="AA125" s="27" t="s">
        <v>367</v>
      </c>
      <c r="AB125" s="27" t="s">
        <v>367</v>
      </c>
      <c r="AC125" s="27" t="s">
        <v>367</v>
      </c>
      <c r="AD125" s="27" t="s">
        <v>367</v>
      </c>
      <c r="AE125" s="27" t="s">
        <v>367</v>
      </c>
      <c r="AF125" s="27" t="s">
        <v>367</v>
      </c>
      <c r="AG125" s="54">
        <f t="shared" si="36"/>
        <v>0.75311060774215166</v>
      </c>
    </row>
    <row r="126" spans="1:33" ht="15" customHeight="1">
      <c r="A126" s="33" t="s">
        <v>125</v>
      </c>
      <c r="B126" s="52">
        <f>'Расчет субсидий'!AT126</f>
        <v>-6.7818181818182097</v>
      </c>
      <c r="C126" s="54">
        <f>'Расчет субсидий'!D126-1</f>
        <v>-0.21746031746031746</v>
      </c>
      <c r="D126" s="54">
        <f>C126*'Расчет субсидий'!E126</f>
        <v>-2.1746031746031749</v>
      </c>
      <c r="E126" s="55">
        <f t="shared" si="37"/>
        <v>-5.717464825607899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4">
        <f>'Расчет субсидий'!P126-1</f>
        <v>-0.25275301520713156</v>
      </c>
      <c r="M126" s="54">
        <f>L126*'Расчет субсидий'!Q126</f>
        <v>-5.0550603041426312</v>
      </c>
      <c r="N126" s="55">
        <f t="shared" si="38"/>
        <v>-13.29076027194542</v>
      </c>
      <c r="O126" s="54">
        <f>'Расчет субсидий'!T126-1</f>
        <v>6.7441860465116354E-2</v>
      </c>
      <c r="P126" s="54">
        <f>O126*'Расчет субсидий'!U126</f>
        <v>2.0232558139534906</v>
      </c>
      <c r="Q126" s="55">
        <f t="shared" si="39"/>
        <v>5.3195424731211896</v>
      </c>
      <c r="R126" s="54">
        <f>'Расчет субсидий'!X126-1</f>
        <v>0.125</v>
      </c>
      <c r="S126" s="54">
        <f>R126*'Расчет субсидий'!Y126</f>
        <v>2.5</v>
      </c>
      <c r="T126" s="55">
        <f t="shared" si="40"/>
        <v>6.5729978834543363</v>
      </c>
      <c r="U126" s="60" t="s">
        <v>385</v>
      </c>
      <c r="V126" s="60" t="s">
        <v>385</v>
      </c>
      <c r="W126" s="61" t="s">
        <v>385</v>
      </c>
      <c r="X126" s="73">
        <f>'Расчет субсидий'!AF126-1</f>
        <v>6.3492063492063266E-3</v>
      </c>
      <c r="Y126" s="73">
        <f>X126*'Расчет субсидий'!AG126</f>
        <v>0.12698412698412653</v>
      </c>
      <c r="Z126" s="55">
        <f t="shared" si="35"/>
        <v>0.33386655915958419</v>
      </c>
      <c r="AA126" s="27" t="s">
        <v>367</v>
      </c>
      <c r="AB126" s="27" t="s">
        <v>367</v>
      </c>
      <c r="AC126" s="27" t="s">
        <v>367</v>
      </c>
      <c r="AD126" s="27" t="s">
        <v>367</v>
      </c>
      <c r="AE126" s="27" t="s">
        <v>367</v>
      </c>
      <c r="AF126" s="27" t="s">
        <v>367</v>
      </c>
      <c r="AG126" s="54">
        <f t="shared" si="36"/>
        <v>-2.5794235378081893</v>
      </c>
    </row>
    <row r="127" spans="1:33" ht="15" customHeight="1">
      <c r="A127" s="33" t="s">
        <v>126</v>
      </c>
      <c r="B127" s="52">
        <f>'Расчет субсидий'!AT127</f>
        <v>5.7181818181818187</v>
      </c>
      <c r="C127" s="54">
        <f>'Расчет субсидий'!D127-1</f>
        <v>-0.12136752136752138</v>
      </c>
      <c r="D127" s="54">
        <f>C127*'Расчет субсидий'!E127</f>
        <v>-1.2136752136752138</v>
      </c>
      <c r="E127" s="55">
        <f t="shared" si="37"/>
        <v>-2.2651246232787443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4">
        <f>'Расчет субсидий'!P127-1</f>
        <v>-0.24332344213649848</v>
      </c>
      <c r="M127" s="54">
        <f>L127*'Расчет субсидий'!Q127</f>
        <v>-4.8664688427299696</v>
      </c>
      <c r="N127" s="55">
        <f t="shared" si="38"/>
        <v>-9.0824615019585693</v>
      </c>
      <c r="O127" s="54">
        <f>'Расчет субсидий'!T127-1</f>
        <v>0.21839999999999993</v>
      </c>
      <c r="P127" s="54">
        <f>O127*'Расчет субсидий'!U127</f>
        <v>7.6439999999999975</v>
      </c>
      <c r="Q127" s="55">
        <f t="shared" si="39"/>
        <v>14.266265328028858</v>
      </c>
      <c r="R127" s="54">
        <f>'Расчет субсидий'!X127-1</f>
        <v>9.9999999999999867E-2</v>
      </c>
      <c r="S127" s="54">
        <f>R127*'Расчет субсидий'!Y127</f>
        <v>1.499999999999998</v>
      </c>
      <c r="T127" s="55">
        <f t="shared" si="40"/>
        <v>2.7995026153902756</v>
      </c>
      <c r="U127" s="60" t="s">
        <v>385</v>
      </c>
      <c r="V127" s="60" t="s">
        <v>385</v>
      </c>
      <c r="W127" s="61" t="s">
        <v>385</v>
      </c>
      <c r="X127" s="73">
        <f>'Расчет субсидий'!AF127-1</f>
        <v>0</v>
      </c>
      <c r="Y127" s="73">
        <f>X127*'Расчет субсидий'!AG127</f>
        <v>0</v>
      </c>
      <c r="Z127" s="55">
        <f t="shared" si="35"/>
        <v>0</v>
      </c>
      <c r="AA127" s="27" t="s">
        <v>367</v>
      </c>
      <c r="AB127" s="27" t="s">
        <v>367</v>
      </c>
      <c r="AC127" s="27" t="s">
        <v>367</v>
      </c>
      <c r="AD127" s="27" t="s">
        <v>367</v>
      </c>
      <c r="AE127" s="27" t="s">
        <v>367</v>
      </c>
      <c r="AF127" s="27" t="s">
        <v>367</v>
      </c>
      <c r="AG127" s="54">
        <f t="shared" si="36"/>
        <v>3.0638559435948123</v>
      </c>
    </row>
    <row r="128" spans="1:33" ht="15" customHeight="1">
      <c r="A128" s="32" t="s">
        <v>127</v>
      </c>
      <c r="B128" s="56"/>
      <c r="C128" s="57"/>
      <c r="D128" s="57"/>
      <c r="E128" s="58"/>
      <c r="F128" s="57"/>
      <c r="G128" s="57"/>
      <c r="H128" s="58"/>
      <c r="I128" s="58"/>
      <c r="J128" s="58"/>
      <c r="K128" s="58"/>
      <c r="L128" s="57"/>
      <c r="M128" s="57"/>
      <c r="N128" s="58"/>
      <c r="O128" s="57"/>
      <c r="P128" s="57"/>
      <c r="Q128" s="58"/>
      <c r="R128" s="57"/>
      <c r="S128" s="57"/>
      <c r="T128" s="58"/>
      <c r="U128" s="58"/>
      <c r="V128" s="58"/>
      <c r="W128" s="58"/>
      <c r="X128" s="75"/>
      <c r="Y128" s="75"/>
      <c r="Z128" s="58"/>
      <c r="AA128" s="58"/>
      <c r="AB128" s="58"/>
      <c r="AC128" s="58"/>
      <c r="AD128" s="58"/>
      <c r="AE128" s="58"/>
      <c r="AF128" s="58"/>
      <c r="AG128" s="58"/>
    </row>
    <row r="129" spans="1:33" ht="15" customHeight="1">
      <c r="A129" s="33" t="s">
        <v>128</v>
      </c>
      <c r="B129" s="52">
        <f>'Расчет субсидий'!AT129</f>
        <v>-43.22727272727272</v>
      </c>
      <c r="C129" s="54">
        <f>'Расчет субсидий'!D129-1</f>
        <v>-0.11489936917993393</v>
      </c>
      <c r="D129" s="54">
        <f>C129*'Расчет субсидий'!E129</f>
        <v>-1.1489936917993393</v>
      </c>
      <c r="E129" s="55">
        <f t="shared" ref="E129:E136" si="41">$B129*D129/$AG129</f>
        <v>-2.4421539571619317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4">
        <f>'Расчет субсидий'!P129-1</f>
        <v>-0.48420753106326475</v>
      </c>
      <c r="M129" s="54">
        <f>L129*'Расчет субсидий'!Q129</f>
        <v>-9.6841506212652959</v>
      </c>
      <c r="N129" s="55">
        <f t="shared" ref="N129:N136" si="42">$B129*M129/$AG129</f>
        <v>-20.58339130168654</v>
      </c>
      <c r="O129" s="54">
        <f>'Расчет субсидий'!T129-1</f>
        <v>-5.4087193460490512E-2</v>
      </c>
      <c r="P129" s="54">
        <f>O129*'Расчет субсидий'!U129</f>
        <v>-1.6226158038147154</v>
      </c>
      <c r="Q129" s="55">
        <f t="shared" ref="Q129:Q136" si="43">$B129*P129/$AG129</f>
        <v>-3.4488245101102253</v>
      </c>
      <c r="R129" s="54">
        <f>'Расчет субсидий'!X129-1</f>
        <v>-0.39512195121951221</v>
      </c>
      <c r="S129" s="54">
        <f>R129*'Расчет субсидий'!Y129</f>
        <v>-7.9024390243902438</v>
      </c>
      <c r="T129" s="55">
        <f t="shared" ref="T129:T136" si="44">$B129*S129/$AG129</f>
        <v>-16.79641313297644</v>
      </c>
      <c r="U129" s="60" t="s">
        <v>385</v>
      </c>
      <c r="V129" s="60" t="s">
        <v>385</v>
      </c>
      <c r="W129" s="61" t="s">
        <v>385</v>
      </c>
      <c r="X129" s="73">
        <f>'Расчет субсидий'!AF129-1</f>
        <v>1.0235414534287557E-3</v>
      </c>
      <c r="Y129" s="73">
        <f>X129*'Расчет субсидий'!AG129</f>
        <v>2.0470829068575114E-2</v>
      </c>
      <c r="Z129" s="55">
        <f t="shared" si="35"/>
        <v>4.3510174662418424E-2</v>
      </c>
      <c r="AA129" s="27" t="s">
        <v>367</v>
      </c>
      <c r="AB129" s="27" t="s">
        <v>367</v>
      </c>
      <c r="AC129" s="27" t="s">
        <v>367</v>
      </c>
      <c r="AD129" s="27" t="s">
        <v>367</v>
      </c>
      <c r="AE129" s="27" t="s">
        <v>367</v>
      </c>
      <c r="AF129" s="27" t="s">
        <v>367</v>
      </c>
      <c r="AG129" s="54">
        <f t="shared" si="36"/>
        <v>-20.337728312201019</v>
      </c>
    </row>
    <row r="130" spans="1:33" ht="15" customHeight="1">
      <c r="A130" s="33" t="s">
        <v>129</v>
      </c>
      <c r="B130" s="52">
        <f>'Расчет субсидий'!AT130</f>
        <v>-47.381818181818176</v>
      </c>
      <c r="C130" s="54">
        <f>'Расчет субсидий'!D130-1</f>
        <v>-1</v>
      </c>
      <c r="D130" s="54">
        <f>C130*'Расчет субсидий'!E130</f>
        <v>0</v>
      </c>
      <c r="E130" s="55">
        <f t="shared" si="41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4">
        <f>'Расчет субсидий'!P130-1</f>
        <v>-0.71160822249093103</v>
      </c>
      <c r="M130" s="54">
        <f>L130*'Расчет субсидий'!Q130</f>
        <v>-14.232164449818621</v>
      </c>
      <c r="N130" s="55">
        <f t="shared" si="42"/>
        <v>-55.430516805917968</v>
      </c>
      <c r="O130" s="54">
        <f>'Расчет субсидий'!T130-1</f>
        <v>4.6306818181818254E-2</v>
      </c>
      <c r="P130" s="54">
        <f>O130*'Расчет субсидий'!U130</f>
        <v>1.8522727272727302</v>
      </c>
      <c r="Q130" s="55">
        <f t="shared" si="43"/>
        <v>7.2141124352693291</v>
      </c>
      <c r="R130" s="54">
        <f>'Расчет субсидий'!X130-1</f>
        <v>2.1428571428571574E-2</v>
      </c>
      <c r="S130" s="54">
        <f>R130*'Расчет субсидий'!Y130</f>
        <v>0.21428571428571574</v>
      </c>
      <c r="T130" s="55">
        <f t="shared" si="44"/>
        <v>0.83458618883046132</v>
      </c>
      <c r="U130" s="60" t="s">
        <v>385</v>
      </c>
      <c r="V130" s="60" t="s">
        <v>385</v>
      </c>
      <c r="W130" s="61" t="s">
        <v>385</v>
      </c>
      <c r="X130" s="73">
        <f>'Расчет субсидий'!AF130-1</f>
        <v>0</v>
      </c>
      <c r="Y130" s="73">
        <f>X130*'Расчет субсидий'!AG130</f>
        <v>0</v>
      </c>
      <c r="Z130" s="55">
        <f t="shared" si="35"/>
        <v>0</v>
      </c>
      <c r="AA130" s="27" t="s">
        <v>367</v>
      </c>
      <c r="AB130" s="27" t="s">
        <v>367</v>
      </c>
      <c r="AC130" s="27" t="s">
        <v>367</v>
      </c>
      <c r="AD130" s="27" t="s">
        <v>367</v>
      </c>
      <c r="AE130" s="27" t="s">
        <v>367</v>
      </c>
      <c r="AF130" s="27" t="s">
        <v>367</v>
      </c>
      <c r="AG130" s="54">
        <f t="shared" si="36"/>
        <v>-12.165606008260175</v>
      </c>
    </row>
    <row r="131" spans="1:33" ht="15" customHeight="1">
      <c r="A131" s="33" t="s">
        <v>130</v>
      </c>
      <c r="B131" s="52">
        <f>'Расчет субсидий'!AT131</f>
        <v>11.672727272727229</v>
      </c>
      <c r="C131" s="54">
        <f>'Расчет субсидий'!D131-1</f>
        <v>6.6031634446397147E-2</v>
      </c>
      <c r="D131" s="54">
        <f>C131*'Расчет субсидий'!E131</f>
        <v>0.66031634446397147</v>
      </c>
      <c r="E131" s="55">
        <f t="shared" si="41"/>
        <v>2.5844504433350193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4">
        <f>'Расчет субсидий'!P131-1</f>
        <v>-0.16855437827304831</v>
      </c>
      <c r="M131" s="54">
        <f>L131*'Расчет субсидий'!Q131</f>
        <v>-3.3710875654609662</v>
      </c>
      <c r="N131" s="55">
        <f t="shared" si="42"/>
        <v>-13.194295167946027</v>
      </c>
      <c r="O131" s="54">
        <f>'Расчет субсидий'!T131-1</f>
        <v>0.19336734693877555</v>
      </c>
      <c r="P131" s="54">
        <f>O131*'Расчет субсидий'!U131</f>
        <v>3.8673469387755111</v>
      </c>
      <c r="Q131" s="55">
        <f t="shared" si="43"/>
        <v>15.1366335155044</v>
      </c>
      <c r="R131" s="54">
        <f>'Расчет субсидий'!X131-1</f>
        <v>4.4444444444444509E-2</v>
      </c>
      <c r="S131" s="54">
        <f>R131*'Расчет субсидий'!Y131</f>
        <v>1.3333333333333353</v>
      </c>
      <c r="T131" s="55">
        <f t="shared" si="44"/>
        <v>5.2186106755301074</v>
      </c>
      <c r="U131" s="60" t="s">
        <v>385</v>
      </c>
      <c r="V131" s="60" t="s">
        <v>385</v>
      </c>
      <c r="W131" s="61" t="s">
        <v>385</v>
      </c>
      <c r="X131" s="73">
        <f>'Расчет субсидий'!AF131-1</f>
        <v>2.4621212121212155E-2</v>
      </c>
      <c r="Y131" s="73">
        <f>X131*'Расчет субсидий'!AG131</f>
        <v>0.4924242424242431</v>
      </c>
      <c r="Z131" s="55">
        <f t="shared" si="35"/>
        <v>1.9273278063037325</v>
      </c>
      <c r="AA131" s="27" t="s">
        <v>367</v>
      </c>
      <c r="AB131" s="27" t="s">
        <v>367</v>
      </c>
      <c r="AC131" s="27" t="s">
        <v>367</v>
      </c>
      <c r="AD131" s="27" t="s">
        <v>367</v>
      </c>
      <c r="AE131" s="27" t="s">
        <v>367</v>
      </c>
      <c r="AF131" s="27" t="s">
        <v>367</v>
      </c>
      <c r="AG131" s="54">
        <f t="shared" si="36"/>
        <v>2.9823332935360947</v>
      </c>
    </row>
    <row r="132" spans="1:33" ht="15" customHeight="1">
      <c r="A132" s="33" t="s">
        <v>131</v>
      </c>
      <c r="B132" s="52">
        <f>'Расчет субсидий'!AT132</f>
        <v>-49</v>
      </c>
      <c r="C132" s="54">
        <f>'Расчет субсидий'!D132-1</f>
        <v>-1</v>
      </c>
      <c r="D132" s="54">
        <f>C132*'Расчет субсидий'!E132</f>
        <v>0</v>
      </c>
      <c r="E132" s="55">
        <f t="shared" si="41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4">
        <f>'Расчет субсидий'!P132-1</f>
        <v>-0.37215136943340998</v>
      </c>
      <c r="M132" s="54">
        <f>L132*'Расчет субсидий'!Q132</f>
        <v>-7.4430273886681997</v>
      </c>
      <c r="N132" s="55">
        <f t="shared" si="42"/>
        <v>-35.059602758841415</v>
      </c>
      <c r="O132" s="54">
        <f>'Расчет субсидий'!T132-1</f>
        <v>-1.2558139534883717E-2</v>
      </c>
      <c r="P132" s="54">
        <f>O132*'Расчет субсидий'!U132</f>
        <v>-0.25116279069767433</v>
      </c>
      <c r="Q132" s="55">
        <f t="shared" si="43"/>
        <v>-1.1830760804493172</v>
      </c>
      <c r="R132" s="54">
        <f>'Расчет субсидий'!X132-1</f>
        <v>-0.27083333333333337</v>
      </c>
      <c r="S132" s="54">
        <f>R132*'Расчет субсидий'!Y132</f>
        <v>-2.7083333333333339</v>
      </c>
      <c r="T132" s="55">
        <f t="shared" si="44"/>
        <v>-12.757321160709274</v>
      </c>
      <c r="U132" s="60" t="s">
        <v>385</v>
      </c>
      <c r="V132" s="60" t="s">
        <v>385</v>
      </c>
      <c r="W132" s="61" t="s">
        <v>385</v>
      </c>
      <c r="X132" s="73">
        <f>'Расчет субсидий'!AF132-1</f>
        <v>0</v>
      </c>
      <c r="Y132" s="73">
        <f>X132*'Расчет субсидий'!AG132</f>
        <v>0</v>
      </c>
      <c r="Z132" s="55">
        <f t="shared" si="35"/>
        <v>0</v>
      </c>
      <c r="AA132" s="27" t="s">
        <v>367</v>
      </c>
      <c r="AB132" s="27" t="s">
        <v>367</v>
      </c>
      <c r="AC132" s="27" t="s">
        <v>367</v>
      </c>
      <c r="AD132" s="27" t="s">
        <v>367</v>
      </c>
      <c r="AE132" s="27" t="s">
        <v>367</v>
      </c>
      <c r="AF132" s="27" t="s">
        <v>367</v>
      </c>
      <c r="AG132" s="54">
        <f t="shared" si="36"/>
        <v>-10.402523512699208</v>
      </c>
    </row>
    <row r="133" spans="1:33" ht="15" customHeight="1">
      <c r="A133" s="33" t="s">
        <v>132</v>
      </c>
      <c r="B133" s="52">
        <f>'Расчет субсидий'!AT133</f>
        <v>-48.063636363636363</v>
      </c>
      <c r="C133" s="54">
        <f>'Расчет субсидий'!D133-1</f>
        <v>-1</v>
      </c>
      <c r="D133" s="54">
        <f>C133*'Расчет субсидий'!E133</f>
        <v>0</v>
      </c>
      <c r="E133" s="55">
        <f t="shared" si="41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4">
        <f>'Расчет субсидий'!P133-1</f>
        <v>-0.74895977808599157</v>
      </c>
      <c r="M133" s="54">
        <f>L133*'Расчет субсидий'!Q133</f>
        <v>-14.97919556171983</v>
      </c>
      <c r="N133" s="55">
        <f t="shared" si="42"/>
        <v>-86.615975444429964</v>
      </c>
      <c r="O133" s="54">
        <f>'Расчет субсидий'!T133-1</f>
        <v>0.14292682926829281</v>
      </c>
      <c r="P133" s="54">
        <f>O133*'Расчет субсидий'!U133</f>
        <v>5.0024390243902488</v>
      </c>
      <c r="Q133" s="55">
        <f t="shared" si="43"/>
        <v>28.926195262858016</v>
      </c>
      <c r="R133" s="54">
        <f>'Расчет субсидий'!X133-1</f>
        <v>0.19090909090909092</v>
      </c>
      <c r="S133" s="54">
        <f>R133*'Расчет субсидий'!Y133</f>
        <v>2.8636363636363638</v>
      </c>
      <c r="T133" s="55">
        <f t="shared" si="44"/>
        <v>16.558743487425687</v>
      </c>
      <c r="U133" s="60" t="s">
        <v>385</v>
      </c>
      <c r="V133" s="60" t="s">
        <v>385</v>
      </c>
      <c r="W133" s="61" t="s">
        <v>385</v>
      </c>
      <c r="X133" s="73">
        <f>'Расчет субсидий'!AF133-1</f>
        <v>-5.9945504087193457E-2</v>
      </c>
      <c r="Y133" s="73">
        <f>X133*'Расчет субсидий'!AG133</f>
        <v>-1.1989100817438691</v>
      </c>
      <c r="Z133" s="55">
        <f t="shared" si="35"/>
        <v>-6.9325996694901013</v>
      </c>
      <c r="AA133" s="27" t="s">
        <v>367</v>
      </c>
      <c r="AB133" s="27" t="s">
        <v>367</v>
      </c>
      <c r="AC133" s="27" t="s">
        <v>367</v>
      </c>
      <c r="AD133" s="27" t="s">
        <v>367</v>
      </c>
      <c r="AE133" s="27" t="s">
        <v>367</v>
      </c>
      <c r="AF133" s="27" t="s">
        <v>367</v>
      </c>
      <c r="AG133" s="54">
        <f t="shared" si="36"/>
        <v>-8.3120302554370866</v>
      </c>
    </row>
    <row r="134" spans="1:33" ht="15" customHeight="1">
      <c r="A134" s="33" t="s">
        <v>133</v>
      </c>
      <c r="B134" s="52">
        <f>'Расчет субсидий'!AT134</f>
        <v>-7.363636363636374</v>
      </c>
      <c r="C134" s="54">
        <f>'Расчет субсидий'!D134-1</f>
        <v>-0.22764227642276424</v>
      </c>
      <c r="D134" s="54">
        <f>C134*'Расчет субсидий'!E134</f>
        <v>-2.2764227642276422</v>
      </c>
      <c r="E134" s="55">
        <f t="shared" si="41"/>
        <v>-3.8732425985151839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4">
        <f>'Расчет субсидий'!P134-1</f>
        <v>-0.43329253365973075</v>
      </c>
      <c r="M134" s="54">
        <f>L134*'Расчет субсидий'!Q134</f>
        <v>-8.6658506731946154</v>
      </c>
      <c r="N134" s="55">
        <f t="shared" si="42"/>
        <v>-14.74459951255011</v>
      </c>
      <c r="O134" s="54">
        <f>'Расчет субсидий'!T134-1</f>
        <v>7.2783825816485237E-2</v>
      </c>
      <c r="P134" s="54">
        <f>O134*'Расчет субсидий'!U134</f>
        <v>2.5474339035769833</v>
      </c>
      <c r="Q134" s="55">
        <f t="shared" si="43"/>
        <v>4.3343572500180416</v>
      </c>
      <c r="R134" s="54">
        <f>'Расчет субсидий'!X134-1</f>
        <v>0.2592592592592593</v>
      </c>
      <c r="S134" s="54">
        <f>R134*'Расчет субсидий'!Y134</f>
        <v>3.8888888888888893</v>
      </c>
      <c r="T134" s="55">
        <f t="shared" si="44"/>
        <v>6.6167894391301063</v>
      </c>
      <c r="U134" s="60" t="s">
        <v>385</v>
      </c>
      <c r="V134" s="60" t="s">
        <v>385</v>
      </c>
      <c r="W134" s="61" t="s">
        <v>385</v>
      </c>
      <c r="X134" s="73">
        <f>'Расчет субсидий'!AF134-1</f>
        <v>8.9058524173029063E-3</v>
      </c>
      <c r="Y134" s="73">
        <f>X134*'Расчет субсидий'!AG134</f>
        <v>0.17811704834605813</v>
      </c>
      <c r="Z134" s="55">
        <f t="shared" si="35"/>
        <v>0.30305905828077184</v>
      </c>
      <c r="AA134" s="27" t="s">
        <v>367</v>
      </c>
      <c r="AB134" s="27" t="s">
        <v>367</v>
      </c>
      <c r="AC134" s="27" t="s">
        <v>367</v>
      </c>
      <c r="AD134" s="27" t="s">
        <v>367</v>
      </c>
      <c r="AE134" s="27" t="s">
        <v>367</v>
      </c>
      <c r="AF134" s="27" t="s">
        <v>367</v>
      </c>
      <c r="AG134" s="54">
        <f t="shared" si="36"/>
        <v>-4.3278335966103274</v>
      </c>
    </row>
    <row r="135" spans="1:33" ht="15" customHeight="1">
      <c r="A135" s="33" t="s">
        <v>134</v>
      </c>
      <c r="B135" s="52">
        <f>'Расчет субсидий'!AT135</f>
        <v>12.127272727272725</v>
      </c>
      <c r="C135" s="54">
        <f>'Расчет субсидий'!D135-1</f>
        <v>-1</v>
      </c>
      <c r="D135" s="54">
        <f>C135*'Расчет субсидий'!E135</f>
        <v>0</v>
      </c>
      <c r="E135" s="55">
        <f t="shared" si="41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4">
        <f>'Расчет субсидий'!P135-1</f>
        <v>-0.13930600649350655</v>
      </c>
      <c r="M135" s="54">
        <f>L135*'Расчет субсидий'!Q135</f>
        <v>-2.786120129870131</v>
      </c>
      <c r="N135" s="55">
        <f t="shared" si="42"/>
        <v>-10.202362891703022</v>
      </c>
      <c r="O135" s="54">
        <f>'Расчет субсидий'!T135-1</f>
        <v>0.13084384093113499</v>
      </c>
      <c r="P135" s="54">
        <f>O135*'Расчет субсидий'!U135</f>
        <v>4.5795344325897247</v>
      </c>
      <c r="Q135" s="55">
        <f t="shared" si="43"/>
        <v>16.769582781237617</v>
      </c>
      <c r="R135" s="54">
        <f>'Расчет субсидий'!X135-1</f>
        <v>1.08108108108107E-2</v>
      </c>
      <c r="S135" s="54">
        <f>R135*'Расчет субсидий'!Y135</f>
        <v>0.16216216216216051</v>
      </c>
      <c r="T135" s="55">
        <f t="shared" si="44"/>
        <v>0.59381403118417297</v>
      </c>
      <c r="U135" s="60" t="s">
        <v>385</v>
      </c>
      <c r="V135" s="60" t="s">
        <v>385</v>
      </c>
      <c r="W135" s="61" t="s">
        <v>385</v>
      </c>
      <c r="X135" s="73">
        <f>'Расчет субсидий'!AF135-1</f>
        <v>6.781045751633985E-2</v>
      </c>
      <c r="Y135" s="73">
        <f>X135*'Расчет субсидий'!AG135</f>
        <v>1.356209150326797</v>
      </c>
      <c r="Z135" s="55">
        <f t="shared" si="35"/>
        <v>4.9662388065539576</v>
      </c>
      <c r="AA135" s="27" t="s">
        <v>367</v>
      </c>
      <c r="AB135" s="27" t="s">
        <v>367</v>
      </c>
      <c r="AC135" s="27" t="s">
        <v>367</v>
      </c>
      <c r="AD135" s="27" t="s">
        <v>367</v>
      </c>
      <c r="AE135" s="27" t="s">
        <v>367</v>
      </c>
      <c r="AF135" s="27" t="s">
        <v>367</v>
      </c>
      <c r="AG135" s="54">
        <f t="shared" si="36"/>
        <v>3.3117856152085512</v>
      </c>
    </row>
    <row r="136" spans="1:33" ht="15" customHeight="1">
      <c r="A136" s="33" t="s">
        <v>135</v>
      </c>
      <c r="B136" s="52">
        <f>'Расчет субсидий'!AT136</f>
        <v>-35.372727272727275</v>
      </c>
      <c r="C136" s="54">
        <f>'Расчет субсидий'!D136-1</f>
        <v>-1</v>
      </c>
      <c r="D136" s="54">
        <f>C136*'Расчет субсидий'!E136</f>
        <v>0</v>
      </c>
      <c r="E136" s="55">
        <f t="shared" si="41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4">
        <f>'Расчет субсидий'!P136-1</f>
        <v>-0.23822463768115942</v>
      </c>
      <c r="M136" s="54">
        <f>L136*'Расчет субсидий'!Q136</f>
        <v>-4.7644927536231885</v>
      </c>
      <c r="N136" s="55">
        <f t="shared" si="42"/>
        <v>-9.8509885085133302</v>
      </c>
      <c r="O136" s="54">
        <f>'Расчет субсидий'!T136-1</f>
        <v>-0.59375</v>
      </c>
      <c r="P136" s="54">
        <f>O136*'Расчет субсидий'!U136</f>
        <v>-14.84375</v>
      </c>
      <c r="Q136" s="55">
        <f t="shared" si="43"/>
        <v>-30.690698513928172</v>
      </c>
      <c r="R136" s="54">
        <f>'Расчет субсидий'!X136-1</f>
        <v>0.10000000000000009</v>
      </c>
      <c r="S136" s="54">
        <f>R136*'Расчет субсидий'!Y136</f>
        <v>2.5000000000000022</v>
      </c>
      <c r="T136" s="55">
        <f t="shared" si="44"/>
        <v>5.1689597497142232</v>
      </c>
      <c r="U136" s="60" t="s">
        <v>385</v>
      </c>
      <c r="V136" s="60" t="s">
        <v>385</v>
      </c>
      <c r="W136" s="61" t="s">
        <v>385</v>
      </c>
      <c r="X136" s="73">
        <f>'Расчет субсидий'!AF136-1</f>
        <v>0</v>
      </c>
      <c r="Y136" s="73">
        <f>X136*'Расчет субсидий'!AG136</f>
        <v>0</v>
      </c>
      <c r="Z136" s="55">
        <f t="shared" si="35"/>
        <v>0</v>
      </c>
      <c r="AA136" s="27" t="s">
        <v>367</v>
      </c>
      <c r="AB136" s="27" t="s">
        <v>367</v>
      </c>
      <c r="AC136" s="27" t="s">
        <v>367</v>
      </c>
      <c r="AD136" s="27" t="s">
        <v>367</v>
      </c>
      <c r="AE136" s="27" t="s">
        <v>367</v>
      </c>
      <c r="AF136" s="27" t="s">
        <v>367</v>
      </c>
      <c r="AG136" s="54">
        <f t="shared" si="36"/>
        <v>-17.108242753623184</v>
      </c>
    </row>
    <row r="137" spans="1:33" ht="15" customHeight="1">
      <c r="A137" s="32" t="s">
        <v>136</v>
      </c>
      <c r="B137" s="56"/>
      <c r="C137" s="57"/>
      <c r="D137" s="57"/>
      <c r="E137" s="58"/>
      <c r="F137" s="57"/>
      <c r="G137" s="57"/>
      <c r="H137" s="58"/>
      <c r="I137" s="58"/>
      <c r="J137" s="58"/>
      <c r="K137" s="58"/>
      <c r="L137" s="57"/>
      <c r="M137" s="57"/>
      <c r="N137" s="58"/>
      <c r="O137" s="57"/>
      <c r="P137" s="57"/>
      <c r="Q137" s="58"/>
      <c r="R137" s="57"/>
      <c r="S137" s="57"/>
      <c r="T137" s="58"/>
      <c r="U137" s="58"/>
      <c r="V137" s="58"/>
      <c r="W137" s="58"/>
      <c r="X137" s="75"/>
      <c r="Y137" s="75"/>
      <c r="Z137" s="58"/>
      <c r="AA137" s="58"/>
      <c r="AB137" s="58"/>
      <c r="AC137" s="58"/>
      <c r="AD137" s="58"/>
      <c r="AE137" s="58"/>
      <c r="AF137" s="58"/>
      <c r="AG137" s="58"/>
    </row>
    <row r="138" spans="1:33" ht="15" customHeight="1">
      <c r="A138" s="33" t="s">
        <v>137</v>
      </c>
      <c r="B138" s="52">
        <f>'Расчет субсидий'!AT138</f>
        <v>5.8272727272727707</v>
      </c>
      <c r="C138" s="54">
        <f>'Расчет субсидий'!D138-1</f>
        <v>-1</v>
      </c>
      <c r="D138" s="54">
        <f>C138*'Расчет субсидий'!E138</f>
        <v>0</v>
      </c>
      <c r="E138" s="55">
        <f t="shared" ref="E138:E143" si="45">$B138*D138/$AG138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4">
        <f>'Расчет субсидий'!P138-1</f>
        <v>0.30000000000000004</v>
      </c>
      <c r="M138" s="54">
        <f>L138*'Расчет субсидий'!Q138</f>
        <v>6.0000000000000009</v>
      </c>
      <c r="N138" s="55">
        <f t="shared" ref="N138:N143" si="46">$B138*M138/$AG138</f>
        <v>17.111440677966225</v>
      </c>
      <c r="O138" s="54">
        <f>'Расчет субсидий'!T138-1</f>
        <v>0</v>
      </c>
      <c r="P138" s="54">
        <f>O138*'Расчет субсидий'!U138</f>
        <v>0</v>
      </c>
      <c r="Q138" s="55">
        <f t="shared" ref="Q138:Q143" si="47">$B138*P138/$AG138</f>
        <v>0</v>
      </c>
      <c r="R138" s="54">
        <f>'Расчет субсидий'!X138-1</f>
        <v>4.7619047619047672E-2</v>
      </c>
      <c r="S138" s="54">
        <f>R138*'Расчет субсидий'!Y138</f>
        <v>0.95238095238095344</v>
      </c>
      <c r="T138" s="55">
        <f t="shared" ref="T138:T143" si="48">$B138*S138/$AG138</f>
        <v>2.7161016949152761</v>
      </c>
      <c r="U138" s="60" t="s">
        <v>385</v>
      </c>
      <c r="V138" s="60" t="s">
        <v>385</v>
      </c>
      <c r="W138" s="61" t="s">
        <v>385</v>
      </c>
      <c r="X138" s="73">
        <f>'Расчет субсидий'!AF138-1</f>
        <v>-0.24545454545454548</v>
      </c>
      <c r="Y138" s="73">
        <f>X138*'Расчет субсидий'!AG138</f>
        <v>-4.9090909090909101</v>
      </c>
      <c r="Z138" s="55">
        <f t="shared" si="35"/>
        <v>-14.000269645608729</v>
      </c>
      <c r="AA138" s="27" t="s">
        <v>367</v>
      </c>
      <c r="AB138" s="27" t="s">
        <v>367</v>
      </c>
      <c r="AC138" s="27" t="s">
        <v>367</v>
      </c>
      <c r="AD138" s="27" t="s">
        <v>367</v>
      </c>
      <c r="AE138" s="27" t="s">
        <v>367</v>
      </c>
      <c r="AF138" s="27" t="s">
        <v>367</v>
      </c>
      <c r="AG138" s="54">
        <f t="shared" si="36"/>
        <v>2.0432900432900443</v>
      </c>
    </row>
    <row r="139" spans="1:33" ht="15" customHeight="1">
      <c r="A139" s="33" t="s">
        <v>138</v>
      </c>
      <c r="B139" s="52">
        <f>'Расчет субсидий'!AT139</f>
        <v>-40.281818181818181</v>
      </c>
      <c r="C139" s="54">
        <f>'Расчет субсидий'!D139-1</f>
        <v>-1</v>
      </c>
      <c r="D139" s="54">
        <f>C139*'Расчет субсидий'!E139</f>
        <v>0</v>
      </c>
      <c r="E139" s="55">
        <f t="shared" si="45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4">
        <f>'Расчет субсидий'!P139-1</f>
        <v>-0.7248270561106841</v>
      </c>
      <c r="M139" s="54">
        <f>L139*'Расчет субсидий'!Q139</f>
        <v>-14.496541122213682</v>
      </c>
      <c r="N139" s="55">
        <f t="shared" si="46"/>
        <v>-47.682609148395024</v>
      </c>
      <c r="O139" s="54">
        <f>'Расчет субсидий'!T139-1</f>
        <v>0</v>
      </c>
      <c r="P139" s="54">
        <f>O139*'Расчет субсидий'!U139</f>
        <v>0</v>
      </c>
      <c r="Q139" s="55">
        <f t="shared" si="47"/>
        <v>0</v>
      </c>
      <c r="R139" s="54">
        <f>'Расчет субсидий'!X139-1</f>
        <v>0.14999999999999991</v>
      </c>
      <c r="S139" s="54">
        <f>R139*'Расчет субсидий'!Y139</f>
        <v>2.2499999999999987</v>
      </c>
      <c r="T139" s="55">
        <f t="shared" si="48"/>
        <v>7.4007909665768432</v>
      </c>
      <c r="U139" s="60" t="s">
        <v>385</v>
      </c>
      <c r="V139" s="60" t="s">
        <v>385</v>
      </c>
      <c r="W139" s="61" t="s">
        <v>385</v>
      </c>
      <c r="X139" s="73">
        <f>'Расчет субсидий'!AF139-1</f>
        <v>0</v>
      </c>
      <c r="Y139" s="73">
        <f>X139*'Расчет субсидий'!AG139</f>
        <v>0</v>
      </c>
      <c r="Z139" s="55">
        <f t="shared" si="35"/>
        <v>0</v>
      </c>
      <c r="AA139" s="27" t="s">
        <v>367</v>
      </c>
      <c r="AB139" s="27" t="s">
        <v>367</v>
      </c>
      <c r="AC139" s="27" t="s">
        <v>367</v>
      </c>
      <c r="AD139" s="27" t="s">
        <v>367</v>
      </c>
      <c r="AE139" s="27" t="s">
        <v>367</v>
      </c>
      <c r="AF139" s="27" t="s">
        <v>367</v>
      </c>
      <c r="AG139" s="54">
        <f t="shared" si="36"/>
        <v>-12.246541122213683</v>
      </c>
    </row>
    <row r="140" spans="1:33" ht="15" customHeight="1">
      <c r="A140" s="33" t="s">
        <v>139</v>
      </c>
      <c r="B140" s="52">
        <f>'Расчет субсидий'!AT140</f>
        <v>-34.209090909090889</v>
      </c>
      <c r="C140" s="54">
        <f>'Расчет субсидий'!D140-1</f>
        <v>-1</v>
      </c>
      <c r="D140" s="54">
        <f>C140*'Расчет субсидий'!E140</f>
        <v>0</v>
      </c>
      <c r="E140" s="55">
        <f t="shared" si="45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4">
        <f>'Расчет субсидий'!P140-1</f>
        <v>-0.57883251500272781</v>
      </c>
      <c r="M140" s="54">
        <f>L140*'Расчет субсидий'!Q140</f>
        <v>-11.576650300054556</v>
      </c>
      <c r="N140" s="55">
        <f t="shared" si="46"/>
        <v>-55.778798211061741</v>
      </c>
      <c r="O140" s="54">
        <f>'Расчет субсидий'!T140-1</f>
        <v>4.2372881355932313E-2</v>
      </c>
      <c r="P140" s="54">
        <f>O140*'Расчет субсидий'!U140</f>
        <v>1.2711864406779694</v>
      </c>
      <c r="Q140" s="55">
        <f t="shared" si="47"/>
        <v>6.1248504641174231</v>
      </c>
      <c r="R140" s="54">
        <f>'Расчет субсидий'!X140-1</f>
        <v>0.15789473684210531</v>
      </c>
      <c r="S140" s="54">
        <f>R140*'Расчет субсидий'!Y140</f>
        <v>3.1578947368421062</v>
      </c>
      <c r="T140" s="55">
        <f t="shared" si="48"/>
        <v>15.215417995070617</v>
      </c>
      <c r="U140" s="60" t="s">
        <v>385</v>
      </c>
      <c r="V140" s="60" t="s">
        <v>385</v>
      </c>
      <c r="W140" s="61" t="s">
        <v>385</v>
      </c>
      <c r="X140" s="73">
        <f>'Расчет субсидий'!AF140-1</f>
        <v>2.3809523809523725E-3</v>
      </c>
      <c r="Y140" s="73">
        <f>X140*'Расчет субсидий'!AG140</f>
        <v>4.761904761904745E-2</v>
      </c>
      <c r="Z140" s="55">
        <f t="shared" si="35"/>
        <v>0.22943884278281002</v>
      </c>
      <c r="AA140" s="27" t="s">
        <v>367</v>
      </c>
      <c r="AB140" s="27" t="s">
        <v>367</v>
      </c>
      <c r="AC140" s="27" t="s">
        <v>367</v>
      </c>
      <c r="AD140" s="27" t="s">
        <v>367</v>
      </c>
      <c r="AE140" s="27" t="s">
        <v>367</v>
      </c>
      <c r="AF140" s="27" t="s">
        <v>367</v>
      </c>
      <c r="AG140" s="54">
        <f t="shared" si="36"/>
        <v>-7.0999500749154336</v>
      </c>
    </row>
    <row r="141" spans="1:33" ht="15" customHeight="1">
      <c r="A141" s="33" t="s">
        <v>140</v>
      </c>
      <c r="B141" s="52">
        <f>'Расчет субсидий'!AT141</f>
        <v>-22.545454545454561</v>
      </c>
      <c r="C141" s="54">
        <f>'Расчет субсидий'!D141-1</f>
        <v>5.057129335406696E-3</v>
      </c>
      <c r="D141" s="54">
        <f>C141*'Расчет субсидий'!E141</f>
        <v>5.057129335406696E-2</v>
      </c>
      <c r="E141" s="55">
        <f t="shared" si="45"/>
        <v>0.21843925136122816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4">
        <f>'Расчет субсидий'!P141-1</f>
        <v>-0.36835413777161352</v>
      </c>
      <c r="M141" s="54">
        <f>L141*'Расчет субсидий'!Q141</f>
        <v>-7.3670827554322704</v>
      </c>
      <c r="N141" s="55">
        <f t="shared" si="46"/>
        <v>-31.821611334830962</v>
      </c>
      <c r="O141" s="54">
        <f>'Расчет субсидий'!T141-1</f>
        <v>-0.13181818181818172</v>
      </c>
      <c r="P141" s="54">
        <f>O141*'Расчет субсидий'!U141</f>
        <v>-2.6363636363636345</v>
      </c>
      <c r="Q141" s="55">
        <f t="shared" si="47"/>
        <v>-11.387592858487265</v>
      </c>
      <c r="R141" s="54">
        <f>'Расчет субсидий'!X141-1</f>
        <v>0.21333333333333337</v>
      </c>
      <c r="S141" s="54">
        <f>R141*'Расчет субсидий'!Y141</f>
        <v>6.4000000000000012</v>
      </c>
      <c r="T141" s="55">
        <f t="shared" si="48"/>
        <v>27.64436335301739</v>
      </c>
      <c r="U141" s="60" t="s">
        <v>385</v>
      </c>
      <c r="V141" s="60" t="s">
        <v>385</v>
      </c>
      <c r="W141" s="61" t="s">
        <v>385</v>
      </c>
      <c r="X141" s="73">
        <f>'Расчет субсидий'!AF141-1</f>
        <v>-8.333333333333337E-2</v>
      </c>
      <c r="Y141" s="73">
        <f>X141*'Расчет субсидий'!AG141</f>
        <v>-1.6666666666666674</v>
      </c>
      <c r="Z141" s="55">
        <f t="shared" si="35"/>
        <v>-7.1990529565149473</v>
      </c>
      <c r="AA141" s="27" t="s">
        <v>367</v>
      </c>
      <c r="AB141" s="27" t="s">
        <v>367</v>
      </c>
      <c r="AC141" s="27" t="s">
        <v>367</v>
      </c>
      <c r="AD141" s="27" t="s">
        <v>367</v>
      </c>
      <c r="AE141" s="27" t="s">
        <v>367</v>
      </c>
      <c r="AF141" s="27" t="s">
        <v>367</v>
      </c>
      <c r="AG141" s="54">
        <f t="shared" si="36"/>
        <v>-5.2195417651085041</v>
      </c>
    </row>
    <row r="142" spans="1:33" ht="15" customHeight="1">
      <c r="A142" s="33" t="s">
        <v>141</v>
      </c>
      <c r="B142" s="52">
        <f>'Расчет субсидий'!AT142</f>
        <v>2.2181818181818187</v>
      </c>
      <c r="C142" s="54">
        <f>'Расчет субсидий'!D142-1</f>
        <v>2.4271844660195274E-3</v>
      </c>
      <c r="D142" s="54">
        <f>C142*'Расчет субсидий'!E142</f>
        <v>2.4271844660195274E-2</v>
      </c>
      <c r="E142" s="55">
        <f t="shared" si="45"/>
        <v>1.0888815910877819E-2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4">
        <f>'Расчет субсидий'!P142-1</f>
        <v>0.20600963644327641</v>
      </c>
      <c r="M142" s="54">
        <f>L142*'Расчет субсидий'!Q142</f>
        <v>4.1201927288655282</v>
      </c>
      <c r="N142" s="55">
        <f t="shared" si="46"/>
        <v>1.8483976298484237</v>
      </c>
      <c r="O142" s="54">
        <f>'Расчет субсидий'!T142-1</f>
        <v>0</v>
      </c>
      <c r="P142" s="54">
        <f>O142*'Расчет субсидий'!U142</f>
        <v>0</v>
      </c>
      <c r="Q142" s="55">
        <f t="shared" si="47"/>
        <v>0</v>
      </c>
      <c r="R142" s="54">
        <f>'Расчет субсидий'!X142-1</f>
        <v>4.0000000000000036E-2</v>
      </c>
      <c r="S142" s="54">
        <f>R142*'Расчет субсидий'!Y142</f>
        <v>0.80000000000000071</v>
      </c>
      <c r="T142" s="55">
        <f t="shared" si="48"/>
        <v>0.35889537242251696</v>
      </c>
      <c r="U142" s="60" t="s">
        <v>385</v>
      </c>
      <c r="V142" s="60" t="s">
        <v>385</v>
      </c>
      <c r="W142" s="61" t="s">
        <v>385</v>
      </c>
      <c r="X142" s="73">
        <f>'Расчет субсидий'!AF142-1</f>
        <v>0</v>
      </c>
      <c r="Y142" s="73">
        <f>X142*'Расчет субсидий'!AG142</f>
        <v>0</v>
      </c>
      <c r="Z142" s="55">
        <f t="shared" si="35"/>
        <v>0</v>
      </c>
      <c r="AA142" s="27" t="s">
        <v>367</v>
      </c>
      <c r="AB142" s="27" t="s">
        <v>367</v>
      </c>
      <c r="AC142" s="27" t="s">
        <v>367</v>
      </c>
      <c r="AD142" s="27" t="s">
        <v>367</v>
      </c>
      <c r="AE142" s="27" t="s">
        <v>367</v>
      </c>
      <c r="AF142" s="27" t="s">
        <v>367</v>
      </c>
      <c r="AG142" s="54">
        <f t="shared" si="36"/>
        <v>4.9444645735257247</v>
      </c>
    </row>
    <row r="143" spans="1:33" ht="15" customHeight="1">
      <c r="A143" s="33" t="s">
        <v>142</v>
      </c>
      <c r="B143" s="52">
        <f>'Расчет субсидий'!AT143</f>
        <v>-10.063636363636363</v>
      </c>
      <c r="C143" s="54">
        <f>'Расчет субсидий'!D143-1</f>
        <v>-1</v>
      </c>
      <c r="D143" s="54">
        <f>C143*'Расчет субсидий'!E143</f>
        <v>0</v>
      </c>
      <c r="E143" s="55">
        <f t="shared" si="45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4">
        <f>'Расчет субсидий'!P143-1</f>
        <v>-5.5970149253732338E-3</v>
      </c>
      <c r="M143" s="54">
        <f>L143*'Расчет субсидий'!Q143</f>
        <v>-0.11194029850746468</v>
      </c>
      <c r="N143" s="55">
        <f t="shared" si="46"/>
        <v>-0.33238210582091227</v>
      </c>
      <c r="O143" s="54">
        <f>'Расчет субсидий'!T143-1</f>
        <v>0</v>
      </c>
      <c r="P143" s="54">
        <f>O143*'Расчет субсидий'!U143</f>
        <v>0</v>
      </c>
      <c r="Q143" s="55">
        <f t="shared" si="47"/>
        <v>0</v>
      </c>
      <c r="R143" s="54">
        <f>'Расчет субсидий'!X143-1</f>
        <v>9.5238095238095122E-2</v>
      </c>
      <c r="S143" s="54">
        <f>R143*'Расчет субсидий'!Y143</f>
        <v>1.4285714285714268</v>
      </c>
      <c r="T143" s="55">
        <f t="shared" si="48"/>
        <v>4.2418287790477516</v>
      </c>
      <c r="U143" s="60" t="s">
        <v>385</v>
      </c>
      <c r="V143" s="60" t="s">
        <v>385</v>
      </c>
      <c r="W143" s="61" t="s">
        <v>385</v>
      </c>
      <c r="X143" s="73">
        <f>'Расчет субсидий'!AF143-1</f>
        <v>-0.23529411764705888</v>
      </c>
      <c r="Y143" s="73">
        <f>X143*'Расчет субсидий'!AG143</f>
        <v>-4.7058823529411775</v>
      </c>
      <c r="Z143" s="55">
        <f t="shared" si="35"/>
        <v>-13.973083036863203</v>
      </c>
      <c r="AA143" s="27" t="s">
        <v>367</v>
      </c>
      <c r="AB143" s="27" t="s">
        <v>367</v>
      </c>
      <c r="AC143" s="27" t="s">
        <v>367</v>
      </c>
      <c r="AD143" s="27" t="s">
        <v>367</v>
      </c>
      <c r="AE143" s="27" t="s">
        <v>367</v>
      </c>
      <c r="AF143" s="27" t="s">
        <v>367</v>
      </c>
      <c r="AG143" s="54">
        <f t="shared" si="36"/>
        <v>-3.3892512228772151</v>
      </c>
    </row>
    <row r="144" spans="1:33" ht="15" customHeight="1">
      <c r="A144" s="32" t="s">
        <v>143</v>
      </c>
      <c r="B144" s="56"/>
      <c r="C144" s="57"/>
      <c r="D144" s="57"/>
      <c r="E144" s="58"/>
      <c r="F144" s="57"/>
      <c r="G144" s="57"/>
      <c r="H144" s="58"/>
      <c r="I144" s="58"/>
      <c r="J144" s="58"/>
      <c r="K144" s="58"/>
      <c r="L144" s="57"/>
      <c r="M144" s="57"/>
      <c r="N144" s="58"/>
      <c r="O144" s="57"/>
      <c r="P144" s="57"/>
      <c r="Q144" s="58"/>
      <c r="R144" s="57"/>
      <c r="S144" s="57"/>
      <c r="T144" s="58"/>
      <c r="U144" s="58"/>
      <c r="V144" s="58"/>
      <c r="W144" s="58"/>
      <c r="X144" s="75"/>
      <c r="Y144" s="75"/>
      <c r="Z144" s="58"/>
      <c r="AA144" s="58"/>
      <c r="AB144" s="58"/>
      <c r="AC144" s="58"/>
      <c r="AD144" s="58"/>
      <c r="AE144" s="58"/>
      <c r="AF144" s="58"/>
      <c r="AG144" s="58"/>
    </row>
    <row r="145" spans="1:33" ht="15" customHeight="1">
      <c r="A145" s="33" t="s">
        <v>144</v>
      </c>
      <c r="B145" s="52">
        <f>'Расчет субсидий'!AT145</f>
        <v>25.881818181818176</v>
      </c>
      <c r="C145" s="54">
        <f>'Расчет субсидий'!D145-1</f>
        <v>0.12617765814266479</v>
      </c>
      <c r="D145" s="54">
        <f>C145*'Расчет субсидий'!E145</f>
        <v>1.2617765814266479</v>
      </c>
      <c r="E145" s="55">
        <f t="shared" ref="E145:E156" si="49">$B145*D145/$AG145</f>
        <v>4.0542631167889089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4">
        <f>'Расчет субсидий'!P145-1</f>
        <v>-0.33176761433868973</v>
      </c>
      <c r="M145" s="54">
        <f>L145*'Расчет субсидий'!Q145</f>
        <v>-6.6353522867737951</v>
      </c>
      <c r="N145" s="55">
        <f t="shared" ref="N145:N156" si="50">$B145*M145/$AG145</f>
        <v>-21.320306969678711</v>
      </c>
      <c r="O145" s="54">
        <f>'Расчет субсидий'!T145-1</f>
        <v>7.1428571428571397E-2</v>
      </c>
      <c r="P145" s="54">
        <f>O145*'Расчет субсидий'!U145</f>
        <v>1.4285714285714279</v>
      </c>
      <c r="Q145" s="55">
        <f t="shared" ref="Q145:Q156" si="51">$B145*P145/$AG145</f>
        <v>4.5901980887987195</v>
      </c>
      <c r="R145" s="54">
        <f>'Расчет субсидий'!X145-1</f>
        <v>0.19999999999999996</v>
      </c>
      <c r="S145" s="54">
        <f>R145*'Расчет субсидий'!Y145</f>
        <v>5.9999999999999982</v>
      </c>
      <c r="T145" s="55">
        <f t="shared" ref="T145:T156" si="52">$B145*S145/$AG145</f>
        <v>19.278831972954624</v>
      </c>
      <c r="U145" s="60" t="s">
        <v>385</v>
      </c>
      <c r="V145" s="60" t="s">
        <v>385</v>
      </c>
      <c r="W145" s="61" t="s">
        <v>385</v>
      </c>
      <c r="X145" s="73">
        <f>'Расчет субсидий'!AF145-1</f>
        <v>0.30000000000000004</v>
      </c>
      <c r="Y145" s="73">
        <f>X145*'Расчет субсидий'!AG145</f>
        <v>6.0000000000000009</v>
      </c>
      <c r="Z145" s="55">
        <f t="shared" si="35"/>
        <v>19.278831972954634</v>
      </c>
      <c r="AA145" s="27" t="s">
        <v>367</v>
      </c>
      <c r="AB145" s="27" t="s">
        <v>367</v>
      </c>
      <c r="AC145" s="27" t="s">
        <v>367</v>
      </c>
      <c r="AD145" s="27" t="s">
        <v>367</v>
      </c>
      <c r="AE145" s="27" t="s">
        <v>367</v>
      </c>
      <c r="AF145" s="27" t="s">
        <v>367</v>
      </c>
      <c r="AG145" s="54">
        <f t="shared" si="36"/>
        <v>8.0549957232242804</v>
      </c>
    </row>
    <row r="146" spans="1:33" ht="15" customHeight="1">
      <c r="A146" s="33" t="s">
        <v>145</v>
      </c>
      <c r="B146" s="52">
        <f>'Расчет субсидий'!AT146</f>
        <v>9.9000000000000057</v>
      </c>
      <c r="C146" s="54">
        <f>'Расчет субсидий'!D146-1</f>
        <v>1.3194444444444509E-2</v>
      </c>
      <c r="D146" s="54">
        <f>C146*'Расчет субсидий'!E146</f>
        <v>0.13194444444444509</v>
      </c>
      <c r="E146" s="55">
        <f t="shared" si="49"/>
        <v>0.21302378255945748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4">
        <f>'Расчет субсидий'!P146-1</f>
        <v>0.30000000000000004</v>
      </c>
      <c r="M146" s="54">
        <f>L146*'Расчет субсидий'!Q146</f>
        <v>6.0000000000000009</v>
      </c>
      <c r="N146" s="55">
        <f t="shared" si="50"/>
        <v>9.6869762174405469</v>
      </c>
      <c r="O146" s="54">
        <f>'Расчет субсидий'!T146-1</f>
        <v>0</v>
      </c>
      <c r="P146" s="54">
        <f>O146*'Расчет субсидий'!U146</f>
        <v>0</v>
      </c>
      <c r="Q146" s="55">
        <f t="shared" si="51"/>
        <v>0</v>
      </c>
      <c r="R146" s="54">
        <f>'Расчет субсидий'!X146-1</f>
        <v>0</v>
      </c>
      <c r="S146" s="54">
        <f>R146*'Расчет субсидий'!Y146</f>
        <v>0</v>
      </c>
      <c r="T146" s="55">
        <f t="shared" si="52"/>
        <v>0</v>
      </c>
      <c r="U146" s="60" t="s">
        <v>385</v>
      </c>
      <c r="V146" s="60" t="s">
        <v>385</v>
      </c>
      <c r="W146" s="61" t="s">
        <v>385</v>
      </c>
      <c r="X146" s="73">
        <f>'Расчет субсидий'!AF146-1</f>
        <v>0</v>
      </c>
      <c r="Y146" s="73">
        <f>X146*'Расчет субсидий'!AG146</f>
        <v>0</v>
      </c>
      <c r="Z146" s="55">
        <f t="shared" si="35"/>
        <v>0</v>
      </c>
      <c r="AA146" s="27" t="s">
        <v>367</v>
      </c>
      <c r="AB146" s="27" t="s">
        <v>367</v>
      </c>
      <c r="AC146" s="27" t="s">
        <v>367</v>
      </c>
      <c r="AD146" s="27" t="s">
        <v>367</v>
      </c>
      <c r="AE146" s="27" t="s">
        <v>367</v>
      </c>
      <c r="AF146" s="27" t="s">
        <v>367</v>
      </c>
      <c r="AG146" s="54">
        <f t="shared" si="36"/>
        <v>6.1319444444444464</v>
      </c>
    </row>
    <row r="147" spans="1:33" ht="15" customHeight="1">
      <c r="A147" s="33" t="s">
        <v>146</v>
      </c>
      <c r="B147" s="52">
        <f>'Расчет субсидий'!AT147</f>
        <v>55.390909090909076</v>
      </c>
      <c r="C147" s="54">
        <f>'Расчет субсидий'!D147-1</f>
        <v>2.4798896805332094E-2</v>
      </c>
      <c r="D147" s="54">
        <f>C147*'Расчет субсидий'!E147</f>
        <v>0.24798896805332094</v>
      </c>
      <c r="E147" s="55">
        <f t="shared" si="49"/>
        <v>1.2991773475874504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4">
        <f>'Расчет субсидий'!P147-1</f>
        <v>-0.28523306627822287</v>
      </c>
      <c r="M147" s="54">
        <f>L147*'Расчет субсидий'!Q147</f>
        <v>-5.7046613255644569</v>
      </c>
      <c r="N147" s="55">
        <f t="shared" si="50"/>
        <v>-29.885872859626556</v>
      </c>
      <c r="O147" s="54">
        <f>'Расчет субсидий'!T147-1</f>
        <v>0.23243478260869566</v>
      </c>
      <c r="P147" s="54">
        <f>O147*'Расчет субсидий'!U147</f>
        <v>2.3243478260869566</v>
      </c>
      <c r="Q147" s="55">
        <f t="shared" si="51"/>
        <v>12.17691281701299</v>
      </c>
      <c r="R147" s="54">
        <f>'Расчет субсидий'!X147-1</f>
        <v>0.30000000000000004</v>
      </c>
      <c r="S147" s="54">
        <f>R147*'Расчет субсидий'!Y147</f>
        <v>12.000000000000002</v>
      </c>
      <c r="T147" s="55">
        <f t="shared" si="52"/>
        <v>62.866216563703439</v>
      </c>
      <c r="U147" s="60" t="s">
        <v>385</v>
      </c>
      <c r="V147" s="60" t="s">
        <v>385</v>
      </c>
      <c r="W147" s="61" t="s">
        <v>385</v>
      </c>
      <c r="X147" s="73">
        <f>'Расчет субсидий'!AF147-1</f>
        <v>8.5271317829457294E-2</v>
      </c>
      <c r="Y147" s="73">
        <f>X147*'Расчет субсидий'!AG147</f>
        <v>1.7054263565891459</v>
      </c>
      <c r="Z147" s="55">
        <f t="shared" si="35"/>
        <v>8.9344752222317467</v>
      </c>
      <c r="AA147" s="27" t="s">
        <v>367</v>
      </c>
      <c r="AB147" s="27" t="s">
        <v>367</v>
      </c>
      <c r="AC147" s="27" t="s">
        <v>367</v>
      </c>
      <c r="AD147" s="27" t="s">
        <v>367</v>
      </c>
      <c r="AE147" s="27" t="s">
        <v>367</v>
      </c>
      <c r="AF147" s="27" t="s">
        <v>367</v>
      </c>
      <c r="AG147" s="54">
        <f t="shared" si="36"/>
        <v>10.573101825164969</v>
      </c>
    </row>
    <row r="148" spans="1:33" ht="15" customHeight="1">
      <c r="A148" s="33" t="s">
        <v>147</v>
      </c>
      <c r="B148" s="52">
        <f>'Расчет субсидий'!AT148</f>
        <v>111.11818181818171</v>
      </c>
      <c r="C148" s="54">
        <f>'Расчет субсидий'!D148-1</f>
        <v>0.1056119693205142</v>
      </c>
      <c r="D148" s="54">
        <f>C148*'Расчет субсидий'!E148</f>
        <v>1.056119693205142</v>
      </c>
      <c r="E148" s="55">
        <f t="shared" si="49"/>
        <v>12.218196999523029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4">
        <f>'Расчет субсидий'!P148-1</f>
        <v>0.22328458942632157</v>
      </c>
      <c r="M148" s="54">
        <f>L148*'Расчет субсидий'!Q148</f>
        <v>4.4656917885264313</v>
      </c>
      <c r="N148" s="55">
        <f t="shared" si="50"/>
        <v>51.663369561625949</v>
      </c>
      <c r="O148" s="54">
        <f>'Расчет субсидий'!T148-1</f>
        <v>0</v>
      </c>
      <c r="P148" s="54">
        <f>O148*'Расчет субсидий'!U148</f>
        <v>0</v>
      </c>
      <c r="Q148" s="55">
        <f t="shared" si="51"/>
        <v>0</v>
      </c>
      <c r="R148" s="54">
        <f>'Расчет субсидий'!X148-1</f>
        <v>0</v>
      </c>
      <c r="S148" s="54">
        <f>R148*'Расчет субсидий'!Y148</f>
        <v>0</v>
      </c>
      <c r="T148" s="55">
        <f t="shared" si="52"/>
        <v>0</v>
      </c>
      <c r="U148" s="60" t="s">
        <v>385</v>
      </c>
      <c r="V148" s="60" t="s">
        <v>385</v>
      </c>
      <c r="W148" s="61" t="s">
        <v>385</v>
      </c>
      <c r="X148" s="73">
        <f>'Расчет субсидий'!AF148-1</f>
        <v>0.20415254237288138</v>
      </c>
      <c r="Y148" s="73">
        <f>X148*'Расчет субсидий'!AG148</f>
        <v>4.0830508474576277</v>
      </c>
      <c r="Z148" s="55">
        <f t="shared" si="35"/>
        <v>47.236615257032739</v>
      </c>
      <c r="AA148" s="27" t="s">
        <v>367</v>
      </c>
      <c r="AB148" s="27" t="s">
        <v>367</v>
      </c>
      <c r="AC148" s="27" t="s">
        <v>367</v>
      </c>
      <c r="AD148" s="27" t="s">
        <v>367</v>
      </c>
      <c r="AE148" s="27" t="s">
        <v>367</v>
      </c>
      <c r="AF148" s="27" t="s">
        <v>367</v>
      </c>
      <c r="AG148" s="54">
        <f t="shared" si="36"/>
        <v>9.604862329189201</v>
      </c>
    </row>
    <row r="149" spans="1:33" ht="15" customHeight="1">
      <c r="A149" s="33" t="s">
        <v>148</v>
      </c>
      <c r="B149" s="52">
        <f>'Расчет субсидий'!AT149</f>
        <v>11.045454545454561</v>
      </c>
      <c r="C149" s="54">
        <f>'Расчет субсидий'!D149-1</f>
        <v>7.551487414187763E-3</v>
      </c>
      <c r="D149" s="54">
        <f>C149*'Расчет субсидий'!E149</f>
        <v>7.551487414187763E-2</v>
      </c>
      <c r="E149" s="55">
        <f t="shared" si="49"/>
        <v>0.32483590305335641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4">
        <f>'Расчет субсидий'!P149-1</f>
        <v>-0.14594253543001356</v>
      </c>
      <c r="M149" s="54">
        <f>L149*'Расчет субсидий'!Q149</f>
        <v>-2.9188507086002713</v>
      </c>
      <c r="N149" s="55">
        <f t="shared" si="50"/>
        <v>-12.555771516280558</v>
      </c>
      <c r="O149" s="54">
        <f>'Расчет субсидий'!T149-1</f>
        <v>7.8888054094665705E-2</v>
      </c>
      <c r="P149" s="54">
        <f>O149*'Расчет субсидий'!U149</f>
        <v>2.7610818933132997</v>
      </c>
      <c r="Q149" s="55">
        <f t="shared" si="51"/>
        <v>11.877110839562553</v>
      </c>
      <c r="R149" s="54">
        <f>'Расчет субсидий'!X149-1</f>
        <v>0.10000000000000009</v>
      </c>
      <c r="S149" s="54">
        <f>R149*'Расчет субсидий'!Y149</f>
        <v>1.5000000000000013</v>
      </c>
      <c r="T149" s="55">
        <f t="shared" si="52"/>
        <v>6.4524222561052094</v>
      </c>
      <c r="U149" s="60" t="s">
        <v>385</v>
      </c>
      <c r="V149" s="60" t="s">
        <v>385</v>
      </c>
      <c r="W149" s="61" t="s">
        <v>385</v>
      </c>
      <c r="X149" s="73">
        <f>'Расчет субсидий'!AF149-1</f>
        <v>5.7500000000000107E-2</v>
      </c>
      <c r="Y149" s="73">
        <f>X149*'Расчет субсидий'!AG149</f>
        <v>1.1500000000000021</v>
      </c>
      <c r="Z149" s="55">
        <f t="shared" si="35"/>
        <v>4.946857063013999</v>
      </c>
      <c r="AA149" s="27" t="s">
        <v>367</v>
      </c>
      <c r="AB149" s="27" t="s">
        <v>367</v>
      </c>
      <c r="AC149" s="27" t="s">
        <v>367</v>
      </c>
      <c r="AD149" s="27" t="s">
        <v>367</v>
      </c>
      <c r="AE149" s="27" t="s">
        <v>367</v>
      </c>
      <c r="AF149" s="27" t="s">
        <v>367</v>
      </c>
      <c r="AG149" s="54">
        <f t="shared" si="36"/>
        <v>2.5677460588549095</v>
      </c>
    </row>
    <row r="150" spans="1:33" ht="15" customHeight="1">
      <c r="A150" s="33" t="s">
        <v>149</v>
      </c>
      <c r="B150" s="52">
        <f>'Расчет субсидий'!AT150</f>
        <v>49.118181818181824</v>
      </c>
      <c r="C150" s="54">
        <f>'Расчет субсидий'!D150-1</f>
        <v>-1</v>
      </c>
      <c r="D150" s="54">
        <f>C150*'Расчет субсидий'!E150</f>
        <v>0</v>
      </c>
      <c r="E150" s="55">
        <f t="shared" si="49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4">
        <f>'Расчет субсидий'!P150-1</f>
        <v>0.23109310502981195</v>
      </c>
      <c r="M150" s="54">
        <f>L150*'Расчет субсидий'!Q150</f>
        <v>4.621862100596239</v>
      </c>
      <c r="N150" s="55">
        <f t="shared" si="50"/>
        <v>11.506021968222555</v>
      </c>
      <c r="O150" s="54">
        <f>'Расчет субсидий'!T150-1</f>
        <v>0.23166666666666669</v>
      </c>
      <c r="P150" s="54">
        <f>O150*'Расчет субсидий'!U150</f>
        <v>1.1583333333333334</v>
      </c>
      <c r="Q150" s="55">
        <f t="shared" si="51"/>
        <v>2.8836448361664559</v>
      </c>
      <c r="R150" s="54">
        <f>'Расчет субсидий'!X150-1</f>
        <v>0.20437499999999997</v>
      </c>
      <c r="S150" s="54">
        <f>R150*'Расчет субсидий'!Y150</f>
        <v>9.1968749999999986</v>
      </c>
      <c r="T150" s="55">
        <f t="shared" si="52"/>
        <v>22.895413901541037</v>
      </c>
      <c r="U150" s="60" t="s">
        <v>385</v>
      </c>
      <c r="V150" s="60" t="s">
        <v>385</v>
      </c>
      <c r="W150" s="61" t="s">
        <v>385</v>
      </c>
      <c r="X150" s="73">
        <f>'Расчет субсидий'!AF150-1</f>
        <v>0.23766233766233769</v>
      </c>
      <c r="Y150" s="73">
        <f>X150*'Расчет субсидий'!AG150</f>
        <v>4.7532467532467537</v>
      </c>
      <c r="Z150" s="55">
        <f t="shared" si="35"/>
        <v>11.833101112251775</v>
      </c>
      <c r="AA150" s="27" t="s">
        <v>367</v>
      </c>
      <c r="AB150" s="27" t="s">
        <v>367</v>
      </c>
      <c r="AC150" s="27" t="s">
        <v>367</v>
      </c>
      <c r="AD150" s="27" t="s">
        <v>367</v>
      </c>
      <c r="AE150" s="27" t="s">
        <v>367</v>
      </c>
      <c r="AF150" s="27" t="s">
        <v>367</v>
      </c>
      <c r="AG150" s="54">
        <f t="shared" si="36"/>
        <v>19.730317187176325</v>
      </c>
    </row>
    <row r="151" spans="1:33" ht="15" customHeight="1">
      <c r="A151" s="33" t="s">
        <v>150</v>
      </c>
      <c r="B151" s="52">
        <f>'Расчет субсидий'!AT151</f>
        <v>100.4727272727273</v>
      </c>
      <c r="C151" s="54">
        <f>'Расчет субсидий'!D151-1</f>
        <v>4.7548042287265169E-2</v>
      </c>
      <c r="D151" s="54">
        <f>C151*'Расчет субсидий'!E151</f>
        <v>0.47548042287265169</v>
      </c>
      <c r="E151" s="55">
        <f t="shared" si="49"/>
        <v>3.0950228712277594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4">
        <f>'Расчет субсидий'!P151-1</f>
        <v>0.11118558860494354</v>
      </c>
      <c r="M151" s="54">
        <f>L151*'Расчет субсидий'!Q151</f>
        <v>2.2237117720988708</v>
      </c>
      <c r="N151" s="55">
        <f t="shared" si="50"/>
        <v>14.474704872355483</v>
      </c>
      <c r="O151" s="54">
        <f>'Расчет субсидий'!T151-1</f>
        <v>0</v>
      </c>
      <c r="P151" s="54">
        <f>O151*'Расчет субсидий'!U151</f>
        <v>0</v>
      </c>
      <c r="Q151" s="55">
        <f t="shared" si="51"/>
        <v>0</v>
      </c>
      <c r="R151" s="54">
        <f>'Расчет субсидий'!X151-1</f>
        <v>0.24225806451612897</v>
      </c>
      <c r="S151" s="54">
        <f>R151*'Расчет субсидий'!Y151</f>
        <v>8.4790322580645139</v>
      </c>
      <c r="T151" s="55">
        <f t="shared" si="52"/>
        <v>55.192175118461726</v>
      </c>
      <c r="U151" s="60" t="s">
        <v>385</v>
      </c>
      <c r="V151" s="60" t="s">
        <v>385</v>
      </c>
      <c r="W151" s="61" t="s">
        <v>385</v>
      </c>
      <c r="X151" s="73">
        <f>'Расчет субсидий'!AF151-1</f>
        <v>0.21285714285714286</v>
      </c>
      <c r="Y151" s="73">
        <f>X151*'Расчет субсидий'!AG151</f>
        <v>4.2571428571428571</v>
      </c>
      <c r="Z151" s="55">
        <f t="shared" si="35"/>
        <v>27.710824410682331</v>
      </c>
      <c r="AA151" s="27" t="s">
        <v>367</v>
      </c>
      <c r="AB151" s="27" t="s">
        <v>367</v>
      </c>
      <c r="AC151" s="27" t="s">
        <v>367</v>
      </c>
      <c r="AD151" s="27" t="s">
        <v>367</v>
      </c>
      <c r="AE151" s="27" t="s">
        <v>367</v>
      </c>
      <c r="AF151" s="27" t="s">
        <v>367</v>
      </c>
      <c r="AG151" s="54">
        <f t="shared" si="36"/>
        <v>15.435367310178894</v>
      </c>
    </row>
    <row r="152" spans="1:33" ht="15" customHeight="1">
      <c r="A152" s="33" t="s">
        <v>151</v>
      </c>
      <c r="B152" s="52">
        <f>'Расчет субсидий'!AT152</f>
        <v>86.918181818181893</v>
      </c>
      <c r="C152" s="54">
        <f>'Расчет субсидий'!D152-1</f>
        <v>2.3931623931623847E-2</v>
      </c>
      <c r="D152" s="54">
        <f>C152*'Расчет субсидий'!E152</f>
        <v>0.23931623931623847</v>
      </c>
      <c r="E152" s="55">
        <f t="shared" si="49"/>
        <v>1.2976047120596921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4">
        <f>'Расчет субсидий'!P152-1</f>
        <v>0.24350148367952529</v>
      </c>
      <c r="M152" s="54">
        <f>L152*'Расчет субсидий'!Q152</f>
        <v>4.8700296735905058</v>
      </c>
      <c r="N152" s="55">
        <f t="shared" si="50"/>
        <v>26.405953354343772</v>
      </c>
      <c r="O152" s="54">
        <f>'Расчет субсидий'!T152-1</f>
        <v>0.20774496644295293</v>
      </c>
      <c r="P152" s="54">
        <f>O152*'Расчет субсидий'!U152</f>
        <v>7.2710738255033522</v>
      </c>
      <c r="Q152" s="55">
        <f t="shared" si="51"/>
        <v>39.424736426847417</v>
      </c>
      <c r="R152" s="54">
        <f>'Расчет субсидий'!X152-1</f>
        <v>0.23681818181818182</v>
      </c>
      <c r="S152" s="54">
        <f>R152*'Расчет субсидий'!Y152</f>
        <v>3.5522727272727272</v>
      </c>
      <c r="T152" s="55">
        <f t="shared" si="52"/>
        <v>19.260898644404932</v>
      </c>
      <c r="U152" s="60" t="s">
        <v>385</v>
      </c>
      <c r="V152" s="60" t="s">
        <v>385</v>
      </c>
      <c r="W152" s="61" t="s">
        <v>385</v>
      </c>
      <c r="X152" s="73">
        <f>'Расчет субсидий'!AF152-1</f>
        <v>4.8780487804878092E-3</v>
      </c>
      <c r="Y152" s="73">
        <f>X152*'Расчет субсидий'!AG152</f>
        <v>9.7560975609756184E-2</v>
      </c>
      <c r="Z152" s="55">
        <f t="shared" si="35"/>
        <v>0.52898868052607884</v>
      </c>
      <c r="AA152" s="27" t="s">
        <v>367</v>
      </c>
      <c r="AB152" s="27" t="s">
        <v>367</v>
      </c>
      <c r="AC152" s="27" t="s">
        <v>367</v>
      </c>
      <c r="AD152" s="27" t="s">
        <v>367</v>
      </c>
      <c r="AE152" s="27" t="s">
        <v>367</v>
      </c>
      <c r="AF152" s="27" t="s">
        <v>367</v>
      </c>
      <c r="AG152" s="54">
        <f t="shared" si="36"/>
        <v>16.030253441292579</v>
      </c>
    </row>
    <row r="153" spans="1:33" ht="15" customHeight="1">
      <c r="A153" s="33" t="s">
        <v>152</v>
      </c>
      <c r="B153" s="52">
        <f>'Расчет субсидий'!AT153</f>
        <v>98.600000000000023</v>
      </c>
      <c r="C153" s="54">
        <f>'Расчет субсидий'!D153-1</f>
        <v>0.20953428676200958</v>
      </c>
      <c r="D153" s="54">
        <f>C153*'Расчет субсидий'!E153</f>
        <v>2.0953428676200958</v>
      </c>
      <c r="E153" s="55">
        <f t="shared" si="49"/>
        <v>16.215023930605724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4">
        <f>'Расчет субсидий'!P153-1</f>
        <v>4.7413793103448176E-2</v>
      </c>
      <c r="M153" s="54">
        <f>L153*'Расчет субсидий'!Q153</f>
        <v>0.94827586206896353</v>
      </c>
      <c r="N153" s="55">
        <f t="shared" si="50"/>
        <v>7.3383292223332104</v>
      </c>
      <c r="O153" s="54">
        <f>'Расчет субсидий'!T153-1</f>
        <v>4.31034482758621E-2</v>
      </c>
      <c r="P153" s="54">
        <f>O153*'Расчет субсидий'!U153</f>
        <v>0.86206896551724199</v>
      </c>
      <c r="Q153" s="55">
        <f t="shared" si="51"/>
        <v>6.6712083839393008</v>
      </c>
      <c r="R153" s="54">
        <f>'Расчет субсидий'!X153-1</f>
        <v>0.14999999999999991</v>
      </c>
      <c r="S153" s="54">
        <f>R153*'Расчет субсидий'!Y153</f>
        <v>4.4999999999999973</v>
      </c>
      <c r="T153" s="55">
        <f t="shared" si="52"/>
        <v>34.823707764163103</v>
      </c>
      <c r="U153" s="60" t="s">
        <v>385</v>
      </c>
      <c r="V153" s="60" t="s">
        <v>385</v>
      </c>
      <c r="W153" s="61" t="s">
        <v>385</v>
      </c>
      <c r="X153" s="73">
        <f>'Расчет субсидий'!AF153-1</f>
        <v>0.21678160919540224</v>
      </c>
      <c r="Y153" s="73">
        <f>X153*'Расчет субсидий'!AG153</f>
        <v>4.3356321839080447</v>
      </c>
      <c r="Z153" s="55">
        <f t="shared" si="35"/>
        <v>33.551730698958686</v>
      </c>
      <c r="AA153" s="27" t="s">
        <v>367</v>
      </c>
      <c r="AB153" s="27" t="s">
        <v>367</v>
      </c>
      <c r="AC153" s="27" t="s">
        <v>367</v>
      </c>
      <c r="AD153" s="27" t="s">
        <v>367</v>
      </c>
      <c r="AE153" s="27" t="s">
        <v>367</v>
      </c>
      <c r="AF153" s="27" t="s">
        <v>367</v>
      </c>
      <c r="AG153" s="54">
        <f t="shared" si="36"/>
        <v>12.741319879114343</v>
      </c>
    </row>
    <row r="154" spans="1:33" ht="15" customHeight="1">
      <c r="A154" s="33" t="s">
        <v>153</v>
      </c>
      <c r="B154" s="52">
        <f>'Расчет субсидий'!AT154</f>
        <v>45.409090909090878</v>
      </c>
      <c r="C154" s="54">
        <f>'Расчет субсидий'!D154-1</f>
        <v>0</v>
      </c>
      <c r="D154" s="54">
        <f>C154*'Расчет субсидий'!E154</f>
        <v>0</v>
      </c>
      <c r="E154" s="55">
        <f t="shared" si="49"/>
        <v>0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4">
        <f>'Расчет субсидий'!P154-1</f>
        <v>0.20279000372995148</v>
      </c>
      <c r="M154" s="54">
        <f>L154*'Расчет субсидий'!Q154</f>
        <v>4.0558000745990297</v>
      </c>
      <c r="N154" s="55">
        <f t="shared" si="50"/>
        <v>20.60618265546649</v>
      </c>
      <c r="O154" s="54">
        <f>'Расчет субсидий'!T154-1</f>
        <v>3.6666666666666625E-2</v>
      </c>
      <c r="P154" s="54">
        <f>O154*'Расчет субсидий'!U154</f>
        <v>1.0999999999999988</v>
      </c>
      <c r="Q154" s="55">
        <f t="shared" si="51"/>
        <v>5.5887372415056795</v>
      </c>
      <c r="R154" s="54">
        <f>'Расчет субсидий'!X154-1</f>
        <v>0.18181818181818166</v>
      </c>
      <c r="S154" s="54">
        <f>R154*'Расчет субсидий'!Y154</f>
        <v>3.6363636363636331</v>
      </c>
      <c r="T154" s="55">
        <f t="shared" si="52"/>
        <v>18.475164434729525</v>
      </c>
      <c r="U154" s="60" t="s">
        <v>385</v>
      </c>
      <c r="V154" s="60" t="s">
        <v>385</v>
      </c>
      <c r="W154" s="61" t="s">
        <v>385</v>
      </c>
      <c r="X154" s="73">
        <f>'Расчет субсидий'!AF154-1</f>
        <v>7.2727272727273196E-3</v>
      </c>
      <c r="Y154" s="73">
        <f>X154*'Расчет субсидий'!AG154</f>
        <v>0.14545454545454639</v>
      </c>
      <c r="Z154" s="55">
        <f t="shared" si="35"/>
        <v>0.73900657738918629</v>
      </c>
      <c r="AA154" s="27" t="s">
        <v>367</v>
      </c>
      <c r="AB154" s="27" t="s">
        <v>367</v>
      </c>
      <c r="AC154" s="27" t="s">
        <v>367</v>
      </c>
      <c r="AD154" s="27" t="s">
        <v>367</v>
      </c>
      <c r="AE154" s="27" t="s">
        <v>367</v>
      </c>
      <c r="AF154" s="27" t="s">
        <v>367</v>
      </c>
      <c r="AG154" s="54">
        <f t="shared" si="36"/>
        <v>8.937618256417208</v>
      </c>
    </row>
    <row r="155" spans="1:33" ht="15" customHeight="1">
      <c r="A155" s="33" t="s">
        <v>154</v>
      </c>
      <c r="B155" s="52">
        <f>'Расчет субсидий'!AT155</f>
        <v>56.627272727272725</v>
      </c>
      <c r="C155" s="54">
        <f>'Расчет субсидий'!D155-1</f>
        <v>8.7656529516994652E-2</v>
      </c>
      <c r="D155" s="54">
        <f>C155*'Расчет субсидий'!E155</f>
        <v>0.87656529516994652</v>
      </c>
      <c r="E155" s="55">
        <f t="shared" si="49"/>
        <v>3.1838909540219151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4">
        <f>'Расчет субсидий'!P155-1</f>
        <v>0.30000000000000004</v>
      </c>
      <c r="M155" s="54">
        <f>L155*'Расчет субсидий'!Q155</f>
        <v>6.0000000000000009</v>
      </c>
      <c r="N155" s="55">
        <f t="shared" si="50"/>
        <v>21.793408693447965</v>
      </c>
      <c r="O155" s="54">
        <f>'Расчет субсидий'!T155-1</f>
        <v>9.0909090909090828E-2</v>
      </c>
      <c r="P155" s="54">
        <f>O155*'Расчет субсидий'!U155</f>
        <v>1.3636363636363624</v>
      </c>
      <c r="Q155" s="55">
        <f t="shared" si="51"/>
        <v>4.9530474303290779</v>
      </c>
      <c r="R155" s="54">
        <f>'Расчет субсидий'!X155-1</f>
        <v>8.3333333333333481E-2</v>
      </c>
      <c r="S155" s="54">
        <f>R155*'Расчет субсидий'!Y155</f>
        <v>2.9166666666666718</v>
      </c>
      <c r="T155" s="55">
        <f t="shared" si="52"/>
        <v>10.594018114870554</v>
      </c>
      <c r="U155" s="60" t="s">
        <v>385</v>
      </c>
      <c r="V155" s="60" t="s">
        <v>385</v>
      </c>
      <c r="W155" s="61" t="s">
        <v>385</v>
      </c>
      <c r="X155" s="73">
        <f>'Расчет субсидий'!AF155-1</f>
        <v>0.22166666666666668</v>
      </c>
      <c r="Y155" s="73">
        <f>X155*'Расчет субсидий'!AG155</f>
        <v>4.4333333333333336</v>
      </c>
      <c r="Z155" s="55">
        <f t="shared" si="35"/>
        <v>16.102907534603215</v>
      </c>
      <c r="AA155" s="27" t="s">
        <v>367</v>
      </c>
      <c r="AB155" s="27" t="s">
        <v>367</v>
      </c>
      <c r="AC155" s="27" t="s">
        <v>367</v>
      </c>
      <c r="AD155" s="27" t="s">
        <v>367</v>
      </c>
      <c r="AE155" s="27" t="s">
        <v>367</v>
      </c>
      <c r="AF155" s="27" t="s">
        <v>367</v>
      </c>
      <c r="AG155" s="54">
        <f t="shared" si="36"/>
        <v>15.590201658806315</v>
      </c>
    </row>
    <row r="156" spans="1:33" ht="15" customHeight="1">
      <c r="A156" s="33" t="s">
        <v>155</v>
      </c>
      <c r="B156" s="52">
        <f>'Расчет субсидий'!AT156</f>
        <v>49.327272727272771</v>
      </c>
      <c r="C156" s="54">
        <f>'Расчет субсидий'!D156-1</f>
        <v>-1.2168959662810841E-2</v>
      </c>
      <c r="D156" s="54">
        <f>C156*'Расчет субсидий'!E156</f>
        <v>-0.12168959662810841</v>
      </c>
      <c r="E156" s="55">
        <f t="shared" si="49"/>
        <v>-0.5117615617078205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4">
        <f>'Расчет субсидий'!P156-1</f>
        <v>0.14877688971090119</v>
      </c>
      <c r="M156" s="54">
        <f>L156*'Расчет субсидий'!Q156</f>
        <v>2.9755377942180239</v>
      </c>
      <c r="N156" s="55">
        <f t="shared" si="50"/>
        <v>12.513525483557432</v>
      </c>
      <c r="O156" s="54">
        <f>'Расчет субсидий'!T156-1</f>
        <v>0.11111111111111116</v>
      </c>
      <c r="P156" s="54">
        <f>O156*'Расчет субсидий'!U156</f>
        <v>2.2222222222222232</v>
      </c>
      <c r="Q156" s="55">
        <f t="shared" si="51"/>
        <v>9.3454818359023264</v>
      </c>
      <c r="R156" s="54">
        <f>'Расчет субсидий'!X156-1</f>
        <v>0.18127659574468069</v>
      </c>
      <c r="S156" s="54">
        <f>R156*'Расчет субсидий'!Y156</f>
        <v>5.4382978723404207</v>
      </c>
      <c r="T156" s="55">
        <f t="shared" si="52"/>
        <v>22.87058129288264</v>
      </c>
      <c r="U156" s="60" t="s">
        <v>385</v>
      </c>
      <c r="V156" s="60" t="s">
        <v>385</v>
      </c>
      <c r="W156" s="61" t="s">
        <v>385</v>
      </c>
      <c r="X156" s="73">
        <f>'Расчет субсидий'!AF156-1</f>
        <v>6.0747663551401931E-2</v>
      </c>
      <c r="Y156" s="73">
        <f>X156*'Расчет субсидий'!AG156</f>
        <v>1.2149532710280386</v>
      </c>
      <c r="Z156" s="55">
        <f t="shared" si="35"/>
        <v>5.1094456766381908</v>
      </c>
      <c r="AA156" s="27" t="s">
        <v>367</v>
      </c>
      <c r="AB156" s="27" t="s">
        <v>367</v>
      </c>
      <c r="AC156" s="27" t="s">
        <v>367</v>
      </c>
      <c r="AD156" s="27" t="s">
        <v>367</v>
      </c>
      <c r="AE156" s="27" t="s">
        <v>367</v>
      </c>
      <c r="AF156" s="27" t="s">
        <v>367</v>
      </c>
      <c r="AG156" s="54">
        <f t="shared" si="36"/>
        <v>11.729321563180598</v>
      </c>
    </row>
    <row r="157" spans="1:33" ht="15" customHeight="1">
      <c r="A157" s="32" t="s">
        <v>156</v>
      </c>
      <c r="B157" s="56"/>
      <c r="C157" s="57"/>
      <c r="D157" s="57"/>
      <c r="E157" s="58"/>
      <c r="F157" s="57"/>
      <c r="G157" s="57"/>
      <c r="H157" s="58"/>
      <c r="I157" s="58"/>
      <c r="J157" s="58"/>
      <c r="K157" s="58"/>
      <c r="L157" s="57"/>
      <c r="M157" s="57"/>
      <c r="N157" s="58"/>
      <c r="O157" s="57"/>
      <c r="P157" s="57"/>
      <c r="Q157" s="58"/>
      <c r="R157" s="57"/>
      <c r="S157" s="57"/>
      <c r="T157" s="58"/>
      <c r="U157" s="58"/>
      <c r="V157" s="58"/>
      <c r="W157" s="58"/>
      <c r="X157" s="75"/>
      <c r="Y157" s="75"/>
      <c r="Z157" s="58"/>
      <c r="AA157" s="58"/>
      <c r="AB157" s="58"/>
      <c r="AC157" s="58"/>
      <c r="AD157" s="58"/>
      <c r="AE157" s="58"/>
      <c r="AF157" s="58"/>
      <c r="AG157" s="58"/>
    </row>
    <row r="158" spans="1:33" ht="15" customHeight="1">
      <c r="A158" s="33" t="s">
        <v>71</v>
      </c>
      <c r="B158" s="52">
        <f>'Расчет субсидий'!AT158</f>
        <v>22.727272727272748</v>
      </c>
      <c r="C158" s="54">
        <f>'Расчет субсидий'!D158-1</f>
        <v>-1</v>
      </c>
      <c r="D158" s="54">
        <f>C158*'Расчет субсидий'!E158</f>
        <v>0</v>
      </c>
      <c r="E158" s="55">
        <f t="shared" ref="E158:E170" si="53">$B158*D158/$AG158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4">
        <f>'Расчет субсидий'!P158-1</f>
        <v>0.16539050535987743</v>
      </c>
      <c r="M158" s="54">
        <f>L158*'Расчет субсидий'!Q158</f>
        <v>3.3078101071975485</v>
      </c>
      <c r="N158" s="55">
        <f t="shared" ref="N158:N170" si="54">$B158*M158/$AG158</f>
        <v>18.996773134389397</v>
      </c>
      <c r="O158" s="54">
        <f>'Расчет субсидий'!T158-1</f>
        <v>0</v>
      </c>
      <c r="P158" s="54">
        <f>O158*'Расчет субсидий'!U158</f>
        <v>0</v>
      </c>
      <c r="Q158" s="55">
        <f t="shared" ref="Q158:Q170" si="55">$B158*P158/$AG158</f>
        <v>0</v>
      </c>
      <c r="R158" s="54">
        <f>'Расчет субсидий'!X158-1</f>
        <v>0</v>
      </c>
      <c r="S158" s="54">
        <f>R158*'Расчет субсидий'!Y158</f>
        <v>0</v>
      </c>
      <c r="T158" s="55">
        <f t="shared" ref="T158:T170" si="56">$B158*S158/$AG158</f>
        <v>0</v>
      </c>
      <c r="U158" s="60" t="s">
        <v>385</v>
      </c>
      <c r="V158" s="60" t="s">
        <v>385</v>
      </c>
      <c r="W158" s="61" t="s">
        <v>385</v>
      </c>
      <c r="X158" s="73">
        <f>'Расчет субсидий'!AF158-1</f>
        <v>3.2478632478632585E-2</v>
      </c>
      <c r="Y158" s="73">
        <f>X158*'Расчет субсидий'!AG158</f>
        <v>0.64957264957265171</v>
      </c>
      <c r="Z158" s="55">
        <f t="shared" si="35"/>
        <v>3.7304995928833509</v>
      </c>
      <c r="AA158" s="27" t="s">
        <v>367</v>
      </c>
      <c r="AB158" s="27" t="s">
        <v>367</v>
      </c>
      <c r="AC158" s="27" t="s">
        <v>367</v>
      </c>
      <c r="AD158" s="27" t="s">
        <v>367</v>
      </c>
      <c r="AE158" s="27" t="s">
        <v>367</v>
      </c>
      <c r="AF158" s="27" t="s">
        <v>367</v>
      </c>
      <c r="AG158" s="54">
        <f t="shared" si="36"/>
        <v>3.9573827567702002</v>
      </c>
    </row>
    <row r="159" spans="1:33" ht="15" customHeight="1">
      <c r="A159" s="33" t="s">
        <v>157</v>
      </c>
      <c r="B159" s="52">
        <f>'Расчет субсидий'!AT159</f>
        <v>-39.554545454545462</v>
      </c>
      <c r="C159" s="54">
        <f>'Расчет субсидий'!D159-1</f>
        <v>-1</v>
      </c>
      <c r="D159" s="54">
        <f>C159*'Расчет субсидий'!E159</f>
        <v>0</v>
      </c>
      <c r="E159" s="55">
        <f t="shared" si="53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4">
        <f>'Расчет субсидий'!P159-1</f>
        <v>-0.45323510570147341</v>
      </c>
      <c r="M159" s="54">
        <f>L159*'Расчет субсидий'!Q159</f>
        <v>-9.064702114029469</v>
      </c>
      <c r="N159" s="55">
        <f t="shared" si="54"/>
        <v>-39.554545454545462</v>
      </c>
      <c r="O159" s="54">
        <f>'Расчет субсидий'!T159-1</f>
        <v>0</v>
      </c>
      <c r="P159" s="54">
        <f>O159*'Расчет субсидий'!U159</f>
        <v>0</v>
      </c>
      <c r="Q159" s="55">
        <f t="shared" si="55"/>
        <v>0</v>
      </c>
      <c r="R159" s="54">
        <f>'Расчет субсидий'!X159-1</f>
        <v>0</v>
      </c>
      <c r="S159" s="54">
        <f>R159*'Расчет субсидий'!Y159</f>
        <v>0</v>
      </c>
      <c r="T159" s="55">
        <f t="shared" si="56"/>
        <v>0</v>
      </c>
      <c r="U159" s="60" t="s">
        <v>385</v>
      </c>
      <c r="V159" s="60" t="s">
        <v>385</v>
      </c>
      <c r="W159" s="61" t="s">
        <v>385</v>
      </c>
      <c r="X159" s="73">
        <f>'Расчет субсидий'!AF159-1</f>
        <v>0</v>
      </c>
      <c r="Y159" s="73">
        <f>X159*'Расчет субсидий'!AG159</f>
        <v>0</v>
      </c>
      <c r="Z159" s="55">
        <f t="shared" si="35"/>
        <v>0</v>
      </c>
      <c r="AA159" s="27" t="s">
        <v>367</v>
      </c>
      <c r="AB159" s="27" t="s">
        <v>367</v>
      </c>
      <c r="AC159" s="27" t="s">
        <v>367</v>
      </c>
      <c r="AD159" s="27" t="s">
        <v>367</v>
      </c>
      <c r="AE159" s="27" t="s">
        <v>367</v>
      </c>
      <c r="AF159" s="27" t="s">
        <v>367</v>
      </c>
      <c r="AG159" s="54">
        <f t="shared" si="36"/>
        <v>-9.064702114029469</v>
      </c>
    </row>
    <row r="160" spans="1:33" ht="15" customHeight="1">
      <c r="A160" s="33" t="s">
        <v>158</v>
      </c>
      <c r="B160" s="52">
        <f>'Расчет субсидий'!AT160</f>
        <v>86.799999999999955</v>
      </c>
      <c r="C160" s="54">
        <f>'Расчет субсидий'!D160-1</f>
        <v>-1</v>
      </c>
      <c r="D160" s="54">
        <f>C160*'Расчет субсидий'!E160</f>
        <v>0</v>
      </c>
      <c r="E160" s="55">
        <f t="shared" si="53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4">
        <f>'Расчет субсидий'!P160-1</f>
        <v>0.25131594906003629</v>
      </c>
      <c r="M160" s="54">
        <f>L160*'Расчет субсидий'!Q160</f>
        <v>5.0263189812007258</v>
      </c>
      <c r="N160" s="55">
        <f t="shared" si="54"/>
        <v>32.494720867208649</v>
      </c>
      <c r="O160" s="54">
        <f>'Расчет субсидий'!T160-1</f>
        <v>0</v>
      </c>
      <c r="P160" s="54">
        <f>O160*'Расчет субсидий'!U160</f>
        <v>0</v>
      </c>
      <c r="Q160" s="55">
        <f t="shared" si="55"/>
        <v>0</v>
      </c>
      <c r="R160" s="54">
        <f>'Расчет субсидий'!X160-1</f>
        <v>0.28000000000000003</v>
      </c>
      <c r="S160" s="54">
        <f>R160*'Расчет субсидий'!Y160</f>
        <v>8.4</v>
      </c>
      <c r="T160" s="55">
        <f t="shared" si="56"/>
        <v>54.305279132791306</v>
      </c>
      <c r="U160" s="60" t="s">
        <v>385</v>
      </c>
      <c r="V160" s="60" t="s">
        <v>385</v>
      </c>
      <c r="W160" s="61" t="s">
        <v>385</v>
      </c>
      <c r="X160" s="73">
        <f>'Расчет субсидий'!AF160-1</f>
        <v>0</v>
      </c>
      <c r="Y160" s="73">
        <f>X160*'Расчет субсидий'!AG160</f>
        <v>0</v>
      </c>
      <c r="Z160" s="55">
        <f t="shared" si="35"/>
        <v>0</v>
      </c>
      <c r="AA160" s="27" t="s">
        <v>367</v>
      </c>
      <c r="AB160" s="27" t="s">
        <v>367</v>
      </c>
      <c r="AC160" s="27" t="s">
        <v>367</v>
      </c>
      <c r="AD160" s="27" t="s">
        <v>367</v>
      </c>
      <c r="AE160" s="27" t="s">
        <v>367</v>
      </c>
      <c r="AF160" s="27" t="s">
        <v>367</v>
      </c>
      <c r="AG160" s="54">
        <f t="shared" si="36"/>
        <v>13.426318981200726</v>
      </c>
    </row>
    <row r="161" spans="1:33" ht="15" customHeight="1">
      <c r="A161" s="33" t="s">
        <v>159</v>
      </c>
      <c r="B161" s="52">
        <f>'Расчет субсидий'!AT161</f>
        <v>106.12727272727273</v>
      </c>
      <c r="C161" s="54">
        <f>'Расчет субсидий'!D161-1</f>
        <v>-1</v>
      </c>
      <c r="D161" s="54">
        <f>C161*'Расчет субсидий'!E161</f>
        <v>0</v>
      </c>
      <c r="E161" s="55">
        <f t="shared" si="53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4">
        <f>'Расчет субсидий'!P161-1</f>
        <v>0.23343557060346543</v>
      </c>
      <c r="M161" s="54">
        <f>L161*'Расчет субсидий'!Q161</f>
        <v>4.6687114120693085</v>
      </c>
      <c r="N161" s="55">
        <f t="shared" si="54"/>
        <v>30.825795989891894</v>
      </c>
      <c r="O161" s="54">
        <f>'Расчет субсидий'!T161-1</f>
        <v>0</v>
      </c>
      <c r="P161" s="54">
        <f>O161*'Расчет субсидий'!U161</f>
        <v>0</v>
      </c>
      <c r="Q161" s="55">
        <f t="shared" si="55"/>
        <v>0</v>
      </c>
      <c r="R161" s="54">
        <f>'Расчет субсидий'!X161-1</f>
        <v>0.30000000000000004</v>
      </c>
      <c r="S161" s="54">
        <f>R161*'Расчет субсидий'!Y161</f>
        <v>7.5000000000000009</v>
      </c>
      <c r="T161" s="55">
        <f t="shared" si="56"/>
        <v>49.519760276148141</v>
      </c>
      <c r="U161" s="60" t="s">
        <v>385</v>
      </c>
      <c r="V161" s="60" t="s">
        <v>385</v>
      </c>
      <c r="W161" s="61" t="s">
        <v>385</v>
      </c>
      <c r="X161" s="73">
        <f>'Расчет субсидий'!AF161-1</f>
        <v>0.19523809523809521</v>
      </c>
      <c r="Y161" s="73">
        <f>X161*'Расчет субсидий'!AG161</f>
        <v>3.9047619047619042</v>
      </c>
      <c r="Z161" s="55">
        <f t="shared" si="35"/>
        <v>25.781716461232676</v>
      </c>
      <c r="AA161" s="27" t="s">
        <v>367</v>
      </c>
      <c r="AB161" s="27" t="s">
        <v>367</v>
      </c>
      <c r="AC161" s="27" t="s">
        <v>367</v>
      </c>
      <c r="AD161" s="27" t="s">
        <v>367</v>
      </c>
      <c r="AE161" s="27" t="s">
        <v>367</v>
      </c>
      <c r="AF161" s="27" t="s">
        <v>367</v>
      </c>
      <c r="AG161" s="54">
        <f t="shared" si="36"/>
        <v>16.073473316831215</v>
      </c>
    </row>
    <row r="162" spans="1:33" ht="15" customHeight="1">
      <c r="A162" s="33" t="s">
        <v>160</v>
      </c>
      <c r="B162" s="52">
        <f>'Расчет субсидий'!AT162</f>
        <v>81.690909090909145</v>
      </c>
      <c r="C162" s="54">
        <f>'Расчет субсидий'!D162-1</f>
        <v>0.19973305503680105</v>
      </c>
      <c r="D162" s="54">
        <f>C162*'Расчет субсидий'!E162</f>
        <v>1.9973305503680105</v>
      </c>
      <c r="E162" s="55">
        <f t="shared" si="53"/>
        <v>17.121969933572455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4">
        <f>'Расчет субсидий'!P162-1</f>
        <v>5.2455321204315064E-2</v>
      </c>
      <c r="M162" s="54">
        <f>L162*'Расчет субсидий'!Q162</f>
        <v>1.0491064240863013</v>
      </c>
      <c r="N162" s="55">
        <f t="shared" si="54"/>
        <v>8.9933880233362977</v>
      </c>
      <c r="O162" s="54">
        <f>'Расчет субсидий'!T162-1</f>
        <v>7.943925233644844E-3</v>
      </c>
      <c r="P162" s="54">
        <f>O162*'Расчет субсидий'!U162</f>
        <v>0.1985981308411211</v>
      </c>
      <c r="Q162" s="55">
        <f t="shared" si="55"/>
        <v>1.7024679387689923</v>
      </c>
      <c r="R162" s="54">
        <f>'Расчет субсидий'!X162-1</f>
        <v>0.24857142857142844</v>
      </c>
      <c r="S162" s="54">
        <f>R162*'Расчет субсидий'!Y162</f>
        <v>6.2142857142857109</v>
      </c>
      <c r="T162" s="55">
        <f t="shared" si="56"/>
        <v>53.27150938487587</v>
      </c>
      <c r="U162" s="60" t="s">
        <v>385</v>
      </c>
      <c r="V162" s="60" t="s">
        <v>385</v>
      </c>
      <c r="W162" s="61" t="s">
        <v>385</v>
      </c>
      <c r="X162" s="73">
        <f>'Расчет субсидий'!AF162-1</f>
        <v>3.5087719298245723E-3</v>
      </c>
      <c r="Y162" s="73">
        <f>X162*'Расчет субсидий'!AG162</f>
        <v>7.0175438596491446E-2</v>
      </c>
      <c r="Z162" s="55">
        <f t="shared" si="35"/>
        <v>0.60157381035552726</v>
      </c>
      <c r="AA162" s="27" t="s">
        <v>367</v>
      </c>
      <c r="AB162" s="27" t="s">
        <v>367</v>
      </c>
      <c r="AC162" s="27" t="s">
        <v>367</v>
      </c>
      <c r="AD162" s="27" t="s">
        <v>367</v>
      </c>
      <c r="AE162" s="27" t="s">
        <v>367</v>
      </c>
      <c r="AF162" s="27" t="s">
        <v>367</v>
      </c>
      <c r="AG162" s="54">
        <f t="shared" si="36"/>
        <v>9.5294962581776357</v>
      </c>
    </row>
    <row r="163" spans="1:33" ht="15" customHeight="1">
      <c r="A163" s="33" t="s">
        <v>161</v>
      </c>
      <c r="B163" s="52">
        <f>'Расчет субсидий'!AT163</f>
        <v>26.690909090909145</v>
      </c>
      <c r="C163" s="54">
        <f>'Расчет субсидий'!D163-1</f>
        <v>-1</v>
      </c>
      <c r="D163" s="54">
        <f>C163*'Расчет субсидий'!E163</f>
        <v>0</v>
      </c>
      <c r="E163" s="55">
        <f t="shared" si="53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4">
        <f>'Расчет субсидий'!P163-1</f>
        <v>0.27686635944700466</v>
      </c>
      <c r="M163" s="54">
        <f>L163*'Расчет субсидий'!Q163</f>
        <v>5.5373271889400932</v>
      </c>
      <c r="N163" s="55">
        <f t="shared" si="54"/>
        <v>25.42430498123295</v>
      </c>
      <c r="O163" s="54">
        <f>'Расчет субсидий'!T163-1</f>
        <v>0</v>
      </c>
      <c r="P163" s="54">
        <f>O163*'Расчет субсидий'!U163</f>
        <v>0</v>
      </c>
      <c r="Q163" s="55">
        <f t="shared" si="55"/>
        <v>0</v>
      </c>
      <c r="R163" s="54">
        <f>'Расчет субсидий'!X163-1</f>
        <v>0</v>
      </c>
      <c r="S163" s="54">
        <f>R163*'Расчет субсидий'!Y163</f>
        <v>0</v>
      </c>
      <c r="T163" s="55">
        <f t="shared" si="56"/>
        <v>0</v>
      </c>
      <c r="U163" s="60" t="s">
        <v>385</v>
      </c>
      <c r="V163" s="60" t="s">
        <v>385</v>
      </c>
      <c r="W163" s="61" t="s">
        <v>385</v>
      </c>
      <c r="X163" s="73">
        <f>'Расчет субсидий'!AF163-1</f>
        <v>1.379310344827589E-2</v>
      </c>
      <c r="Y163" s="73">
        <f>X163*'Расчет субсидий'!AG163</f>
        <v>0.27586206896551779</v>
      </c>
      <c r="Z163" s="55">
        <f t="shared" si="35"/>
        <v>1.2666041096761929</v>
      </c>
      <c r="AA163" s="27" t="s">
        <v>367</v>
      </c>
      <c r="AB163" s="27" t="s">
        <v>367</v>
      </c>
      <c r="AC163" s="27" t="s">
        <v>367</v>
      </c>
      <c r="AD163" s="27" t="s">
        <v>367</v>
      </c>
      <c r="AE163" s="27" t="s">
        <v>367</v>
      </c>
      <c r="AF163" s="27" t="s">
        <v>367</v>
      </c>
      <c r="AG163" s="54">
        <f t="shared" si="36"/>
        <v>5.813189257905611</v>
      </c>
    </row>
    <row r="164" spans="1:33" ht="15" customHeight="1">
      <c r="A164" s="33" t="s">
        <v>162</v>
      </c>
      <c r="B164" s="52">
        <f>'Расчет субсидий'!AT164</f>
        <v>28.263636363636351</v>
      </c>
      <c r="C164" s="54">
        <f>'Расчет субсидий'!D164-1</f>
        <v>2.0485576923076954E-2</v>
      </c>
      <c r="D164" s="54">
        <f>C164*'Расчет субсидий'!E164</f>
        <v>0.20485576923076954</v>
      </c>
      <c r="E164" s="55">
        <f t="shared" si="53"/>
        <v>1.4124380159469341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4">
        <f>'Расчет субсидий'!P164-1</f>
        <v>0.19472085961224028</v>
      </c>
      <c r="M164" s="54">
        <f>L164*'Расчет субсидий'!Q164</f>
        <v>3.8944171922448056</v>
      </c>
      <c r="N164" s="55">
        <f t="shared" si="54"/>
        <v>26.851198347689412</v>
      </c>
      <c r="O164" s="54">
        <f>'Расчет субсидий'!T164-1</f>
        <v>0</v>
      </c>
      <c r="P164" s="54">
        <f>O164*'Расчет субсидий'!U164</f>
        <v>0</v>
      </c>
      <c r="Q164" s="55">
        <f t="shared" si="55"/>
        <v>0</v>
      </c>
      <c r="R164" s="54">
        <f>'Расчет субсидий'!X164-1</f>
        <v>0</v>
      </c>
      <c r="S164" s="54">
        <f>R164*'Расчет субсидий'!Y164</f>
        <v>0</v>
      </c>
      <c r="T164" s="55">
        <f t="shared" si="56"/>
        <v>0</v>
      </c>
      <c r="U164" s="60" t="s">
        <v>385</v>
      </c>
      <c r="V164" s="60" t="s">
        <v>385</v>
      </c>
      <c r="W164" s="61" t="s">
        <v>385</v>
      </c>
      <c r="X164" s="73">
        <f>'Расчет субсидий'!AF164-1</f>
        <v>0</v>
      </c>
      <c r="Y164" s="73">
        <f>X164*'Расчет субсидий'!AG164</f>
        <v>0</v>
      </c>
      <c r="Z164" s="55">
        <f t="shared" si="35"/>
        <v>0</v>
      </c>
      <c r="AA164" s="27" t="s">
        <v>367</v>
      </c>
      <c r="AB164" s="27" t="s">
        <v>367</v>
      </c>
      <c r="AC164" s="27" t="s">
        <v>367</v>
      </c>
      <c r="AD164" s="27" t="s">
        <v>367</v>
      </c>
      <c r="AE164" s="27" t="s">
        <v>367</v>
      </c>
      <c r="AF164" s="27" t="s">
        <v>367</v>
      </c>
      <c r="AG164" s="54">
        <f t="shared" si="36"/>
        <v>4.0992729614755756</v>
      </c>
    </row>
    <row r="165" spans="1:33" ht="15" customHeight="1">
      <c r="A165" s="33" t="s">
        <v>163</v>
      </c>
      <c r="B165" s="52">
        <f>'Расчет субсидий'!AT165</f>
        <v>19.181818181818187</v>
      </c>
      <c r="C165" s="54">
        <f>'Расчет субсидий'!D165-1</f>
        <v>-1</v>
      </c>
      <c r="D165" s="54">
        <f>C165*'Расчет субсидий'!E165</f>
        <v>0</v>
      </c>
      <c r="E165" s="55">
        <f t="shared" si="53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4">
        <f>'Расчет субсидий'!P165-1</f>
        <v>0.28497896213183727</v>
      </c>
      <c r="M165" s="54">
        <f>L165*'Расчет субсидий'!Q165</f>
        <v>5.6995792426367453</v>
      </c>
      <c r="N165" s="55">
        <f t="shared" si="54"/>
        <v>18.815026458019233</v>
      </c>
      <c r="O165" s="54">
        <f>'Расчет субсидий'!T165-1</f>
        <v>0</v>
      </c>
      <c r="P165" s="54">
        <f>O165*'Расчет субсидий'!U165</f>
        <v>0</v>
      </c>
      <c r="Q165" s="55">
        <f t="shared" si="55"/>
        <v>0</v>
      </c>
      <c r="R165" s="54">
        <f>'Расчет субсидий'!X165-1</f>
        <v>0</v>
      </c>
      <c r="S165" s="54">
        <f>R165*'Расчет субсидий'!Y165</f>
        <v>0</v>
      </c>
      <c r="T165" s="55">
        <f t="shared" si="56"/>
        <v>0</v>
      </c>
      <c r="U165" s="60" t="s">
        <v>385</v>
      </c>
      <c r="V165" s="60" t="s">
        <v>385</v>
      </c>
      <c r="W165" s="61" t="s">
        <v>385</v>
      </c>
      <c r="X165" s="73">
        <f>'Расчет субсидий'!AF165-1</f>
        <v>5.5555555555555358E-3</v>
      </c>
      <c r="Y165" s="73">
        <f>X165*'Расчет субсидий'!AG165</f>
        <v>0.11111111111111072</v>
      </c>
      <c r="Z165" s="55">
        <f t="shared" si="35"/>
        <v>0.36679172379895303</v>
      </c>
      <c r="AA165" s="27" t="s">
        <v>367</v>
      </c>
      <c r="AB165" s="27" t="s">
        <v>367</v>
      </c>
      <c r="AC165" s="27" t="s">
        <v>367</v>
      </c>
      <c r="AD165" s="27" t="s">
        <v>367</v>
      </c>
      <c r="AE165" s="27" t="s">
        <v>367</v>
      </c>
      <c r="AF165" s="27" t="s">
        <v>367</v>
      </c>
      <c r="AG165" s="54">
        <f t="shared" si="36"/>
        <v>5.810690353747856</v>
      </c>
    </row>
    <row r="166" spans="1:33" ht="15" customHeight="1">
      <c r="A166" s="33" t="s">
        <v>164</v>
      </c>
      <c r="B166" s="52">
        <f>'Расчет субсидий'!AT166</f>
        <v>26.190909090909145</v>
      </c>
      <c r="C166" s="54">
        <f>'Расчет субсидий'!D166-1</f>
        <v>-1</v>
      </c>
      <c r="D166" s="54">
        <f>C166*'Расчет субсидий'!E166</f>
        <v>0</v>
      </c>
      <c r="E166" s="55">
        <f t="shared" si="53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4">
        <f>'Расчет субсидий'!P166-1</f>
        <v>0.24723476778866638</v>
      </c>
      <c r="M166" s="54">
        <f>L166*'Расчет субсидий'!Q166</f>
        <v>4.9446953557733275</v>
      </c>
      <c r="N166" s="55">
        <f t="shared" si="54"/>
        <v>26.190909090909141</v>
      </c>
      <c r="O166" s="54">
        <f>'Расчет субсидий'!T166-1</f>
        <v>0</v>
      </c>
      <c r="P166" s="54">
        <f>O166*'Расчет субсидий'!U166</f>
        <v>0</v>
      </c>
      <c r="Q166" s="55">
        <f t="shared" si="55"/>
        <v>0</v>
      </c>
      <c r="R166" s="54">
        <f>'Расчет субсидий'!X166-1</f>
        <v>0</v>
      </c>
      <c r="S166" s="54">
        <f>R166*'Расчет субсидий'!Y166</f>
        <v>0</v>
      </c>
      <c r="T166" s="55">
        <f t="shared" si="56"/>
        <v>0</v>
      </c>
      <c r="U166" s="60" t="s">
        <v>385</v>
      </c>
      <c r="V166" s="60" t="s">
        <v>385</v>
      </c>
      <c r="W166" s="61" t="s">
        <v>385</v>
      </c>
      <c r="X166" s="73">
        <f>'Расчет субсидий'!AF166-1</f>
        <v>0</v>
      </c>
      <c r="Y166" s="73">
        <f>X166*'Расчет субсидий'!AG166</f>
        <v>0</v>
      </c>
      <c r="Z166" s="55">
        <f t="shared" si="35"/>
        <v>0</v>
      </c>
      <c r="AA166" s="27" t="s">
        <v>367</v>
      </c>
      <c r="AB166" s="27" t="s">
        <v>367</v>
      </c>
      <c r="AC166" s="27" t="s">
        <v>367</v>
      </c>
      <c r="AD166" s="27" t="s">
        <v>367</v>
      </c>
      <c r="AE166" s="27" t="s">
        <v>367</v>
      </c>
      <c r="AF166" s="27" t="s">
        <v>367</v>
      </c>
      <c r="AG166" s="54">
        <f t="shared" si="36"/>
        <v>4.9446953557733275</v>
      </c>
    </row>
    <row r="167" spans="1:33" ht="15" customHeight="1">
      <c r="A167" s="33" t="s">
        <v>99</v>
      </c>
      <c r="B167" s="52">
        <f>'Расчет субсидий'!AT167</f>
        <v>26.25454545454545</v>
      </c>
      <c r="C167" s="54">
        <f>'Расчет субсидий'!D167-1</f>
        <v>-8.4056122448978865E-3</v>
      </c>
      <c r="D167" s="54">
        <f>C167*'Расчет субсидий'!E167</f>
        <v>-8.4056122448978865E-2</v>
      </c>
      <c r="E167" s="55">
        <f t="shared" si="53"/>
        <v>-0.373035196622438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4">
        <f>'Расчет субсидий'!P167-1</f>
        <v>0.30000000000000004</v>
      </c>
      <c r="M167" s="54">
        <f>L167*'Расчет субсидий'!Q167</f>
        <v>6.0000000000000009</v>
      </c>
      <c r="N167" s="55">
        <f t="shared" si="54"/>
        <v>26.627580651167886</v>
      </c>
      <c r="O167" s="54">
        <f>'Расчет субсидий'!T167-1</f>
        <v>0</v>
      </c>
      <c r="P167" s="54">
        <f>O167*'Расчет субсидий'!U167</f>
        <v>0</v>
      </c>
      <c r="Q167" s="55">
        <f t="shared" si="55"/>
        <v>0</v>
      </c>
      <c r="R167" s="54">
        <f>'Расчет субсидий'!X167-1</f>
        <v>0</v>
      </c>
      <c r="S167" s="54">
        <f>R167*'Расчет субсидий'!Y167</f>
        <v>0</v>
      </c>
      <c r="T167" s="55">
        <f t="shared" si="56"/>
        <v>0</v>
      </c>
      <c r="U167" s="60" t="s">
        <v>385</v>
      </c>
      <c r="V167" s="60" t="s">
        <v>385</v>
      </c>
      <c r="W167" s="61" t="s">
        <v>385</v>
      </c>
      <c r="X167" s="73">
        <f>'Расчет субсидий'!AF167-1</f>
        <v>0</v>
      </c>
      <c r="Y167" s="73">
        <f>X167*'Расчет субсидий'!AG167</f>
        <v>0</v>
      </c>
      <c r="Z167" s="55">
        <f t="shared" si="35"/>
        <v>0</v>
      </c>
      <c r="AA167" s="27" t="s">
        <v>367</v>
      </c>
      <c r="AB167" s="27" t="s">
        <v>367</v>
      </c>
      <c r="AC167" s="27" t="s">
        <v>367</v>
      </c>
      <c r="AD167" s="27" t="s">
        <v>367</v>
      </c>
      <c r="AE167" s="27" t="s">
        <v>367</v>
      </c>
      <c r="AF167" s="27" t="s">
        <v>367</v>
      </c>
      <c r="AG167" s="54">
        <f t="shared" si="36"/>
        <v>5.9159438775510225</v>
      </c>
    </row>
    <row r="168" spans="1:33" ht="15" customHeight="1">
      <c r="A168" s="33" t="s">
        <v>165</v>
      </c>
      <c r="B168" s="52">
        <f>'Расчет субсидий'!AT168</f>
        <v>90.372727272727275</v>
      </c>
      <c r="C168" s="54">
        <f>'Расчет субсидий'!D168-1</f>
        <v>0.20873561894102721</v>
      </c>
      <c r="D168" s="54">
        <f>C168*'Расчет субсидий'!E168</f>
        <v>2.0873561894102721</v>
      </c>
      <c r="E168" s="55">
        <f t="shared" si="53"/>
        <v>10.699844996441673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4">
        <f>'Расчет субсидий'!P168-1</f>
        <v>0.25873088416241874</v>
      </c>
      <c r="M168" s="54">
        <f>L168*'Расчет субсидий'!Q168</f>
        <v>5.1746176832483748</v>
      </c>
      <c r="N168" s="55">
        <f t="shared" si="54"/>
        <v>26.525231969272287</v>
      </c>
      <c r="O168" s="54">
        <f>'Расчет субсидий'!T168-1</f>
        <v>7.1065989847716171E-3</v>
      </c>
      <c r="P168" s="54">
        <f>O168*'Расчет субсидий'!U168</f>
        <v>3.5532994923858086E-2</v>
      </c>
      <c r="Q168" s="55">
        <f t="shared" si="55"/>
        <v>0.18214310517461094</v>
      </c>
      <c r="R168" s="54">
        <f>'Расчет субсидий'!X168-1</f>
        <v>0.22961470588235278</v>
      </c>
      <c r="S168" s="54">
        <f>R168*'Расчет субсидий'!Y168</f>
        <v>10.332661764705875</v>
      </c>
      <c r="T168" s="55">
        <f t="shared" si="56"/>
        <v>52.965507201838705</v>
      </c>
      <c r="U168" s="60" t="s">
        <v>385</v>
      </c>
      <c r="V168" s="60" t="s">
        <v>385</v>
      </c>
      <c r="W168" s="61" t="s">
        <v>385</v>
      </c>
      <c r="X168" s="73">
        <f>'Расчет субсидий'!AF168-1</f>
        <v>0</v>
      </c>
      <c r="Y168" s="73">
        <f>X168*'Расчет субсидий'!AG168</f>
        <v>0</v>
      </c>
      <c r="Z168" s="55">
        <f t="shared" si="35"/>
        <v>0</v>
      </c>
      <c r="AA168" s="27" t="s">
        <v>367</v>
      </c>
      <c r="AB168" s="27" t="s">
        <v>367</v>
      </c>
      <c r="AC168" s="27" t="s">
        <v>367</v>
      </c>
      <c r="AD168" s="27" t="s">
        <v>367</v>
      </c>
      <c r="AE168" s="27" t="s">
        <v>367</v>
      </c>
      <c r="AF168" s="27" t="s">
        <v>367</v>
      </c>
      <c r="AG168" s="54">
        <f t="shared" si="36"/>
        <v>17.630168632288381</v>
      </c>
    </row>
    <row r="169" spans="1:33" ht="15" customHeight="1">
      <c r="A169" s="33" t="s">
        <v>166</v>
      </c>
      <c r="B169" s="52">
        <f>'Расчет субсидий'!AT169</f>
        <v>44.672727272727229</v>
      </c>
      <c r="C169" s="54">
        <f>'Расчет субсидий'!D169-1</f>
        <v>0.2157397660818714</v>
      </c>
      <c r="D169" s="54">
        <f>C169*'Расчет субсидий'!E169</f>
        <v>2.157397660818714</v>
      </c>
      <c r="E169" s="55">
        <f t="shared" si="53"/>
        <v>18.510015843086265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4">
        <f>'Расчет субсидий'!P169-1</f>
        <v>0.10417061611374412</v>
      </c>
      <c r="M169" s="54">
        <f>L169*'Расчет субсидий'!Q169</f>
        <v>2.0834123222748824</v>
      </c>
      <c r="N169" s="55">
        <f t="shared" si="54"/>
        <v>17.875237279322214</v>
      </c>
      <c r="O169" s="54">
        <f>'Расчет субсидий'!T169-1</f>
        <v>1.0624999999999885E-2</v>
      </c>
      <c r="P169" s="54">
        <f>O169*'Расчет субсидий'!U169</f>
        <v>0.4781249999999948</v>
      </c>
      <c r="Q169" s="55">
        <f t="shared" si="55"/>
        <v>4.1022114215220702</v>
      </c>
      <c r="R169" s="54">
        <f>'Расчет субсидий'!X169-1</f>
        <v>0</v>
      </c>
      <c r="S169" s="54">
        <f>R169*'Расчет субсидий'!Y169</f>
        <v>0</v>
      </c>
      <c r="T169" s="55">
        <f t="shared" si="56"/>
        <v>0</v>
      </c>
      <c r="U169" s="60" t="s">
        <v>385</v>
      </c>
      <c r="V169" s="60" t="s">
        <v>385</v>
      </c>
      <c r="W169" s="61" t="s">
        <v>385</v>
      </c>
      <c r="X169" s="73">
        <f>'Расчет субсидий'!AF169-1</f>
        <v>2.4390243902439046E-2</v>
      </c>
      <c r="Y169" s="73">
        <f>X169*'Расчет субсидий'!AG169</f>
        <v>0.48780487804878092</v>
      </c>
      <c r="Z169" s="55">
        <f t="shared" si="35"/>
        <v>4.185262728796677</v>
      </c>
      <c r="AA169" s="27" t="s">
        <v>367</v>
      </c>
      <c r="AB169" s="27" t="s">
        <v>367</v>
      </c>
      <c r="AC169" s="27" t="s">
        <v>367</v>
      </c>
      <c r="AD169" s="27" t="s">
        <v>367</v>
      </c>
      <c r="AE169" s="27" t="s">
        <v>367</v>
      </c>
      <c r="AF169" s="27" t="s">
        <v>367</v>
      </c>
      <c r="AG169" s="54">
        <f t="shared" si="36"/>
        <v>5.2067398611423723</v>
      </c>
    </row>
    <row r="170" spans="1:33" ht="15" customHeight="1">
      <c r="A170" s="33" t="s">
        <v>167</v>
      </c>
      <c r="B170" s="52">
        <f>'Расчет субсидий'!AT170</f>
        <v>6.8727272727272748</v>
      </c>
      <c r="C170" s="54">
        <f>'Расчет субсидий'!D170-1</f>
        <v>2.1263482280431401E-3</v>
      </c>
      <c r="D170" s="54">
        <f>C170*'Расчет субсидий'!E170</f>
        <v>2.1263482280431401E-2</v>
      </c>
      <c r="E170" s="55">
        <f t="shared" si="53"/>
        <v>0.12184349564186592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4">
        <f>'Расчет субсидий'!P170-1</f>
        <v>5.8906426155580505E-2</v>
      </c>
      <c r="M170" s="54">
        <f>L170*'Расчет субсидий'!Q170</f>
        <v>1.1781285231116101</v>
      </c>
      <c r="N170" s="55">
        <f t="shared" si="54"/>
        <v>6.7508837770854084</v>
      </c>
      <c r="O170" s="54">
        <f>'Расчет субсидий'!T170-1</f>
        <v>0</v>
      </c>
      <c r="P170" s="54">
        <f>O170*'Расчет субсидий'!U170</f>
        <v>0</v>
      </c>
      <c r="Q170" s="55">
        <f t="shared" si="55"/>
        <v>0</v>
      </c>
      <c r="R170" s="54">
        <f>'Расчет субсидий'!X170-1</f>
        <v>0</v>
      </c>
      <c r="S170" s="54">
        <f>R170*'Расчет субсидий'!Y170</f>
        <v>0</v>
      </c>
      <c r="T170" s="55">
        <f t="shared" si="56"/>
        <v>0</v>
      </c>
      <c r="U170" s="60" t="s">
        <v>385</v>
      </c>
      <c r="V170" s="60" t="s">
        <v>385</v>
      </c>
      <c r="W170" s="61" t="s">
        <v>385</v>
      </c>
      <c r="X170" s="73">
        <f>'Расчет субсидий'!AF170-1</f>
        <v>0</v>
      </c>
      <c r="Y170" s="73">
        <f>X170*'Расчет субсидий'!AG170</f>
        <v>0</v>
      </c>
      <c r="Z170" s="55">
        <f t="shared" si="35"/>
        <v>0</v>
      </c>
      <c r="AA170" s="27" t="s">
        <v>367</v>
      </c>
      <c r="AB170" s="27" t="s">
        <v>367</v>
      </c>
      <c r="AC170" s="27" t="s">
        <v>367</v>
      </c>
      <c r="AD170" s="27" t="s">
        <v>367</v>
      </c>
      <c r="AE170" s="27" t="s">
        <v>367</v>
      </c>
      <c r="AF170" s="27" t="s">
        <v>367</v>
      </c>
      <c r="AG170" s="54">
        <f t="shared" si="36"/>
        <v>1.1993920053920415</v>
      </c>
    </row>
    <row r="171" spans="1:33" ht="15" customHeight="1">
      <c r="A171" s="32" t="s">
        <v>168</v>
      </c>
      <c r="B171" s="56"/>
      <c r="C171" s="57"/>
      <c r="D171" s="57"/>
      <c r="E171" s="58"/>
      <c r="F171" s="57"/>
      <c r="G171" s="57"/>
      <c r="H171" s="58"/>
      <c r="I171" s="58"/>
      <c r="J171" s="58"/>
      <c r="K171" s="58"/>
      <c r="L171" s="57"/>
      <c r="M171" s="57"/>
      <c r="N171" s="58"/>
      <c r="O171" s="57"/>
      <c r="P171" s="57"/>
      <c r="Q171" s="58"/>
      <c r="R171" s="57"/>
      <c r="S171" s="57"/>
      <c r="T171" s="58"/>
      <c r="U171" s="58"/>
      <c r="V171" s="58"/>
      <c r="W171" s="58"/>
      <c r="X171" s="75"/>
      <c r="Y171" s="75"/>
      <c r="Z171" s="58"/>
      <c r="AA171" s="58"/>
      <c r="AB171" s="58"/>
      <c r="AC171" s="58"/>
      <c r="AD171" s="58"/>
      <c r="AE171" s="58"/>
      <c r="AF171" s="58"/>
      <c r="AG171" s="58"/>
    </row>
    <row r="172" spans="1:33" ht="15" customHeight="1">
      <c r="A172" s="33" t="s">
        <v>169</v>
      </c>
      <c r="B172" s="52">
        <f>'Расчет субсидий'!AT172</f>
        <v>-28.272727272727252</v>
      </c>
      <c r="C172" s="54">
        <f>'Расчет субсидий'!D172-1</f>
        <v>-1</v>
      </c>
      <c r="D172" s="54">
        <f>C172*'Расчет субсидий'!E172</f>
        <v>0</v>
      </c>
      <c r="E172" s="55">
        <f t="shared" ref="E172:E177" si="57">$B172*D172/$AG172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4">
        <f>'Расчет субсидий'!P172-1</f>
        <v>-0.23392282958199362</v>
      </c>
      <c r="M172" s="54">
        <f>L172*'Расчет субсидий'!Q172</f>
        <v>-4.6784565916398719</v>
      </c>
      <c r="N172" s="55">
        <f t="shared" ref="N172:N177" si="58">$B172*M172/$AG172</f>
        <v>-16.835320155875756</v>
      </c>
      <c r="O172" s="54">
        <f>'Расчет субсидий'!T172-1</f>
        <v>-0.21291390728476822</v>
      </c>
      <c r="P172" s="54">
        <f>O172*'Расчет субсидий'!U172</f>
        <v>-7.4519867549668879</v>
      </c>
      <c r="Q172" s="55">
        <f t="shared" ref="Q172:Q177" si="59">$B172*P172/$AG172</f>
        <v>-26.815805674332168</v>
      </c>
      <c r="R172" s="54">
        <f>'Расчет субсидий'!X172-1</f>
        <v>0.30000000000000004</v>
      </c>
      <c r="S172" s="54">
        <f>R172*'Расчет субсидий'!Y172</f>
        <v>4.5000000000000009</v>
      </c>
      <c r="T172" s="55">
        <f t="shared" ref="T172:T177" si="60">$B172*S172/$AG172</f>
        <v>16.193148149929982</v>
      </c>
      <c r="U172" s="60" t="s">
        <v>385</v>
      </c>
      <c r="V172" s="60" t="s">
        <v>385</v>
      </c>
      <c r="W172" s="61" t="s">
        <v>385</v>
      </c>
      <c r="X172" s="73">
        <f>'Расчет субсидий'!AF172-1</f>
        <v>-1.132075471698113E-2</v>
      </c>
      <c r="Y172" s="73">
        <f>X172*'Расчет субсидий'!AG172</f>
        <v>-0.22641509433962259</v>
      </c>
      <c r="Z172" s="55">
        <f t="shared" si="35"/>
        <v>-0.81474959244930678</v>
      </c>
      <c r="AA172" s="27" t="s">
        <v>367</v>
      </c>
      <c r="AB172" s="27" t="s">
        <v>367</v>
      </c>
      <c r="AC172" s="27" t="s">
        <v>367</v>
      </c>
      <c r="AD172" s="27" t="s">
        <v>367</v>
      </c>
      <c r="AE172" s="27" t="s">
        <v>367</v>
      </c>
      <c r="AF172" s="27" t="s">
        <v>367</v>
      </c>
      <c r="AG172" s="54">
        <f t="shared" si="36"/>
        <v>-7.8568584409463824</v>
      </c>
    </row>
    <row r="173" spans="1:33" ht="15" customHeight="1">
      <c r="A173" s="33" t="s">
        <v>170</v>
      </c>
      <c r="B173" s="52">
        <f>'Расчет субсидий'!AT173</f>
        <v>-17.863636363636374</v>
      </c>
      <c r="C173" s="54">
        <f>'Расчет субсидий'!D173-1</f>
        <v>3.7139330350253186E-3</v>
      </c>
      <c r="D173" s="54">
        <f>C173*'Расчет субсидий'!E173</f>
        <v>3.7139330350253186E-2</v>
      </c>
      <c r="E173" s="55">
        <f t="shared" si="57"/>
        <v>0.21656627414817262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4">
        <f>'Расчет субсидий'!P173-1</f>
        <v>-0.33496519057761387</v>
      </c>
      <c r="M173" s="54">
        <f>L173*'Расчет субсидий'!Q173</f>
        <v>-6.6993038115522774</v>
      </c>
      <c r="N173" s="55">
        <f t="shared" si="58"/>
        <v>-39.064874142100344</v>
      </c>
      <c r="O173" s="54">
        <f>'Расчет субсидий'!T173-1</f>
        <v>0.20570006222775361</v>
      </c>
      <c r="P173" s="54">
        <f>O173*'Расчет субсидий'!U173</f>
        <v>5.1425015556938405</v>
      </c>
      <c r="Q173" s="55">
        <f t="shared" si="59"/>
        <v>29.986873516964319</v>
      </c>
      <c r="R173" s="54">
        <f>'Расчет субсидий'!X173-1</f>
        <v>5.555555555555558E-2</v>
      </c>
      <c r="S173" s="54">
        <f>R173*'Расчет субсидий'!Y173</f>
        <v>1.3888888888888895</v>
      </c>
      <c r="T173" s="55">
        <f t="shared" si="60"/>
        <v>8.0988668625903646</v>
      </c>
      <c r="U173" s="60" t="s">
        <v>385</v>
      </c>
      <c r="V173" s="60" t="s">
        <v>385</v>
      </c>
      <c r="W173" s="61" t="s">
        <v>385</v>
      </c>
      <c r="X173" s="73">
        <f>'Расчет субсидий'!AF173-1</f>
        <v>-0.14663461538461542</v>
      </c>
      <c r="Y173" s="73">
        <f>X173*'Расчет субсидий'!AG173</f>
        <v>-2.9326923076923084</v>
      </c>
      <c r="Z173" s="55">
        <f t="shared" si="35"/>
        <v>-17.10106887523888</v>
      </c>
      <c r="AA173" s="27" t="s">
        <v>367</v>
      </c>
      <c r="AB173" s="27" t="s">
        <v>367</v>
      </c>
      <c r="AC173" s="27" t="s">
        <v>367</v>
      </c>
      <c r="AD173" s="27" t="s">
        <v>367</v>
      </c>
      <c r="AE173" s="27" t="s">
        <v>367</v>
      </c>
      <c r="AF173" s="27" t="s">
        <v>367</v>
      </c>
      <c r="AG173" s="54">
        <f t="shared" si="36"/>
        <v>-3.0634663443116033</v>
      </c>
    </row>
    <row r="174" spans="1:33" ht="15" customHeight="1">
      <c r="A174" s="33" t="s">
        <v>171</v>
      </c>
      <c r="B174" s="52">
        <f>'Расчет субсидий'!AT174</f>
        <v>-26.963636363636397</v>
      </c>
      <c r="C174" s="54">
        <f>'Расчет субсидий'!D174-1</f>
        <v>-1</v>
      </c>
      <c r="D174" s="54">
        <f>C174*'Расчет субсидий'!E174</f>
        <v>0</v>
      </c>
      <c r="E174" s="55">
        <f t="shared" si="57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4">
        <f>'Расчет субсидий'!P174-1</f>
        <v>-0.37526652452025588</v>
      </c>
      <c r="M174" s="54">
        <f>L174*'Расчет субсидий'!Q174</f>
        <v>-7.5053304904051181</v>
      </c>
      <c r="N174" s="55">
        <f t="shared" si="58"/>
        <v>-24.676433351419817</v>
      </c>
      <c r="O174" s="54">
        <f>'Расчет субсидий'!T174-1</f>
        <v>0</v>
      </c>
      <c r="P174" s="54">
        <f>O174*'Расчет субсидий'!U174</f>
        <v>0</v>
      </c>
      <c r="Q174" s="55">
        <f t="shared" si="59"/>
        <v>0</v>
      </c>
      <c r="R174" s="54">
        <f>'Расчет субсидий'!X174-1</f>
        <v>0</v>
      </c>
      <c r="S174" s="54">
        <f>R174*'Расчет субсидий'!Y174</f>
        <v>0</v>
      </c>
      <c r="T174" s="55">
        <f t="shared" si="60"/>
        <v>0</v>
      </c>
      <c r="U174" s="60" t="s">
        <v>385</v>
      </c>
      <c r="V174" s="60" t="s">
        <v>385</v>
      </c>
      <c r="W174" s="61" t="s">
        <v>385</v>
      </c>
      <c r="X174" s="73">
        <f>'Расчет субсидий'!AF174-1</f>
        <v>-3.4782608695652195E-2</v>
      </c>
      <c r="Y174" s="73">
        <f>X174*'Расчет субсидий'!AG174</f>
        <v>-0.6956521739130439</v>
      </c>
      <c r="Z174" s="55">
        <f t="shared" si="35"/>
        <v>-2.287203012216581</v>
      </c>
      <c r="AA174" s="27" t="s">
        <v>367</v>
      </c>
      <c r="AB174" s="27" t="s">
        <v>367</v>
      </c>
      <c r="AC174" s="27" t="s">
        <v>367</v>
      </c>
      <c r="AD174" s="27" t="s">
        <v>367</v>
      </c>
      <c r="AE174" s="27" t="s">
        <v>367</v>
      </c>
      <c r="AF174" s="27" t="s">
        <v>367</v>
      </c>
      <c r="AG174" s="54">
        <f t="shared" si="36"/>
        <v>-8.2009826643181611</v>
      </c>
    </row>
    <row r="175" spans="1:33" ht="15" customHeight="1">
      <c r="A175" s="33" t="s">
        <v>172</v>
      </c>
      <c r="B175" s="52">
        <f>'Расчет субсидий'!AT175</f>
        <v>-34.890909090909091</v>
      </c>
      <c r="C175" s="54">
        <f>'Расчет субсидий'!D175-1</f>
        <v>-1</v>
      </c>
      <c r="D175" s="54">
        <f>C175*'Расчет субсидий'!E175</f>
        <v>0</v>
      </c>
      <c r="E175" s="55">
        <f t="shared" si="57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4">
        <f>'Расчет субсидий'!P175-1</f>
        <v>-0.48414695520885753</v>
      </c>
      <c r="M175" s="54">
        <f>L175*'Расчет субсидий'!Q175</f>
        <v>-9.6829391041771515</v>
      </c>
      <c r="N175" s="55">
        <f t="shared" si="58"/>
        <v>-17.22251326138996</v>
      </c>
      <c r="O175" s="54">
        <f>'Расчет субсидий'!T175-1</f>
        <v>-0.37777777777777777</v>
      </c>
      <c r="P175" s="54">
        <f>O175*'Расчет субсидий'!U175</f>
        <v>-13.222222222222221</v>
      </c>
      <c r="Q175" s="55">
        <f t="shared" si="59"/>
        <v>-23.517642227970892</v>
      </c>
      <c r="R175" s="54">
        <f>'Расчет субсидий'!X175-1</f>
        <v>-5.0000000000000044E-2</v>
      </c>
      <c r="S175" s="54">
        <f>R175*'Расчет субсидий'!Y175</f>
        <v>-0.75000000000000067</v>
      </c>
      <c r="T175" s="55">
        <f t="shared" si="60"/>
        <v>-1.3339839078891065</v>
      </c>
      <c r="U175" s="60" t="s">
        <v>385</v>
      </c>
      <c r="V175" s="60" t="s">
        <v>385</v>
      </c>
      <c r="W175" s="61" t="s">
        <v>385</v>
      </c>
      <c r="X175" s="73">
        <f>'Расчет субсидий'!AF175-1</f>
        <v>0.2019298245614034</v>
      </c>
      <c r="Y175" s="73">
        <f>X175*'Расчет субсидий'!AG175</f>
        <v>4.0385964912280681</v>
      </c>
      <c r="Z175" s="55">
        <f t="shared" si="35"/>
        <v>7.1832303063408638</v>
      </c>
      <c r="AA175" s="27" t="s">
        <v>367</v>
      </c>
      <c r="AB175" s="27" t="s">
        <v>367</v>
      </c>
      <c r="AC175" s="27" t="s">
        <v>367</v>
      </c>
      <c r="AD175" s="27" t="s">
        <v>367</v>
      </c>
      <c r="AE175" s="27" t="s">
        <v>367</v>
      </c>
      <c r="AF175" s="27" t="s">
        <v>367</v>
      </c>
      <c r="AG175" s="54">
        <f t="shared" si="36"/>
        <v>-19.616564835171303</v>
      </c>
    </row>
    <row r="176" spans="1:33" ht="15" customHeight="1">
      <c r="A176" s="33" t="s">
        <v>173</v>
      </c>
      <c r="B176" s="52">
        <f>'Расчет субсидий'!AT176</f>
        <v>-9.1636363636363853</v>
      </c>
      <c r="C176" s="54">
        <f>'Расчет субсидий'!D176-1</f>
        <v>-1</v>
      </c>
      <c r="D176" s="54">
        <f>C176*'Расчет субсидий'!E176</f>
        <v>0</v>
      </c>
      <c r="E176" s="55">
        <f t="shared" si="57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4">
        <f>'Расчет субсидий'!P176-1</f>
        <v>-0.33148558758314861</v>
      </c>
      <c r="M176" s="54">
        <f>L176*'Расчет субсидий'!Q176</f>
        <v>-6.6297117516629722</v>
      </c>
      <c r="N176" s="55">
        <f t="shared" si="58"/>
        <v>-13.759095311231375</v>
      </c>
      <c r="O176" s="54">
        <f>'Расчет субсидий'!T176-1</f>
        <v>0</v>
      </c>
      <c r="P176" s="54">
        <f>O176*'Расчет субсидий'!U176</f>
        <v>0</v>
      </c>
      <c r="Q176" s="55">
        <f t="shared" si="59"/>
        <v>0</v>
      </c>
      <c r="R176" s="54">
        <f>'Расчет субсидий'!X176-1</f>
        <v>8.3333333333333481E-2</v>
      </c>
      <c r="S176" s="54">
        <f>R176*'Расчет субсидий'!Y176</f>
        <v>2.5000000000000044</v>
      </c>
      <c r="T176" s="55">
        <f t="shared" si="60"/>
        <v>5.188421392445953</v>
      </c>
      <c r="U176" s="60" t="s">
        <v>385</v>
      </c>
      <c r="V176" s="60" t="s">
        <v>385</v>
      </c>
      <c r="W176" s="61" t="s">
        <v>385</v>
      </c>
      <c r="X176" s="73">
        <f>'Расчет субсидий'!AF176-1</f>
        <v>-1.4285714285714235E-2</v>
      </c>
      <c r="Y176" s="73">
        <f>X176*'Расчет субсидий'!AG176</f>
        <v>-0.2857142857142847</v>
      </c>
      <c r="Z176" s="55">
        <f t="shared" ref="Z176:Z239" si="61">$B176*Y176/$AG176</f>
        <v>-0.59296244485096294</v>
      </c>
      <c r="AA176" s="27" t="s">
        <v>367</v>
      </c>
      <c r="AB176" s="27" t="s">
        <v>367</v>
      </c>
      <c r="AC176" s="27" t="s">
        <v>367</v>
      </c>
      <c r="AD176" s="27" t="s">
        <v>367</v>
      </c>
      <c r="AE176" s="27" t="s">
        <v>367</v>
      </c>
      <c r="AF176" s="27" t="s">
        <v>367</v>
      </c>
      <c r="AG176" s="54">
        <f t="shared" ref="AG176:AG239" si="62">D176+M176+P176+S176+Y176</f>
        <v>-4.4154260373772525</v>
      </c>
    </row>
    <row r="177" spans="1:33" ht="15" customHeight="1">
      <c r="A177" s="33" t="s">
        <v>174</v>
      </c>
      <c r="B177" s="52">
        <f>'Расчет субсидий'!AT177</f>
        <v>-80.081818181818164</v>
      </c>
      <c r="C177" s="54">
        <f>'Расчет субсидий'!D177-1</f>
        <v>-1</v>
      </c>
      <c r="D177" s="54">
        <f>C177*'Расчет субсидий'!E177</f>
        <v>0</v>
      </c>
      <c r="E177" s="55">
        <f t="shared" si="57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4">
        <f>'Расчет субсидий'!P177-1</f>
        <v>-0.64841460165201181</v>
      </c>
      <c r="M177" s="54">
        <f>L177*'Расчет субсидий'!Q177</f>
        <v>-12.968292033040235</v>
      </c>
      <c r="N177" s="55">
        <f t="shared" si="58"/>
        <v>-54.75296212283375</v>
      </c>
      <c r="O177" s="54">
        <f>'Расчет субсидий'!T177-1</f>
        <v>0.26367816091954022</v>
      </c>
      <c r="P177" s="54">
        <f>O177*'Расчет субсидий'!U177</f>
        <v>5.2735632183908043</v>
      </c>
      <c r="Q177" s="55">
        <f t="shared" si="59"/>
        <v>22.265322712757353</v>
      </c>
      <c r="R177" s="54">
        <f>'Расчет субсидий'!X177-1</f>
        <v>-0.37575757575757573</v>
      </c>
      <c r="S177" s="54">
        <f>R177*'Расчет субсидий'!Y177</f>
        <v>-11.272727272727272</v>
      </c>
      <c r="T177" s="55">
        <f t="shared" si="60"/>
        <v>-47.59417877174176</v>
      </c>
      <c r="U177" s="60" t="s">
        <v>385</v>
      </c>
      <c r="V177" s="60" t="s">
        <v>385</v>
      </c>
      <c r="W177" s="61" t="s">
        <v>385</v>
      </c>
      <c r="X177" s="73">
        <f>'Расчет субсидий'!AF177-1</f>
        <v>0</v>
      </c>
      <c r="Y177" s="73">
        <f>X177*'Расчет субсидий'!AG177</f>
        <v>0</v>
      </c>
      <c r="Z177" s="55">
        <f t="shared" si="61"/>
        <v>0</v>
      </c>
      <c r="AA177" s="27" t="s">
        <v>367</v>
      </c>
      <c r="AB177" s="27" t="s">
        <v>367</v>
      </c>
      <c r="AC177" s="27" t="s">
        <v>367</v>
      </c>
      <c r="AD177" s="27" t="s">
        <v>367</v>
      </c>
      <c r="AE177" s="27" t="s">
        <v>367</v>
      </c>
      <c r="AF177" s="27" t="s">
        <v>367</v>
      </c>
      <c r="AG177" s="54">
        <f t="shared" si="62"/>
        <v>-18.967456087376704</v>
      </c>
    </row>
    <row r="178" spans="1:33" ht="15" customHeight="1">
      <c r="A178" s="32" t="s">
        <v>175</v>
      </c>
      <c r="B178" s="56"/>
      <c r="C178" s="57"/>
      <c r="D178" s="57"/>
      <c r="E178" s="58"/>
      <c r="F178" s="57"/>
      <c r="G178" s="57"/>
      <c r="H178" s="58"/>
      <c r="I178" s="58"/>
      <c r="J178" s="58"/>
      <c r="K178" s="58"/>
      <c r="L178" s="57"/>
      <c r="M178" s="57"/>
      <c r="N178" s="58"/>
      <c r="O178" s="57"/>
      <c r="P178" s="57"/>
      <c r="Q178" s="58"/>
      <c r="R178" s="57"/>
      <c r="S178" s="57"/>
      <c r="T178" s="58"/>
      <c r="U178" s="58"/>
      <c r="V178" s="58"/>
      <c r="W178" s="58"/>
      <c r="X178" s="75"/>
      <c r="Y178" s="75"/>
      <c r="Z178" s="58"/>
      <c r="AA178" s="58"/>
      <c r="AB178" s="58"/>
      <c r="AC178" s="58"/>
      <c r="AD178" s="58"/>
      <c r="AE178" s="58"/>
      <c r="AF178" s="58"/>
      <c r="AG178" s="58"/>
    </row>
    <row r="179" spans="1:33" ht="15" customHeight="1">
      <c r="A179" s="33" t="s">
        <v>176</v>
      </c>
      <c r="B179" s="52">
        <f>'Расчет субсидий'!AT179</f>
        <v>-0.39999999999997726</v>
      </c>
      <c r="C179" s="54">
        <f>'Расчет субсидий'!D179-1</f>
        <v>-1</v>
      </c>
      <c r="D179" s="54">
        <f>C179*'Расчет субсидий'!E179</f>
        <v>0</v>
      </c>
      <c r="E179" s="55">
        <f t="shared" ref="E179:E191" si="63">$B179*D179/$AG179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4">
        <f>'Расчет субсидий'!P179-1</f>
        <v>-0.40332640332640335</v>
      </c>
      <c r="M179" s="54">
        <f>L179*'Расчет субсидий'!Q179</f>
        <v>-8.0665280665280665</v>
      </c>
      <c r="N179" s="55">
        <f t="shared" ref="N179:N191" si="64">$B179*M179/$AG179</f>
        <v>-26.958296937780656</v>
      </c>
      <c r="O179" s="54">
        <f>'Расчет субсидий'!T179-1</f>
        <v>0.20166666666666666</v>
      </c>
      <c r="P179" s="54">
        <f>O179*'Расчет субсидий'!U179</f>
        <v>5.0416666666666661</v>
      </c>
      <c r="Q179" s="55">
        <f t="shared" ref="Q179:Q191" si="65">$B179*P179/$AG179</f>
        <v>16.849225086724349</v>
      </c>
      <c r="R179" s="54">
        <f>'Расчет субсидий'!X179-1</f>
        <v>5.0000000000000044E-2</v>
      </c>
      <c r="S179" s="54">
        <f>R179*'Расчет субсидий'!Y179</f>
        <v>1.2500000000000011</v>
      </c>
      <c r="T179" s="55">
        <f t="shared" ref="T179:T191" si="66">$B179*S179/$AG179</f>
        <v>4.1774938231548022</v>
      </c>
      <c r="U179" s="60" t="s">
        <v>385</v>
      </c>
      <c r="V179" s="60" t="s">
        <v>385</v>
      </c>
      <c r="W179" s="61" t="s">
        <v>385</v>
      </c>
      <c r="X179" s="73">
        <f>'Расчет субсидий'!AF179-1</f>
        <v>8.2758620689655116E-2</v>
      </c>
      <c r="Y179" s="73">
        <f>X179*'Расчет субсидий'!AG179</f>
        <v>1.6551724137931023</v>
      </c>
      <c r="Z179" s="55">
        <f t="shared" si="61"/>
        <v>5.5315780279015225</v>
      </c>
      <c r="AA179" s="27" t="s">
        <v>367</v>
      </c>
      <c r="AB179" s="27" t="s">
        <v>367</v>
      </c>
      <c r="AC179" s="27" t="s">
        <v>367</v>
      </c>
      <c r="AD179" s="27" t="s">
        <v>367</v>
      </c>
      <c r="AE179" s="27" t="s">
        <v>367</v>
      </c>
      <c r="AF179" s="27" t="s">
        <v>367</v>
      </c>
      <c r="AG179" s="54">
        <f t="shared" si="62"/>
        <v>-0.11968898606829703</v>
      </c>
    </row>
    <row r="180" spans="1:33" ht="15" customHeight="1">
      <c r="A180" s="33" t="s">
        <v>177</v>
      </c>
      <c r="B180" s="52">
        <f>'Расчет субсидий'!AT180</f>
        <v>-19.354545454545445</v>
      </c>
      <c r="C180" s="54">
        <f>'Расчет субсидий'!D180-1</f>
        <v>-1</v>
      </c>
      <c r="D180" s="54">
        <f>C180*'Расчет субсидий'!E180</f>
        <v>0</v>
      </c>
      <c r="E180" s="55">
        <f t="shared" si="63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4">
        <f>'Расчет субсидий'!P180-1</f>
        <v>-0.64194035485088707</v>
      </c>
      <c r="M180" s="54">
        <f>L180*'Расчет субсидий'!Q180</f>
        <v>-12.838807097017742</v>
      </c>
      <c r="N180" s="55">
        <f t="shared" si="64"/>
        <v>-35.010633489825352</v>
      </c>
      <c r="O180" s="54">
        <f>'Расчет субсидий'!T180-1</f>
        <v>1.1111111111111072E-2</v>
      </c>
      <c r="P180" s="54">
        <f>O180*'Расчет субсидий'!U180</f>
        <v>0.22222222222222143</v>
      </c>
      <c r="Q180" s="55">
        <f t="shared" si="65"/>
        <v>0.60598626622592722</v>
      </c>
      <c r="R180" s="54">
        <f>'Расчет субсидий'!X180-1</f>
        <v>5.0000000000000044E-2</v>
      </c>
      <c r="S180" s="54">
        <f>R180*'Расчет субсидий'!Y180</f>
        <v>1.5000000000000013</v>
      </c>
      <c r="T180" s="55">
        <f t="shared" si="66"/>
        <v>4.0904072970250267</v>
      </c>
      <c r="U180" s="60" t="s">
        <v>385</v>
      </c>
      <c r="V180" s="60" t="s">
        <v>385</v>
      </c>
      <c r="W180" s="61" t="s">
        <v>385</v>
      </c>
      <c r="X180" s="73">
        <f>'Расчет субсидий'!AF180-1</f>
        <v>0.20095238095238099</v>
      </c>
      <c r="Y180" s="73">
        <f>X180*'Расчет субсидий'!AG180</f>
        <v>4.0190476190476199</v>
      </c>
      <c r="Z180" s="55">
        <f t="shared" si="61"/>
        <v>10.959694472028955</v>
      </c>
      <c r="AA180" s="27" t="s">
        <v>367</v>
      </c>
      <c r="AB180" s="27" t="s">
        <v>367</v>
      </c>
      <c r="AC180" s="27" t="s">
        <v>367</v>
      </c>
      <c r="AD180" s="27" t="s">
        <v>367</v>
      </c>
      <c r="AE180" s="27" t="s">
        <v>367</v>
      </c>
      <c r="AF180" s="27" t="s">
        <v>367</v>
      </c>
      <c r="AG180" s="54">
        <f t="shared" si="62"/>
        <v>-7.0975372557478993</v>
      </c>
    </row>
    <row r="181" spans="1:33" ht="15" customHeight="1">
      <c r="A181" s="33" t="s">
        <v>178</v>
      </c>
      <c r="B181" s="52">
        <f>'Расчет субсидий'!AT181</f>
        <v>-22.390909090909133</v>
      </c>
      <c r="C181" s="54">
        <f>'Расчет субсидий'!D181-1</f>
        <v>-1</v>
      </c>
      <c r="D181" s="54">
        <f>C181*'Расчет субсидий'!E181</f>
        <v>0</v>
      </c>
      <c r="E181" s="55">
        <f t="shared" si="63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4">
        <f>'Расчет субсидий'!P181-1</f>
        <v>-0.56929019797199421</v>
      </c>
      <c r="M181" s="54">
        <f>L181*'Расчет субсидий'!Q181</f>
        <v>-11.385803959439883</v>
      </c>
      <c r="N181" s="55">
        <f t="shared" si="64"/>
        <v>-58.641006382238089</v>
      </c>
      <c r="O181" s="54">
        <f>'Расчет субсидий'!T181-1</f>
        <v>0.14380952380952383</v>
      </c>
      <c r="P181" s="54">
        <f>O181*'Расчет субсидий'!U181</f>
        <v>4.3142857142857149</v>
      </c>
      <c r="Q181" s="55">
        <f t="shared" si="65"/>
        <v>22.22013105156898</v>
      </c>
      <c r="R181" s="54">
        <f>'Расчет субсидий'!X181-1</f>
        <v>0.11999999999999988</v>
      </c>
      <c r="S181" s="54">
        <f>R181*'Расчет субсидий'!Y181</f>
        <v>2.3999999999999977</v>
      </c>
      <c r="T181" s="55">
        <f t="shared" si="66"/>
        <v>12.360867604846309</v>
      </c>
      <c r="U181" s="60" t="s">
        <v>385</v>
      </c>
      <c r="V181" s="60" t="s">
        <v>385</v>
      </c>
      <c r="W181" s="61" t="s">
        <v>385</v>
      </c>
      <c r="X181" s="73">
        <f>'Расчет субсидий'!AF181-1</f>
        <v>1.620370370370372E-2</v>
      </c>
      <c r="Y181" s="73">
        <f>X181*'Расчет субсидий'!AG181</f>
        <v>0.3240740740740744</v>
      </c>
      <c r="Z181" s="55">
        <f t="shared" si="61"/>
        <v>1.6690986349136636</v>
      </c>
      <c r="AA181" s="27" t="s">
        <v>367</v>
      </c>
      <c r="AB181" s="27" t="s">
        <v>367</v>
      </c>
      <c r="AC181" s="27" t="s">
        <v>367</v>
      </c>
      <c r="AD181" s="27" t="s">
        <v>367</v>
      </c>
      <c r="AE181" s="27" t="s">
        <v>367</v>
      </c>
      <c r="AF181" s="27" t="s">
        <v>367</v>
      </c>
      <c r="AG181" s="54">
        <f t="shared" si="62"/>
        <v>-4.3474441710800962</v>
      </c>
    </row>
    <row r="182" spans="1:33" ht="15" customHeight="1">
      <c r="A182" s="33" t="s">
        <v>179</v>
      </c>
      <c r="B182" s="52">
        <f>'Расчет субсидий'!AT182</f>
        <v>1.4818181818181984</v>
      </c>
      <c r="C182" s="54">
        <f>'Расчет субсидий'!D182-1</f>
        <v>3.2675433615722893E-2</v>
      </c>
      <c r="D182" s="54">
        <f>C182*'Расчет субсидий'!E182</f>
        <v>0.32675433615722893</v>
      </c>
      <c r="E182" s="55">
        <f t="shared" si="63"/>
        <v>0.61678308289401462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4">
        <f>'Расчет субсидий'!P182-1</f>
        <v>-0.36357128475873024</v>
      </c>
      <c r="M182" s="54">
        <f>L182*'Расчет субсидий'!Q182</f>
        <v>-7.2714256951746048</v>
      </c>
      <c r="N182" s="55">
        <f t="shared" si="64"/>
        <v>-13.725578702485796</v>
      </c>
      <c r="O182" s="54">
        <f>'Расчет субсидий'!T182-1</f>
        <v>4.5454545454545414E-2</v>
      </c>
      <c r="P182" s="54">
        <f>O182*'Расчет субсидий'!U182</f>
        <v>0.45454545454545414</v>
      </c>
      <c r="Q182" s="55">
        <f t="shared" si="65"/>
        <v>0.85800222291496586</v>
      </c>
      <c r="R182" s="54">
        <f>'Расчет субсидий'!X182-1</f>
        <v>0.22733333333333339</v>
      </c>
      <c r="S182" s="54">
        <f>R182*'Расчет субсидий'!Y182</f>
        <v>9.0933333333333355</v>
      </c>
      <c r="T182" s="55">
        <f t="shared" si="66"/>
        <v>17.164620470154883</v>
      </c>
      <c r="U182" s="60" t="s">
        <v>385</v>
      </c>
      <c r="V182" s="60" t="s">
        <v>385</v>
      </c>
      <c r="W182" s="61" t="s">
        <v>385</v>
      </c>
      <c r="X182" s="73">
        <f>'Расчет субсидий'!AF182-1</f>
        <v>-9.0909090909090939E-2</v>
      </c>
      <c r="Y182" s="73">
        <f>X182*'Расчет субсидий'!AG182</f>
        <v>-1.8181818181818188</v>
      </c>
      <c r="Z182" s="55">
        <f t="shared" si="61"/>
        <v>-3.4320088916598674</v>
      </c>
      <c r="AA182" s="27" t="s">
        <v>367</v>
      </c>
      <c r="AB182" s="27" t="s">
        <v>367</v>
      </c>
      <c r="AC182" s="27" t="s">
        <v>367</v>
      </c>
      <c r="AD182" s="27" t="s">
        <v>367</v>
      </c>
      <c r="AE182" s="27" t="s">
        <v>367</v>
      </c>
      <c r="AF182" s="27" t="s">
        <v>367</v>
      </c>
      <c r="AG182" s="54">
        <f t="shared" si="62"/>
        <v>0.78502561067959542</v>
      </c>
    </row>
    <row r="183" spans="1:33" ht="15" customHeight="1">
      <c r="A183" s="33" t="s">
        <v>180</v>
      </c>
      <c r="B183" s="52">
        <f>'Расчет субсидий'!AT183</f>
        <v>-34.927272727272737</v>
      </c>
      <c r="C183" s="54">
        <f>'Расчет субсидий'!D183-1</f>
        <v>-1</v>
      </c>
      <c r="D183" s="54">
        <f>C183*'Расчет субсидий'!E183</f>
        <v>0</v>
      </c>
      <c r="E183" s="55">
        <f t="shared" si="63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4">
        <f>'Расчет субсидий'!P183-1</f>
        <v>-0.65027480474399768</v>
      </c>
      <c r="M183" s="54">
        <f>L183*'Расчет субсидий'!Q183</f>
        <v>-13.005496094879954</v>
      </c>
      <c r="N183" s="55">
        <f t="shared" si="64"/>
        <v>-39.841345137164495</v>
      </c>
      <c r="O183" s="54">
        <f>'Расчет субсидий'!T183-1</f>
        <v>2.9824561403508643E-3</v>
      </c>
      <c r="P183" s="54">
        <f>O183*'Расчет субсидий'!U183</f>
        <v>0.10438596491228025</v>
      </c>
      <c r="Q183" s="55">
        <f t="shared" si="65"/>
        <v>0.31977844022292862</v>
      </c>
      <c r="R183" s="54">
        <f>'Расчет субсидий'!X183-1</f>
        <v>0.23038461538461541</v>
      </c>
      <c r="S183" s="54">
        <f>R183*'Расчет субсидий'!Y183</f>
        <v>3.4557692307692314</v>
      </c>
      <c r="T183" s="55">
        <f t="shared" si="66"/>
        <v>10.586485408401584</v>
      </c>
      <c r="U183" s="60" t="s">
        <v>385</v>
      </c>
      <c r="V183" s="60" t="s">
        <v>385</v>
      </c>
      <c r="W183" s="61" t="s">
        <v>385</v>
      </c>
      <c r="X183" s="73">
        <f>'Расчет субсидий'!AF183-1</f>
        <v>-9.7802197802197788E-2</v>
      </c>
      <c r="Y183" s="73">
        <f>X183*'Расчет субсидий'!AG183</f>
        <v>-1.9560439560439558</v>
      </c>
      <c r="Z183" s="55">
        <f t="shared" si="61"/>
        <v>-5.9921914387327497</v>
      </c>
      <c r="AA183" s="27" t="s">
        <v>367</v>
      </c>
      <c r="AB183" s="27" t="s">
        <v>367</v>
      </c>
      <c r="AC183" s="27" t="s">
        <v>367</v>
      </c>
      <c r="AD183" s="27" t="s">
        <v>367</v>
      </c>
      <c r="AE183" s="27" t="s">
        <v>367</v>
      </c>
      <c r="AF183" s="27" t="s">
        <v>367</v>
      </c>
      <c r="AG183" s="54">
        <f t="shared" si="62"/>
        <v>-11.401384855242398</v>
      </c>
    </row>
    <row r="184" spans="1:33" ht="15" customHeight="1">
      <c r="A184" s="33" t="s">
        <v>181</v>
      </c>
      <c r="B184" s="52">
        <f>'Расчет субсидий'!AT184</f>
        <v>-4.363636363636374</v>
      </c>
      <c r="C184" s="54">
        <f>'Расчет субсидий'!D184-1</f>
        <v>-1</v>
      </c>
      <c r="D184" s="54">
        <f>C184*'Расчет субсидий'!E184</f>
        <v>0</v>
      </c>
      <c r="E184" s="55">
        <f t="shared" si="63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4">
        <f>'Расчет субсидий'!P184-1</f>
        <v>-0.40182802979011512</v>
      </c>
      <c r="M184" s="54">
        <f>L184*'Расчет субсидий'!Q184</f>
        <v>-8.0365605958023032</v>
      </c>
      <c r="N184" s="55">
        <f t="shared" si="64"/>
        <v>-22.665626838954648</v>
      </c>
      <c r="O184" s="54">
        <f>'Расчет субсидий'!T184-1</f>
        <v>0.13400000000000012</v>
      </c>
      <c r="P184" s="54">
        <f>O184*'Расчет субсидий'!U184</f>
        <v>3.3500000000000032</v>
      </c>
      <c r="Q184" s="55">
        <f t="shared" si="65"/>
        <v>9.4480529332608025</v>
      </c>
      <c r="R184" s="54">
        <f>'Расчет субсидий'!X184-1</f>
        <v>6.0000000000000053E-2</v>
      </c>
      <c r="S184" s="54">
        <f>R184*'Расчет субсидий'!Y184</f>
        <v>1.5000000000000013</v>
      </c>
      <c r="T184" s="55">
        <f t="shared" si="66"/>
        <v>4.2304714626540907</v>
      </c>
      <c r="U184" s="60" t="s">
        <v>385</v>
      </c>
      <c r="V184" s="60" t="s">
        <v>385</v>
      </c>
      <c r="W184" s="61" t="s">
        <v>385</v>
      </c>
      <c r="X184" s="73">
        <f>'Расчет субсидий'!AF184-1</f>
        <v>8.1967213114754189E-2</v>
      </c>
      <c r="Y184" s="73">
        <f>X184*'Расчет субсидий'!AG184</f>
        <v>1.6393442622950838</v>
      </c>
      <c r="Z184" s="55">
        <f t="shared" si="61"/>
        <v>4.6234660794033786</v>
      </c>
      <c r="AA184" s="27" t="s">
        <v>367</v>
      </c>
      <c r="AB184" s="27" t="s">
        <v>367</v>
      </c>
      <c r="AC184" s="27" t="s">
        <v>367</v>
      </c>
      <c r="AD184" s="27" t="s">
        <v>367</v>
      </c>
      <c r="AE184" s="27" t="s">
        <v>367</v>
      </c>
      <c r="AF184" s="27" t="s">
        <v>367</v>
      </c>
      <c r="AG184" s="54">
        <f t="shared" si="62"/>
        <v>-1.5472163335072149</v>
      </c>
    </row>
    <row r="185" spans="1:33" ht="15" customHeight="1">
      <c r="A185" s="33" t="s">
        <v>182</v>
      </c>
      <c r="B185" s="52">
        <f>'Расчет субсидий'!AT185</f>
        <v>5.4727272727272407</v>
      </c>
      <c r="C185" s="54">
        <f>'Расчет субсидий'!D185-1</f>
        <v>-1</v>
      </c>
      <c r="D185" s="54">
        <f>C185*'Расчет субсидий'!E185</f>
        <v>0</v>
      </c>
      <c r="E185" s="55">
        <f t="shared" si="63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4">
        <f>'Расчет субсидий'!P185-1</f>
        <v>-0.15667311411992269</v>
      </c>
      <c r="M185" s="54">
        <f>L185*'Расчет субсидий'!Q185</f>
        <v>-3.1334622823984537</v>
      </c>
      <c r="N185" s="55">
        <f t="shared" si="64"/>
        <v>-11.839767885852899</v>
      </c>
      <c r="O185" s="54">
        <f>'Расчет субсидий'!T185-1</f>
        <v>-1.866666666666672E-2</v>
      </c>
      <c r="P185" s="54">
        <f>O185*'Расчет субсидий'!U185</f>
        <v>-0.46666666666666801</v>
      </c>
      <c r="Q185" s="55">
        <f t="shared" si="65"/>
        <v>-1.7632971184733228</v>
      </c>
      <c r="R185" s="54">
        <f>'Расчет субсидий'!X185-1</f>
        <v>0.11999999999999988</v>
      </c>
      <c r="S185" s="54">
        <f>R185*'Расчет субсидий'!Y185</f>
        <v>2.9999999999999973</v>
      </c>
      <c r="T185" s="55">
        <f t="shared" si="66"/>
        <v>11.335481475899892</v>
      </c>
      <c r="U185" s="60" t="s">
        <v>385</v>
      </c>
      <c r="V185" s="60" t="s">
        <v>385</v>
      </c>
      <c r="W185" s="61" t="s">
        <v>385</v>
      </c>
      <c r="X185" s="73">
        <f>'Расчет субсидий'!AF185-1</f>
        <v>0.10242587601078168</v>
      </c>
      <c r="Y185" s="73">
        <f>X185*'Расчет субсидий'!AG185</f>
        <v>2.0485175202156336</v>
      </c>
      <c r="Z185" s="55">
        <f t="shared" si="61"/>
        <v>7.740310801153572</v>
      </c>
      <c r="AA185" s="27" t="s">
        <v>367</v>
      </c>
      <c r="AB185" s="27" t="s">
        <v>367</v>
      </c>
      <c r="AC185" s="27" t="s">
        <v>367</v>
      </c>
      <c r="AD185" s="27" t="s">
        <v>367</v>
      </c>
      <c r="AE185" s="27" t="s">
        <v>367</v>
      </c>
      <c r="AF185" s="27" t="s">
        <v>367</v>
      </c>
      <c r="AG185" s="54">
        <f t="shared" si="62"/>
        <v>1.4483885711505091</v>
      </c>
    </row>
    <row r="186" spans="1:33" ht="15" customHeight="1">
      <c r="A186" s="33" t="s">
        <v>183</v>
      </c>
      <c r="B186" s="52">
        <f>'Расчет субсидий'!AT186</f>
        <v>22.5</v>
      </c>
      <c r="C186" s="54">
        <f>'Расчет субсидий'!D186-1</f>
        <v>0.11046989149699571</v>
      </c>
      <c r="D186" s="54">
        <f>C186*'Расчет субсидий'!E186</f>
        <v>1.1046989149699571</v>
      </c>
      <c r="E186" s="55">
        <f t="shared" si="63"/>
        <v>2.3898943980336274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4">
        <f>'Расчет субсидий'!P186-1</f>
        <v>0.30000000000000004</v>
      </c>
      <c r="M186" s="54">
        <f>L186*'Расчет субсидий'!Q186</f>
        <v>6.0000000000000009</v>
      </c>
      <c r="N186" s="55">
        <f t="shared" si="64"/>
        <v>12.980338980953679</v>
      </c>
      <c r="O186" s="54">
        <f>'Расчет субсидий'!T186-1</f>
        <v>4.7891891891891802E-2</v>
      </c>
      <c r="P186" s="54">
        <f>O186*'Расчет субсидий'!U186</f>
        <v>1.6762162162162131</v>
      </c>
      <c r="Q186" s="55">
        <f t="shared" si="65"/>
        <v>3.626309115309664</v>
      </c>
      <c r="R186" s="54">
        <f>'Расчет субсидий'!X186-1</f>
        <v>8.181818181818179E-2</v>
      </c>
      <c r="S186" s="54">
        <f>R186*'Расчет субсидий'!Y186</f>
        <v>1.2272727272727268</v>
      </c>
      <c r="T186" s="55">
        <f t="shared" si="66"/>
        <v>2.6550693370132508</v>
      </c>
      <c r="U186" s="60" t="s">
        <v>385</v>
      </c>
      <c r="V186" s="60" t="s">
        <v>385</v>
      </c>
      <c r="W186" s="61" t="s">
        <v>385</v>
      </c>
      <c r="X186" s="73">
        <f>'Расчет субсидий'!AF186-1</f>
        <v>1.9607843137254832E-2</v>
      </c>
      <c r="Y186" s="73">
        <f>X186*'Расчет субсидий'!AG186</f>
        <v>0.39215686274509665</v>
      </c>
      <c r="Z186" s="55">
        <f t="shared" si="61"/>
        <v>0.84838816868977973</v>
      </c>
      <c r="AA186" s="27" t="s">
        <v>367</v>
      </c>
      <c r="AB186" s="27" t="s">
        <v>367</v>
      </c>
      <c r="AC186" s="27" t="s">
        <v>367</v>
      </c>
      <c r="AD186" s="27" t="s">
        <v>367</v>
      </c>
      <c r="AE186" s="27" t="s">
        <v>367</v>
      </c>
      <c r="AF186" s="27" t="s">
        <v>367</v>
      </c>
      <c r="AG186" s="54">
        <f t="shared" si="62"/>
        <v>10.400344721203995</v>
      </c>
    </row>
    <row r="187" spans="1:33" ht="15" customHeight="1">
      <c r="A187" s="33" t="s">
        <v>184</v>
      </c>
      <c r="B187" s="52">
        <f>'Расчет субсидий'!AT187</f>
        <v>-63.981818181818142</v>
      </c>
      <c r="C187" s="54">
        <f>'Расчет субсидий'!D187-1</f>
        <v>-1</v>
      </c>
      <c r="D187" s="54">
        <f>C187*'Расчет субсидий'!E187</f>
        <v>0</v>
      </c>
      <c r="E187" s="55">
        <f t="shared" si="63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4">
        <f>'Расчет субсидий'!P187-1</f>
        <v>-0.69438054551429507</v>
      </c>
      <c r="M187" s="54">
        <f>L187*'Расчет субсидий'!Q187</f>
        <v>-13.8876109102859</v>
      </c>
      <c r="N187" s="55">
        <f t="shared" si="64"/>
        <v>-71.172162221080129</v>
      </c>
      <c r="O187" s="54">
        <f>'Расчет субсидий'!T187-1</f>
        <v>2.4545454545454648E-2</v>
      </c>
      <c r="P187" s="54">
        <f>O187*'Расчет субсидий'!U187</f>
        <v>0.73636363636363944</v>
      </c>
      <c r="Q187" s="55">
        <f t="shared" si="65"/>
        <v>3.7737658780576022</v>
      </c>
      <c r="R187" s="54">
        <f>'Расчет субсидий'!X187-1</f>
        <v>1.904761904761898E-2</v>
      </c>
      <c r="S187" s="54">
        <f>R187*'Расчет субсидий'!Y187</f>
        <v>0.3809523809523796</v>
      </c>
      <c r="T187" s="55">
        <f t="shared" si="66"/>
        <v>1.9523303778310785</v>
      </c>
      <c r="U187" s="60" t="s">
        <v>385</v>
      </c>
      <c r="V187" s="60" t="s">
        <v>385</v>
      </c>
      <c r="W187" s="61" t="s">
        <v>385</v>
      </c>
      <c r="X187" s="73">
        <f>'Расчет субсидий'!AF187-1</f>
        <v>1.4285714285714235E-2</v>
      </c>
      <c r="Y187" s="73">
        <f>X187*'Расчет субсидий'!AG187</f>
        <v>0.2857142857142847</v>
      </c>
      <c r="Z187" s="55">
        <f t="shared" si="61"/>
        <v>1.464247783373309</v>
      </c>
      <c r="AA187" s="27" t="s">
        <v>367</v>
      </c>
      <c r="AB187" s="27" t="s">
        <v>367</v>
      </c>
      <c r="AC187" s="27" t="s">
        <v>367</v>
      </c>
      <c r="AD187" s="27" t="s">
        <v>367</v>
      </c>
      <c r="AE187" s="27" t="s">
        <v>367</v>
      </c>
      <c r="AF187" s="27" t="s">
        <v>367</v>
      </c>
      <c r="AG187" s="54">
        <f t="shared" si="62"/>
        <v>-12.484580607255596</v>
      </c>
    </row>
    <row r="188" spans="1:33" ht="15" customHeight="1">
      <c r="A188" s="33" t="s">
        <v>185</v>
      </c>
      <c r="B188" s="52">
        <f>'Расчет субсидий'!AT188</f>
        <v>-35.181818181818187</v>
      </c>
      <c r="C188" s="54">
        <f>'Расчет субсидий'!D188-1</f>
        <v>-1</v>
      </c>
      <c r="D188" s="54">
        <f>C188*'Расчет субсидий'!E188</f>
        <v>0</v>
      </c>
      <c r="E188" s="55">
        <f t="shared" si="63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4">
        <f>'Расчет субсидий'!P188-1</f>
        <v>-0.61490125673249563</v>
      </c>
      <c r="M188" s="54">
        <f>L188*'Расчет субсидий'!Q188</f>
        <v>-12.298025134649912</v>
      </c>
      <c r="N188" s="55">
        <f t="shared" si="64"/>
        <v>-44.216190542063039</v>
      </c>
      <c r="O188" s="54">
        <f>'Расчет субсидий'!T188-1</f>
        <v>7.4285714285714288E-2</v>
      </c>
      <c r="P188" s="54">
        <f>O188*'Расчет субсидий'!U188</f>
        <v>2.2285714285714286</v>
      </c>
      <c r="Q188" s="55">
        <f t="shared" si="65"/>
        <v>8.0125823328069679</v>
      </c>
      <c r="R188" s="54">
        <f>'Расчет субсидий'!X188-1</f>
        <v>3.5714285714285587E-3</v>
      </c>
      <c r="S188" s="54">
        <f>R188*'Расчет субсидий'!Y188</f>
        <v>7.1428571428571175E-2</v>
      </c>
      <c r="T188" s="55">
        <f t="shared" si="66"/>
        <v>0.2568135363079147</v>
      </c>
      <c r="U188" s="60" t="s">
        <v>385</v>
      </c>
      <c r="V188" s="60" t="s">
        <v>385</v>
      </c>
      <c r="W188" s="61" t="s">
        <v>385</v>
      </c>
      <c r="X188" s="73">
        <f>'Расчет субсидий'!AF188-1</f>
        <v>1.0638297872340496E-2</v>
      </c>
      <c r="Y188" s="73">
        <f>X188*'Расчет субсидий'!AG188</f>
        <v>0.21276595744680993</v>
      </c>
      <c r="Z188" s="55">
        <f t="shared" si="61"/>
        <v>0.76497649112996657</v>
      </c>
      <c r="AA188" s="27" t="s">
        <v>367</v>
      </c>
      <c r="AB188" s="27" t="s">
        <v>367</v>
      </c>
      <c r="AC188" s="27" t="s">
        <v>367</v>
      </c>
      <c r="AD188" s="27" t="s">
        <v>367</v>
      </c>
      <c r="AE188" s="27" t="s">
        <v>367</v>
      </c>
      <c r="AF188" s="27" t="s">
        <v>367</v>
      </c>
      <c r="AG188" s="54">
        <f t="shared" si="62"/>
        <v>-9.7852591772031019</v>
      </c>
    </row>
    <row r="189" spans="1:33" ht="15" customHeight="1">
      <c r="A189" s="33" t="s">
        <v>186</v>
      </c>
      <c r="B189" s="52">
        <f>'Расчет субсидий'!AT189</f>
        <v>14.536363636363603</v>
      </c>
      <c r="C189" s="54">
        <f>'Расчет субсидий'!D189-1</f>
        <v>-1</v>
      </c>
      <c r="D189" s="54">
        <f>C189*'Расчет субсидий'!E189</f>
        <v>0</v>
      </c>
      <c r="E189" s="55">
        <f t="shared" si="63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4">
        <f>'Расчет субсидий'!P189-1</f>
        <v>-0.1445086705202312</v>
      </c>
      <c r="M189" s="54">
        <f>L189*'Расчет субсидий'!Q189</f>
        <v>-2.8901734104046239</v>
      </c>
      <c r="N189" s="55">
        <f t="shared" si="64"/>
        <v>-10.042577725042182</v>
      </c>
      <c r="O189" s="54">
        <f>'Расчет субсидий'!T189-1</f>
        <v>3.1481481481481444E-2</v>
      </c>
      <c r="P189" s="54">
        <f>O189*'Расчет субсидий'!U189</f>
        <v>0.78703703703703609</v>
      </c>
      <c r="Q189" s="55">
        <f t="shared" si="65"/>
        <v>2.7347426934582435</v>
      </c>
      <c r="R189" s="54">
        <f>'Расчет субсидий'!X189-1</f>
        <v>0.20999999999999996</v>
      </c>
      <c r="S189" s="54">
        <f>R189*'Расчет субсидий'!Y189</f>
        <v>5.2499999999999991</v>
      </c>
      <c r="T189" s="55">
        <f t="shared" si="66"/>
        <v>18.242342437539126</v>
      </c>
      <c r="U189" s="60" t="s">
        <v>385</v>
      </c>
      <c r="V189" s="60" t="s">
        <v>385</v>
      </c>
      <c r="W189" s="61" t="s">
        <v>385</v>
      </c>
      <c r="X189" s="73">
        <f>'Расчет субсидий'!AF189-1</f>
        <v>5.1829268292682862E-2</v>
      </c>
      <c r="Y189" s="73">
        <f>X189*'Расчет субсидий'!AG189</f>
        <v>1.0365853658536572</v>
      </c>
      <c r="Z189" s="55">
        <f t="shared" si="61"/>
        <v>3.6018562304084178</v>
      </c>
      <c r="AA189" s="27" t="s">
        <v>367</v>
      </c>
      <c r="AB189" s="27" t="s">
        <v>367</v>
      </c>
      <c r="AC189" s="27" t="s">
        <v>367</v>
      </c>
      <c r="AD189" s="27" t="s">
        <v>367</v>
      </c>
      <c r="AE189" s="27" t="s">
        <v>367</v>
      </c>
      <c r="AF189" s="27" t="s">
        <v>367</v>
      </c>
      <c r="AG189" s="54">
        <f t="shared" si="62"/>
        <v>4.1834489924860687</v>
      </c>
    </row>
    <row r="190" spans="1:33" ht="15" customHeight="1">
      <c r="A190" s="33" t="s">
        <v>187</v>
      </c>
      <c r="B190" s="52">
        <f>'Расчет субсидий'!AT190</f>
        <v>22.236363636363649</v>
      </c>
      <c r="C190" s="54">
        <f>'Расчет субсидий'!D190-1</f>
        <v>-1</v>
      </c>
      <c r="D190" s="54">
        <f>C190*'Расчет субсидий'!E190</f>
        <v>0</v>
      </c>
      <c r="E190" s="55">
        <f t="shared" si="63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4">
        <f>'Расчет субсидий'!P190-1</f>
        <v>0.17973124300111976</v>
      </c>
      <c r="M190" s="54">
        <f>L190*'Расчет субсидий'!Q190</f>
        <v>3.5946248600223951</v>
      </c>
      <c r="N190" s="55">
        <f t="shared" si="64"/>
        <v>12.287239666009587</v>
      </c>
      <c r="O190" s="54">
        <f>'Расчет субсидий'!T190-1</f>
        <v>6.6196013289036681E-2</v>
      </c>
      <c r="P190" s="54">
        <f>O190*'Расчет субсидий'!U190</f>
        <v>2.3168604651162839</v>
      </c>
      <c r="Q190" s="55">
        <f t="shared" si="65"/>
        <v>7.9195523639172922</v>
      </c>
      <c r="R190" s="54">
        <f>'Расчет субсидий'!X190-1</f>
        <v>3.9583333333333304E-2</v>
      </c>
      <c r="S190" s="54">
        <f>R190*'Расчет субсидий'!Y190</f>
        <v>0.59374999999999956</v>
      </c>
      <c r="T190" s="55">
        <f t="shared" si="66"/>
        <v>2.0295716064367659</v>
      </c>
      <c r="U190" s="60" t="s">
        <v>385</v>
      </c>
      <c r="V190" s="60" t="s">
        <v>385</v>
      </c>
      <c r="W190" s="61" t="s">
        <v>385</v>
      </c>
      <c r="X190" s="73">
        <f>'Расчет субсидий'!AF190-1</f>
        <v>0</v>
      </c>
      <c r="Y190" s="73">
        <f>X190*'Расчет субсидий'!AG190</f>
        <v>0</v>
      </c>
      <c r="Z190" s="55">
        <f t="shared" si="61"/>
        <v>0</v>
      </c>
      <c r="AA190" s="27" t="s">
        <v>367</v>
      </c>
      <c r="AB190" s="27" t="s">
        <v>367</v>
      </c>
      <c r="AC190" s="27" t="s">
        <v>367</v>
      </c>
      <c r="AD190" s="27" t="s">
        <v>367</v>
      </c>
      <c r="AE190" s="27" t="s">
        <v>367</v>
      </c>
      <c r="AF190" s="27" t="s">
        <v>367</v>
      </c>
      <c r="AG190" s="54">
        <f t="shared" si="62"/>
        <v>6.5052353251386794</v>
      </c>
    </row>
    <row r="191" spans="1:33" ht="15" customHeight="1">
      <c r="A191" s="33" t="s">
        <v>188</v>
      </c>
      <c r="B191" s="52">
        <f>'Расчет субсидий'!AT191</f>
        <v>2.0272727272727593</v>
      </c>
      <c r="C191" s="54">
        <f>'Расчет субсидий'!D191-1</f>
        <v>-1</v>
      </c>
      <c r="D191" s="54">
        <f>C191*'Расчет субсидий'!E191</f>
        <v>0</v>
      </c>
      <c r="E191" s="55">
        <f t="shared" si="63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4">
        <f>'Расчет субсидий'!P191-1</f>
        <v>-0.48717948717948723</v>
      </c>
      <c r="M191" s="54">
        <f>L191*'Расчет субсидий'!Q191</f>
        <v>-9.7435897435897445</v>
      </c>
      <c r="N191" s="55">
        <f t="shared" si="64"/>
        <v>-41.556912442010287</v>
      </c>
      <c r="O191" s="54">
        <f>'Расчет субсидий'!T191-1</f>
        <v>2.2222222222223476E-3</v>
      </c>
      <c r="P191" s="54">
        <f>O191*'Расчет субсидий'!U191</f>
        <v>5.5555555555558689E-2</v>
      </c>
      <c r="Q191" s="55">
        <f t="shared" si="65"/>
        <v>0.23694730778340534</v>
      </c>
      <c r="R191" s="54">
        <f>'Расчет субсидий'!X191-1</f>
        <v>0.22899999999999987</v>
      </c>
      <c r="S191" s="54">
        <f>R191*'Расчет субсидий'!Y191</f>
        <v>5.724999999999997</v>
      </c>
      <c r="T191" s="55">
        <f t="shared" si="66"/>
        <v>24.417420067078528</v>
      </c>
      <c r="U191" s="60" t="s">
        <v>385</v>
      </c>
      <c r="V191" s="60" t="s">
        <v>385</v>
      </c>
      <c r="W191" s="61" t="s">
        <v>385</v>
      </c>
      <c r="X191" s="73">
        <f>'Расчет субсидий'!AF191-1</f>
        <v>0.22191780821917795</v>
      </c>
      <c r="Y191" s="73">
        <f>X191*'Расчет субсидий'!AG191</f>
        <v>4.438356164383559</v>
      </c>
      <c r="Z191" s="55">
        <f t="shared" si="61"/>
        <v>18.929817794421108</v>
      </c>
      <c r="AA191" s="27" t="s">
        <v>367</v>
      </c>
      <c r="AB191" s="27" t="s">
        <v>367</v>
      </c>
      <c r="AC191" s="27" t="s">
        <v>367</v>
      </c>
      <c r="AD191" s="27" t="s">
        <v>367</v>
      </c>
      <c r="AE191" s="27" t="s">
        <v>367</v>
      </c>
      <c r="AF191" s="27" t="s">
        <v>367</v>
      </c>
      <c r="AG191" s="54">
        <f t="shared" si="62"/>
        <v>0.47532197634937035</v>
      </c>
    </row>
    <row r="192" spans="1:33" ht="15" customHeight="1">
      <c r="A192" s="32" t="s">
        <v>189</v>
      </c>
      <c r="B192" s="56"/>
      <c r="C192" s="57"/>
      <c r="D192" s="57"/>
      <c r="E192" s="58"/>
      <c r="F192" s="57"/>
      <c r="G192" s="57"/>
      <c r="H192" s="58"/>
      <c r="I192" s="58"/>
      <c r="J192" s="58"/>
      <c r="K192" s="58"/>
      <c r="L192" s="57"/>
      <c r="M192" s="57"/>
      <c r="N192" s="58"/>
      <c r="O192" s="57"/>
      <c r="P192" s="57"/>
      <c r="Q192" s="58"/>
      <c r="R192" s="57"/>
      <c r="S192" s="57"/>
      <c r="T192" s="58"/>
      <c r="U192" s="58"/>
      <c r="V192" s="58"/>
      <c r="W192" s="58"/>
      <c r="X192" s="75"/>
      <c r="Y192" s="75"/>
      <c r="Z192" s="58"/>
      <c r="AA192" s="58"/>
      <c r="AB192" s="58"/>
      <c r="AC192" s="58"/>
      <c r="AD192" s="58"/>
      <c r="AE192" s="58"/>
      <c r="AF192" s="58"/>
      <c r="AG192" s="58"/>
    </row>
    <row r="193" spans="1:33" ht="15" customHeight="1">
      <c r="A193" s="33" t="s">
        <v>190</v>
      </c>
      <c r="B193" s="52">
        <f>'Расчет субсидий'!AT193</f>
        <v>15.663636363636385</v>
      </c>
      <c r="C193" s="54">
        <f>'Расчет субсидий'!D193-1</f>
        <v>-1</v>
      </c>
      <c r="D193" s="54">
        <f>C193*'Расчет субсидий'!E193</f>
        <v>0</v>
      </c>
      <c r="E193" s="55">
        <f t="shared" ref="E193:E204" si="67">$B193*D193/$AG193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4">
        <f>'Расчет субсидий'!P193-1</f>
        <v>-7.2960000000000025E-2</v>
      </c>
      <c r="M193" s="54">
        <f>L193*'Расчет субсидий'!Q193</f>
        <v>-1.4592000000000005</v>
      </c>
      <c r="N193" s="55">
        <f t="shared" ref="N193:N204" si="68">$B193*M193/$AG193</f>
        <v>-5.1946234238256341</v>
      </c>
      <c r="O193" s="54">
        <f>'Расчет субсидий'!T193-1</f>
        <v>0.1636363636363638</v>
      </c>
      <c r="P193" s="54">
        <f>O193*'Расчет субсидий'!U193</f>
        <v>5.7272727272727328</v>
      </c>
      <c r="Q193" s="55">
        <f t="shared" ref="Q193:Q204" si="69">$B193*P193/$AG193</f>
        <v>20.388586255296499</v>
      </c>
      <c r="R193" s="54">
        <f>'Расчет субсидий'!X193-1</f>
        <v>8.6956521739130599E-2</v>
      </c>
      <c r="S193" s="54">
        <f>R193*'Расчет субсидий'!Y193</f>
        <v>1.304347826086959</v>
      </c>
      <c r="T193" s="55">
        <f t="shared" ref="T193:T204" si="70">$B193*S193/$AG193</f>
        <v>4.6433633293635959</v>
      </c>
      <c r="U193" s="60" t="s">
        <v>385</v>
      </c>
      <c r="V193" s="60" t="s">
        <v>385</v>
      </c>
      <c r="W193" s="61" t="s">
        <v>385</v>
      </c>
      <c r="X193" s="73">
        <f>'Расчет субсидий'!AF193-1</f>
        <v>-5.862068965517242E-2</v>
      </c>
      <c r="Y193" s="73">
        <f>X193*'Расчет субсидий'!AG193</f>
        <v>-1.1724137931034484</v>
      </c>
      <c r="Z193" s="55">
        <f t="shared" si="61"/>
        <v>-4.1736897971980751</v>
      </c>
      <c r="AA193" s="27" t="s">
        <v>367</v>
      </c>
      <c r="AB193" s="27" t="s">
        <v>367</v>
      </c>
      <c r="AC193" s="27" t="s">
        <v>367</v>
      </c>
      <c r="AD193" s="27" t="s">
        <v>367</v>
      </c>
      <c r="AE193" s="27" t="s">
        <v>367</v>
      </c>
      <c r="AF193" s="27" t="s">
        <v>367</v>
      </c>
      <c r="AG193" s="54">
        <f t="shared" si="62"/>
        <v>4.4000067602562432</v>
      </c>
    </row>
    <row r="194" spans="1:33" ht="15" customHeight="1">
      <c r="A194" s="33" t="s">
        <v>191</v>
      </c>
      <c r="B194" s="52">
        <f>'Расчет субсидий'!AT194</f>
        <v>-116.00909090909093</v>
      </c>
      <c r="C194" s="54">
        <f>'Расчет субсидий'!D194-1</f>
        <v>-1</v>
      </c>
      <c r="D194" s="54">
        <f>C194*'Расчет субсидий'!E194</f>
        <v>0</v>
      </c>
      <c r="E194" s="55">
        <f t="shared" si="67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4">
        <f>'Расчет субсидий'!P194-1</f>
        <v>-0.1106598984771574</v>
      </c>
      <c r="M194" s="54">
        <f>L194*'Расчет субсидий'!Q194</f>
        <v>-2.2131979695431481</v>
      </c>
      <c r="N194" s="55">
        <f t="shared" si="68"/>
        <v>-4.9173598713167088</v>
      </c>
      <c r="O194" s="54">
        <f>'Расчет субсидий'!T194-1</f>
        <v>-1</v>
      </c>
      <c r="P194" s="54">
        <f>O194*'Расчет субсидий'!U194</f>
        <v>-30</v>
      </c>
      <c r="Q194" s="55">
        <f t="shared" si="69"/>
        <v>-66.655038622664534</v>
      </c>
      <c r="R194" s="54">
        <f>'Расчет субсидий'!X194-1</f>
        <v>-1</v>
      </c>
      <c r="S194" s="54">
        <f>R194*'Расчет субсидий'!Y194</f>
        <v>-20</v>
      </c>
      <c r="T194" s="55">
        <f t="shared" si="70"/>
        <v>-44.43669241510969</v>
      </c>
      <c r="U194" s="60" t="s">
        <v>385</v>
      </c>
      <c r="V194" s="60" t="s">
        <v>385</v>
      </c>
      <c r="W194" s="61" t="s">
        <v>385</v>
      </c>
      <c r="X194" s="73">
        <f>'Расчет субсидий'!AF194-1</f>
        <v>0</v>
      </c>
      <c r="Y194" s="73">
        <f>X194*'Расчет субсидий'!AG194</f>
        <v>0</v>
      </c>
      <c r="Z194" s="55">
        <f t="shared" si="61"/>
        <v>0</v>
      </c>
      <c r="AA194" s="27" t="s">
        <v>367</v>
      </c>
      <c r="AB194" s="27" t="s">
        <v>367</v>
      </c>
      <c r="AC194" s="27" t="s">
        <v>367</v>
      </c>
      <c r="AD194" s="27" t="s">
        <v>367</v>
      </c>
      <c r="AE194" s="27" t="s">
        <v>367</v>
      </c>
      <c r="AF194" s="27" t="s">
        <v>367</v>
      </c>
      <c r="AG194" s="54">
        <f t="shared" si="62"/>
        <v>-52.213197969543145</v>
      </c>
    </row>
    <row r="195" spans="1:33" ht="15" customHeight="1">
      <c r="A195" s="33" t="s">
        <v>192</v>
      </c>
      <c r="B195" s="52">
        <f>'Расчет субсидий'!AT195</f>
        <v>83.18181818181813</v>
      </c>
      <c r="C195" s="54">
        <f>'Расчет субсидий'!D195-1</f>
        <v>-1</v>
      </c>
      <c r="D195" s="54">
        <f>C195*'Расчет субсидий'!E195</f>
        <v>0</v>
      </c>
      <c r="E195" s="55">
        <f t="shared" si="67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4">
        <f>'Расчет субсидий'!P195-1</f>
        <v>0.30000000000000004</v>
      </c>
      <c r="M195" s="54">
        <f>L195*'Расчет субсидий'!Q195</f>
        <v>6.0000000000000009</v>
      </c>
      <c r="N195" s="55">
        <f t="shared" si="68"/>
        <v>35.256482729134447</v>
      </c>
      <c r="O195" s="54">
        <f>'Расчет субсидий'!T195-1</f>
        <v>0.20119170984455947</v>
      </c>
      <c r="P195" s="54">
        <f>O195*'Расчет субсидий'!U195</f>
        <v>6.0357512953367838</v>
      </c>
      <c r="Q195" s="55">
        <f t="shared" si="69"/>
        <v>35.466560216898699</v>
      </c>
      <c r="R195" s="54">
        <f>'Расчет субсидий'!X195-1</f>
        <v>3.9823008849557473E-2</v>
      </c>
      <c r="S195" s="54">
        <f>R195*'Расчет субсидий'!Y195</f>
        <v>0.79646017699114946</v>
      </c>
      <c r="T195" s="55">
        <f t="shared" si="70"/>
        <v>4.6800640790886376</v>
      </c>
      <c r="U195" s="60" t="s">
        <v>385</v>
      </c>
      <c r="V195" s="60" t="s">
        <v>385</v>
      </c>
      <c r="W195" s="61" t="s">
        <v>385</v>
      </c>
      <c r="X195" s="73">
        <f>'Расчет субсидий'!AF195-1</f>
        <v>6.6189624329159313E-2</v>
      </c>
      <c r="Y195" s="73">
        <f>X195*'Расчет субсидий'!AG195</f>
        <v>1.3237924865831863</v>
      </c>
      <c r="Z195" s="55">
        <f t="shared" si="61"/>
        <v>7.7787111566963416</v>
      </c>
      <c r="AA195" s="27" t="s">
        <v>367</v>
      </c>
      <c r="AB195" s="27" t="s">
        <v>367</v>
      </c>
      <c r="AC195" s="27" t="s">
        <v>367</v>
      </c>
      <c r="AD195" s="27" t="s">
        <v>367</v>
      </c>
      <c r="AE195" s="27" t="s">
        <v>367</v>
      </c>
      <c r="AF195" s="27" t="s">
        <v>367</v>
      </c>
      <c r="AG195" s="54">
        <f t="shared" si="62"/>
        <v>14.156003958911121</v>
      </c>
    </row>
    <row r="196" spans="1:33" ht="15" customHeight="1">
      <c r="A196" s="33" t="s">
        <v>193</v>
      </c>
      <c r="B196" s="52">
        <f>'Расчет субсидий'!AT196</f>
        <v>27.572727272727292</v>
      </c>
      <c r="C196" s="54">
        <f>'Расчет субсидий'!D196-1</f>
        <v>-1</v>
      </c>
      <c r="D196" s="54">
        <f>C196*'Расчет субсидий'!E196</f>
        <v>0</v>
      </c>
      <c r="E196" s="55">
        <f t="shared" si="67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4">
        <f>'Расчет субсидий'!P196-1</f>
        <v>0.21435244161358802</v>
      </c>
      <c r="M196" s="54">
        <f>L196*'Расчет субсидий'!Q196</f>
        <v>4.2870488322717604</v>
      </c>
      <c r="N196" s="55">
        <f t="shared" si="68"/>
        <v>6.128756622387324</v>
      </c>
      <c r="O196" s="54">
        <f>'Расчет субсидий'!T196-1</f>
        <v>0.30000000000000004</v>
      </c>
      <c r="P196" s="54">
        <f>O196*'Расчет субсидий'!U196</f>
        <v>9.0000000000000018</v>
      </c>
      <c r="Q196" s="55">
        <f t="shared" si="69"/>
        <v>12.866382390203983</v>
      </c>
      <c r="R196" s="54">
        <f>'Расчет субсидий'!X196-1</f>
        <v>0.30000000000000004</v>
      </c>
      <c r="S196" s="54">
        <f>R196*'Расчет субсидий'!Y196</f>
        <v>6.0000000000000009</v>
      </c>
      <c r="T196" s="55">
        <f t="shared" si="70"/>
        <v>8.5775882601359879</v>
      </c>
      <c r="U196" s="60" t="s">
        <v>385</v>
      </c>
      <c r="V196" s="60" t="s">
        <v>385</v>
      </c>
      <c r="W196" s="61" t="s">
        <v>385</v>
      </c>
      <c r="X196" s="73">
        <f>'Расчет субсидий'!AF196-1</f>
        <v>0</v>
      </c>
      <c r="Y196" s="73">
        <f>X196*'Расчет субсидий'!AG196</f>
        <v>0</v>
      </c>
      <c r="Z196" s="55">
        <f t="shared" si="61"/>
        <v>0</v>
      </c>
      <c r="AA196" s="27" t="s">
        <v>367</v>
      </c>
      <c r="AB196" s="27" t="s">
        <v>367</v>
      </c>
      <c r="AC196" s="27" t="s">
        <v>367</v>
      </c>
      <c r="AD196" s="27" t="s">
        <v>367</v>
      </c>
      <c r="AE196" s="27" t="s">
        <v>367</v>
      </c>
      <c r="AF196" s="27" t="s">
        <v>367</v>
      </c>
      <c r="AG196" s="54">
        <f t="shared" si="62"/>
        <v>19.287048832271761</v>
      </c>
    </row>
    <row r="197" spans="1:33" ht="15" customHeight="1">
      <c r="A197" s="33" t="s">
        <v>194</v>
      </c>
      <c r="B197" s="52">
        <f>'Расчет субсидий'!AT197</f>
        <v>-27.599999999999994</v>
      </c>
      <c r="C197" s="54">
        <f>'Расчет субсидий'!D197-1</f>
        <v>-1</v>
      </c>
      <c r="D197" s="54">
        <f>C197*'Расчет субсидий'!E197</f>
        <v>0</v>
      </c>
      <c r="E197" s="55">
        <f t="shared" si="67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4">
        <f>'Расчет субсидий'!P197-1</f>
        <v>-0.63923154701718909</v>
      </c>
      <c r="M197" s="54">
        <f>L197*'Расчет субсидий'!Q197</f>
        <v>-12.784630940343781</v>
      </c>
      <c r="N197" s="55">
        <f t="shared" si="68"/>
        <v>-35.374781973660028</v>
      </c>
      <c r="O197" s="54">
        <f>'Расчет субсидий'!T197-1</f>
        <v>0.17500000000000004</v>
      </c>
      <c r="P197" s="54">
        <f>O197*'Расчет субсидий'!U197</f>
        <v>0.87500000000000022</v>
      </c>
      <c r="Q197" s="55">
        <f t="shared" si="69"/>
        <v>2.4211050261354048</v>
      </c>
      <c r="R197" s="54">
        <f>'Расчет субсидий'!X197-1</f>
        <v>1.4285714285714235E-2</v>
      </c>
      <c r="S197" s="54">
        <f>R197*'Расчет субсидий'!Y197</f>
        <v>0.64285714285714057</v>
      </c>
      <c r="T197" s="55">
        <f t="shared" si="70"/>
        <v>1.7787710396096783</v>
      </c>
      <c r="U197" s="60" t="s">
        <v>385</v>
      </c>
      <c r="V197" s="60" t="s">
        <v>385</v>
      </c>
      <c r="W197" s="61" t="s">
        <v>385</v>
      </c>
      <c r="X197" s="73">
        <f>'Расчет субсидий'!AF197-1</f>
        <v>6.4599483204134334E-2</v>
      </c>
      <c r="Y197" s="73">
        <f>X197*'Расчет субсидий'!AG197</f>
        <v>1.2919896640826867</v>
      </c>
      <c r="Z197" s="55">
        <f t="shared" si="61"/>
        <v>3.5749059079149541</v>
      </c>
      <c r="AA197" s="27" t="s">
        <v>367</v>
      </c>
      <c r="AB197" s="27" t="s">
        <v>367</v>
      </c>
      <c r="AC197" s="27" t="s">
        <v>367</v>
      </c>
      <c r="AD197" s="27" t="s">
        <v>367</v>
      </c>
      <c r="AE197" s="27" t="s">
        <v>367</v>
      </c>
      <c r="AF197" s="27" t="s">
        <v>367</v>
      </c>
      <c r="AG197" s="54">
        <f t="shared" si="62"/>
        <v>-9.9747841334039542</v>
      </c>
    </row>
    <row r="198" spans="1:33" ht="15" customHeight="1">
      <c r="A198" s="33" t="s">
        <v>195</v>
      </c>
      <c r="B198" s="52">
        <f>'Расчет субсидий'!AT198</f>
        <v>54.372727272727275</v>
      </c>
      <c r="C198" s="54">
        <f>'Расчет субсидий'!D198-1</f>
        <v>0.2131369150779896</v>
      </c>
      <c r="D198" s="54">
        <f>C198*'Расчет субсидий'!E198</f>
        <v>2.131369150779896</v>
      </c>
      <c r="E198" s="55">
        <f t="shared" si="67"/>
        <v>7.6700441093638227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4">
        <f>'Расчет субсидий'!P198-1</f>
        <v>0.26085343228200375</v>
      </c>
      <c r="M198" s="54">
        <f>L198*'Расчет субсидий'!Q198</f>
        <v>5.217068645640075</v>
      </c>
      <c r="N198" s="55">
        <f t="shared" si="68"/>
        <v>18.774385759968553</v>
      </c>
      <c r="O198" s="54">
        <f>'Расчет субсидий'!T198-1</f>
        <v>0.20126245847176083</v>
      </c>
      <c r="P198" s="54">
        <f>O198*'Расчет субсидий'!U198</f>
        <v>7.0441860465116291</v>
      </c>
      <c r="Q198" s="55">
        <f t="shared" si="69"/>
        <v>25.349535378017155</v>
      </c>
      <c r="R198" s="54">
        <f>'Расчет субсидий'!X198-1</f>
        <v>2.8368794326241176E-2</v>
      </c>
      <c r="S198" s="54">
        <f>R198*'Расчет субсидий'!Y198</f>
        <v>0.42553191489361764</v>
      </c>
      <c r="T198" s="55">
        <f t="shared" si="70"/>
        <v>1.5313389311193766</v>
      </c>
      <c r="U198" s="60" t="s">
        <v>385</v>
      </c>
      <c r="V198" s="60" t="s">
        <v>385</v>
      </c>
      <c r="W198" s="61" t="s">
        <v>385</v>
      </c>
      <c r="X198" s="73">
        <f>'Расчет субсидий'!AF198-1</f>
        <v>1.4553014553014609E-2</v>
      </c>
      <c r="Y198" s="73">
        <f>X198*'Расчет субсидий'!AG198</f>
        <v>0.29106029106029219</v>
      </c>
      <c r="Z198" s="55">
        <f t="shared" si="61"/>
        <v>1.0474230942583702</v>
      </c>
      <c r="AA198" s="27" t="s">
        <v>367</v>
      </c>
      <c r="AB198" s="27" t="s">
        <v>367</v>
      </c>
      <c r="AC198" s="27" t="s">
        <v>367</v>
      </c>
      <c r="AD198" s="27" t="s">
        <v>367</v>
      </c>
      <c r="AE198" s="27" t="s">
        <v>367</v>
      </c>
      <c r="AF198" s="27" t="s">
        <v>367</v>
      </c>
      <c r="AG198" s="54">
        <f t="shared" si="62"/>
        <v>15.109216048885509</v>
      </c>
    </row>
    <row r="199" spans="1:33" ht="15" customHeight="1">
      <c r="A199" s="33" t="s">
        <v>196</v>
      </c>
      <c r="B199" s="52">
        <f>'Расчет субсидий'!AT199</f>
        <v>40.772727272727252</v>
      </c>
      <c r="C199" s="54">
        <f>'Расчет субсидий'!D199-1</f>
        <v>5.39470110373097E-2</v>
      </c>
      <c r="D199" s="54">
        <f>C199*'Расчет субсидий'!E199</f>
        <v>0.539470110373097</v>
      </c>
      <c r="E199" s="55">
        <f t="shared" si="67"/>
        <v>1.5215082879251587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4">
        <f>'Расчет субсидий'!P199-1</f>
        <v>0.1825269892043182</v>
      </c>
      <c r="M199" s="54">
        <f>L199*'Расчет субсидий'!Q199</f>
        <v>3.650539784086364</v>
      </c>
      <c r="N199" s="55">
        <f t="shared" si="68"/>
        <v>10.295893007022308</v>
      </c>
      <c r="O199" s="54">
        <f>'Расчет субсидий'!T199-1</f>
        <v>0.20408695652173914</v>
      </c>
      <c r="P199" s="54">
        <f>O199*'Расчет субсидий'!U199</f>
        <v>6.1226086956521737</v>
      </c>
      <c r="Q199" s="55">
        <f t="shared" si="69"/>
        <v>17.268055625389085</v>
      </c>
      <c r="R199" s="54">
        <f>'Расчет субсидий'!X199-1</f>
        <v>0.15957446808510634</v>
      </c>
      <c r="S199" s="54">
        <f>R199*'Расчет субсидий'!Y199</f>
        <v>3.1914893617021267</v>
      </c>
      <c r="T199" s="55">
        <f t="shared" si="70"/>
        <v>9.0011984376603174</v>
      </c>
      <c r="U199" s="60" t="s">
        <v>385</v>
      </c>
      <c r="V199" s="60" t="s">
        <v>385</v>
      </c>
      <c r="W199" s="61" t="s">
        <v>385</v>
      </c>
      <c r="X199" s="73">
        <f>'Расчет субсидий'!AF199-1</f>
        <v>4.7619047619047672E-2</v>
      </c>
      <c r="Y199" s="73">
        <f>X199*'Расчет субсидий'!AG199</f>
        <v>0.95238095238095344</v>
      </c>
      <c r="Z199" s="55">
        <f t="shared" si="61"/>
        <v>2.6860719147303844</v>
      </c>
      <c r="AA199" s="27" t="s">
        <v>367</v>
      </c>
      <c r="AB199" s="27" t="s">
        <v>367</v>
      </c>
      <c r="AC199" s="27" t="s">
        <v>367</v>
      </c>
      <c r="AD199" s="27" t="s">
        <v>367</v>
      </c>
      <c r="AE199" s="27" t="s">
        <v>367</v>
      </c>
      <c r="AF199" s="27" t="s">
        <v>367</v>
      </c>
      <c r="AG199" s="54">
        <f t="shared" si="62"/>
        <v>14.456488904194714</v>
      </c>
    </row>
    <row r="200" spans="1:33" ht="15" customHeight="1">
      <c r="A200" s="33" t="s">
        <v>197</v>
      </c>
      <c r="B200" s="52">
        <f>'Расчет субсидий'!AT200</f>
        <v>-11.463636363636368</v>
      </c>
      <c r="C200" s="54">
        <f>'Расчет субсидий'!D200-1</f>
        <v>-1</v>
      </c>
      <c r="D200" s="54">
        <f>C200*'Расчет субсидий'!E200</f>
        <v>0</v>
      </c>
      <c r="E200" s="55">
        <f t="shared" si="67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4">
        <f>'Расчет субсидий'!P200-1</f>
        <v>-0.80604945840997344</v>
      </c>
      <c r="M200" s="54">
        <f>L200*'Расчет субсидий'!Q200</f>
        <v>-16.120989168199468</v>
      </c>
      <c r="N200" s="55">
        <f t="shared" si="68"/>
        <v>-38.563247852951392</v>
      </c>
      <c r="O200" s="54">
        <f>'Расчет субсидий'!T200-1</f>
        <v>0.24806451612903224</v>
      </c>
      <c r="P200" s="54">
        <f>O200*'Расчет субсидий'!U200</f>
        <v>7.4419354838709673</v>
      </c>
      <c r="Q200" s="55">
        <f t="shared" si="69"/>
        <v>17.801959890668599</v>
      </c>
      <c r="R200" s="54">
        <f>'Расчет субсидий'!X200-1</f>
        <v>9.4339622641509413E-2</v>
      </c>
      <c r="S200" s="54">
        <f>R200*'Расчет субсидий'!Y200</f>
        <v>1.8867924528301883</v>
      </c>
      <c r="T200" s="55">
        <f t="shared" si="70"/>
        <v>4.5134231061390393</v>
      </c>
      <c r="U200" s="60" t="s">
        <v>385</v>
      </c>
      <c r="V200" s="60" t="s">
        <v>385</v>
      </c>
      <c r="W200" s="61" t="s">
        <v>385</v>
      </c>
      <c r="X200" s="73">
        <f>'Расчет субсидий'!AF200-1</f>
        <v>0.10000000000000009</v>
      </c>
      <c r="Y200" s="73">
        <f>X200*'Расчет субсидий'!AG200</f>
        <v>2.0000000000000018</v>
      </c>
      <c r="Z200" s="55">
        <f t="shared" si="61"/>
        <v>4.7842284925073866</v>
      </c>
      <c r="AA200" s="27" t="s">
        <v>367</v>
      </c>
      <c r="AB200" s="27" t="s">
        <v>367</v>
      </c>
      <c r="AC200" s="27" t="s">
        <v>367</v>
      </c>
      <c r="AD200" s="27" t="s">
        <v>367</v>
      </c>
      <c r="AE200" s="27" t="s">
        <v>367</v>
      </c>
      <c r="AF200" s="27" t="s">
        <v>367</v>
      </c>
      <c r="AG200" s="54">
        <f t="shared" si="62"/>
        <v>-4.7922612314983111</v>
      </c>
    </row>
    <row r="201" spans="1:33" ht="15" customHeight="1">
      <c r="A201" s="33" t="s">
        <v>198</v>
      </c>
      <c r="B201" s="52">
        <f>'Расчет субсидий'!AT201</f>
        <v>5.7727272727272805</v>
      </c>
      <c r="C201" s="54">
        <f>'Расчет субсидий'!D201-1</f>
        <v>-1</v>
      </c>
      <c r="D201" s="54">
        <f>C201*'Расчет субсидий'!E201</f>
        <v>0</v>
      </c>
      <c r="E201" s="55">
        <f t="shared" si="67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4">
        <f>'Расчет субсидий'!P201-1</f>
        <v>-0.46684175968483255</v>
      </c>
      <c r="M201" s="54">
        <f>L201*'Расчет субсидий'!Q201</f>
        <v>-9.3368351936966505</v>
      </c>
      <c r="N201" s="55">
        <f t="shared" si="68"/>
        <v>-14.713780573253608</v>
      </c>
      <c r="O201" s="54">
        <f>'Расчет субсидий'!T201-1</f>
        <v>0.30000000000000004</v>
      </c>
      <c r="P201" s="54">
        <f>O201*'Расчет субсидий'!U201</f>
        <v>9.0000000000000018</v>
      </c>
      <c r="Q201" s="55">
        <f t="shared" si="69"/>
        <v>14.182966970294462</v>
      </c>
      <c r="R201" s="54">
        <f>'Расчет субсидий'!X201-1</f>
        <v>0.19999999999999996</v>
      </c>
      <c r="S201" s="54">
        <f>R201*'Расчет субсидий'!Y201</f>
        <v>3.9999999999999991</v>
      </c>
      <c r="T201" s="55">
        <f t="shared" si="70"/>
        <v>6.3035408756864264</v>
      </c>
      <c r="U201" s="60" t="s">
        <v>385</v>
      </c>
      <c r="V201" s="60" t="s">
        <v>385</v>
      </c>
      <c r="W201" s="61" t="s">
        <v>385</v>
      </c>
      <c r="X201" s="73">
        <f>'Расчет субсидий'!AF201-1</f>
        <v>0</v>
      </c>
      <c r="Y201" s="73">
        <f>X201*'Расчет субсидий'!AG201</f>
        <v>0</v>
      </c>
      <c r="Z201" s="55">
        <f t="shared" si="61"/>
        <v>0</v>
      </c>
      <c r="AA201" s="27" t="s">
        <v>367</v>
      </c>
      <c r="AB201" s="27" t="s">
        <v>367</v>
      </c>
      <c r="AC201" s="27" t="s">
        <v>367</v>
      </c>
      <c r="AD201" s="27" t="s">
        <v>367</v>
      </c>
      <c r="AE201" s="27" t="s">
        <v>367</v>
      </c>
      <c r="AF201" s="27" t="s">
        <v>367</v>
      </c>
      <c r="AG201" s="54">
        <f t="shared" si="62"/>
        <v>3.6631648063033504</v>
      </c>
    </row>
    <row r="202" spans="1:33" ht="15" customHeight="1">
      <c r="A202" s="33" t="s">
        <v>199</v>
      </c>
      <c r="B202" s="52">
        <f>'Расчет субсидий'!AT202</f>
        <v>-92.918181818181893</v>
      </c>
      <c r="C202" s="54">
        <f>'Расчет субсидий'!D202-1</f>
        <v>-1</v>
      </c>
      <c r="D202" s="54">
        <f>C202*'Расчет субсидий'!E202</f>
        <v>0</v>
      </c>
      <c r="E202" s="55">
        <f t="shared" si="67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4">
        <f>'Расчет субсидий'!P202-1</f>
        <v>-0.57809596677232489</v>
      </c>
      <c r="M202" s="54">
        <f>L202*'Расчет субсидий'!Q202</f>
        <v>-11.561919335446497</v>
      </c>
      <c r="N202" s="55">
        <f t="shared" si="68"/>
        <v>-50.197367916699903</v>
      </c>
      <c r="O202" s="54">
        <f>'Расчет субсидий'!T202-1</f>
        <v>-0.31409836065573771</v>
      </c>
      <c r="P202" s="54">
        <f>O202*'Расчет субсидий'!U202</f>
        <v>-10.99344262295082</v>
      </c>
      <c r="Q202" s="55">
        <f t="shared" si="69"/>
        <v>-47.729262590818941</v>
      </c>
      <c r="R202" s="54">
        <f>'Расчет субсидий'!X202-1</f>
        <v>0.22249999999999992</v>
      </c>
      <c r="S202" s="54">
        <f>R202*'Расчет субсидий'!Y202</f>
        <v>3.3374999999999986</v>
      </c>
      <c r="T202" s="55">
        <f t="shared" si="70"/>
        <v>14.49013010394922</v>
      </c>
      <c r="U202" s="60" t="s">
        <v>385</v>
      </c>
      <c r="V202" s="60" t="s">
        <v>385</v>
      </c>
      <c r="W202" s="61" t="s">
        <v>385</v>
      </c>
      <c r="X202" s="73">
        <f>'Расчет субсидий'!AF202-1</f>
        <v>-0.10919540229885061</v>
      </c>
      <c r="Y202" s="73">
        <f>X202*'Расчет субсидий'!AG202</f>
        <v>-2.1839080459770122</v>
      </c>
      <c r="Z202" s="55">
        <f t="shared" si="61"/>
        <v>-9.4816814146122645</v>
      </c>
      <c r="AA202" s="27" t="s">
        <v>367</v>
      </c>
      <c r="AB202" s="27" t="s">
        <v>367</v>
      </c>
      <c r="AC202" s="27" t="s">
        <v>367</v>
      </c>
      <c r="AD202" s="27" t="s">
        <v>367</v>
      </c>
      <c r="AE202" s="27" t="s">
        <v>367</v>
      </c>
      <c r="AF202" s="27" t="s">
        <v>367</v>
      </c>
      <c r="AG202" s="54">
        <f t="shared" si="62"/>
        <v>-21.401770004374331</v>
      </c>
    </row>
    <row r="203" spans="1:33" ht="15" customHeight="1">
      <c r="A203" s="33" t="s">
        <v>200</v>
      </c>
      <c r="B203" s="52">
        <f>'Расчет субсидий'!AT203</f>
        <v>-12.554545454545462</v>
      </c>
      <c r="C203" s="54">
        <f>'Расчет субсидий'!D203-1</f>
        <v>-1</v>
      </c>
      <c r="D203" s="54">
        <f>C203*'Расчет субсидий'!E203</f>
        <v>0</v>
      </c>
      <c r="E203" s="55">
        <f t="shared" si="67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4">
        <f>'Расчет субсидий'!P203-1</f>
        <v>-0.39491525423728813</v>
      </c>
      <c r="M203" s="54">
        <f>L203*'Расчет субсидий'!Q203</f>
        <v>-7.898305084745763</v>
      </c>
      <c r="N203" s="55">
        <f t="shared" si="68"/>
        <v>-10.715931412376115</v>
      </c>
      <c r="O203" s="54">
        <f>'Расчет субсидий'!T203-1</f>
        <v>-7.3333333333333361E-2</v>
      </c>
      <c r="P203" s="54">
        <f>O203*'Расчет субсидий'!U203</f>
        <v>-2.5666666666666678</v>
      </c>
      <c r="Q203" s="55">
        <f t="shared" si="69"/>
        <v>-3.4822944496727262</v>
      </c>
      <c r="R203" s="54">
        <f>'Расчет субсидий'!X203-1</f>
        <v>0.28000000000000003</v>
      </c>
      <c r="S203" s="54">
        <f>R203*'Расчет субсидий'!Y203</f>
        <v>4.2</v>
      </c>
      <c r="T203" s="55">
        <f t="shared" si="70"/>
        <v>5.6983000085553677</v>
      </c>
      <c r="U203" s="60" t="s">
        <v>385</v>
      </c>
      <c r="V203" s="60" t="s">
        <v>385</v>
      </c>
      <c r="W203" s="61" t="s">
        <v>385</v>
      </c>
      <c r="X203" s="73">
        <f>'Расчет субсидий'!AF203-1</f>
        <v>-0.14942528735632188</v>
      </c>
      <c r="Y203" s="73">
        <f>X203*'Расчет субсидий'!AG203</f>
        <v>-2.9885057471264376</v>
      </c>
      <c r="Z203" s="55">
        <f t="shared" si="61"/>
        <v>-4.0546196010519866</v>
      </c>
      <c r="AA203" s="27" t="s">
        <v>367</v>
      </c>
      <c r="AB203" s="27" t="s">
        <v>367</v>
      </c>
      <c r="AC203" s="27" t="s">
        <v>367</v>
      </c>
      <c r="AD203" s="27" t="s">
        <v>367</v>
      </c>
      <c r="AE203" s="27" t="s">
        <v>367</v>
      </c>
      <c r="AF203" s="27" t="s">
        <v>367</v>
      </c>
      <c r="AG203" s="54">
        <f t="shared" si="62"/>
        <v>-9.253477498538869</v>
      </c>
    </row>
    <row r="204" spans="1:33" ht="15" customHeight="1">
      <c r="A204" s="33" t="s">
        <v>201</v>
      </c>
      <c r="B204" s="52">
        <f>'Расчет субсидий'!AT204</f>
        <v>-57.963636363636368</v>
      </c>
      <c r="C204" s="54">
        <f>'Расчет субсидий'!D204-1</f>
        <v>-1</v>
      </c>
      <c r="D204" s="54">
        <f>C204*'Расчет субсидий'!E204</f>
        <v>0</v>
      </c>
      <c r="E204" s="55">
        <f t="shared" si="67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4">
        <f>'Расчет субсидий'!P204-1</f>
        <v>0.13723750369713095</v>
      </c>
      <c r="M204" s="54">
        <f>L204*'Расчет субсидий'!Q204</f>
        <v>2.7447500739426189</v>
      </c>
      <c r="N204" s="55">
        <f t="shared" si="68"/>
        <v>5.6214061054722135</v>
      </c>
      <c r="O204" s="54">
        <f>'Расчет субсидий'!T204-1</f>
        <v>-0.5</v>
      </c>
      <c r="P204" s="54">
        <f>O204*'Расчет субсидий'!U204</f>
        <v>-17.5</v>
      </c>
      <c r="Q204" s="55">
        <f t="shared" si="69"/>
        <v>-35.841007084647345</v>
      </c>
      <c r="R204" s="54">
        <f>'Расчет субсидий'!X204-1</f>
        <v>-0.5</v>
      </c>
      <c r="S204" s="54">
        <f>R204*'Расчет субсидий'!Y204</f>
        <v>-7.5</v>
      </c>
      <c r="T204" s="55">
        <f t="shared" si="70"/>
        <v>-15.360431607706005</v>
      </c>
      <c r="U204" s="60" t="s">
        <v>385</v>
      </c>
      <c r="V204" s="60" t="s">
        <v>385</v>
      </c>
      <c r="W204" s="61" t="s">
        <v>385</v>
      </c>
      <c r="X204" s="73">
        <f>'Расчет субсидий'!AF204-1</f>
        <v>-0.30232558139534882</v>
      </c>
      <c r="Y204" s="73">
        <f>X204*'Расчет субсидий'!AG204</f>
        <v>-6.0465116279069768</v>
      </c>
      <c r="Z204" s="55">
        <f t="shared" si="61"/>
        <v>-12.38360377675523</v>
      </c>
      <c r="AA204" s="27" t="s">
        <v>367</v>
      </c>
      <c r="AB204" s="27" t="s">
        <v>367</v>
      </c>
      <c r="AC204" s="27" t="s">
        <v>367</v>
      </c>
      <c r="AD204" s="27" t="s">
        <v>367</v>
      </c>
      <c r="AE204" s="27" t="s">
        <v>367</v>
      </c>
      <c r="AF204" s="27" t="s">
        <v>367</v>
      </c>
      <c r="AG204" s="54">
        <f t="shared" si="62"/>
        <v>-28.301761553964358</v>
      </c>
    </row>
    <row r="205" spans="1:33" ht="15" customHeight="1">
      <c r="A205" s="32" t="s">
        <v>202</v>
      </c>
      <c r="B205" s="56"/>
      <c r="C205" s="57"/>
      <c r="D205" s="57"/>
      <c r="E205" s="58"/>
      <c r="F205" s="57"/>
      <c r="G205" s="57"/>
      <c r="H205" s="58"/>
      <c r="I205" s="58"/>
      <c r="J205" s="58"/>
      <c r="K205" s="58"/>
      <c r="L205" s="57"/>
      <c r="M205" s="57"/>
      <c r="N205" s="58"/>
      <c r="O205" s="57"/>
      <c r="P205" s="57"/>
      <c r="Q205" s="58"/>
      <c r="R205" s="57"/>
      <c r="S205" s="57"/>
      <c r="T205" s="58"/>
      <c r="U205" s="58"/>
      <c r="V205" s="58"/>
      <c r="W205" s="58"/>
      <c r="X205" s="75"/>
      <c r="Y205" s="75"/>
      <c r="Z205" s="58"/>
      <c r="AA205" s="58"/>
      <c r="AB205" s="58"/>
      <c r="AC205" s="58"/>
      <c r="AD205" s="58"/>
      <c r="AE205" s="58"/>
      <c r="AF205" s="58"/>
      <c r="AG205" s="58"/>
    </row>
    <row r="206" spans="1:33" ht="15" customHeight="1">
      <c r="A206" s="33" t="s">
        <v>203</v>
      </c>
      <c r="B206" s="52">
        <f>'Расчет субсидий'!AT206</f>
        <v>-21.845454545454572</v>
      </c>
      <c r="C206" s="54">
        <f>'Расчет субсидий'!D206-1</f>
        <v>-1</v>
      </c>
      <c r="D206" s="54">
        <f>C206*'Расчет субсидий'!E206</f>
        <v>-10</v>
      </c>
      <c r="E206" s="55">
        <f t="shared" ref="E206:E218" si="71">$B206*D206/$AG206</f>
        <v>-24.688036641702293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4">
        <f>'Расчет субсидий'!P206-1</f>
        <v>-0.28771999209017207</v>
      </c>
      <c r="M206" s="54">
        <f>L206*'Расчет субсидий'!Q206</f>
        <v>-5.7543998418034414</v>
      </c>
      <c r="N206" s="55">
        <f t="shared" ref="N206:N218" si="72">$B206*M206/$AG206</f>
        <v>-14.206483414544923</v>
      </c>
      <c r="O206" s="54">
        <f>'Расчет субсидий'!T206-1</f>
        <v>4.5491803278688403E-2</v>
      </c>
      <c r="P206" s="54">
        <f>O206*'Расчет субсидий'!U206</f>
        <v>0.68237704918032605</v>
      </c>
      <c r="Q206" s="55">
        <f t="shared" ref="Q206:Q218" si="73">$B206*P206/$AG206</f>
        <v>1.6846549593620577</v>
      </c>
      <c r="R206" s="54">
        <f>'Расчет субсидий'!X206-1</f>
        <v>0.21333333333333337</v>
      </c>
      <c r="S206" s="54">
        <f>R206*'Расчет субсидий'!Y206</f>
        <v>7.4666666666666686</v>
      </c>
      <c r="T206" s="55">
        <f t="shared" ref="T206:T218" si="74">$B206*S206/$AG206</f>
        <v>18.433734025804384</v>
      </c>
      <c r="U206" s="60" t="s">
        <v>385</v>
      </c>
      <c r="V206" s="60" t="s">
        <v>385</v>
      </c>
      <c r="W206" s="61" t="s">
        <v>385</v>
      </c>
      <c r="X206" s="73">
        <f>'Расчет субсидий'!AF206-1</f>
        <v>-6.2162162162162193E-2</v>
      </c>
      <c r="Y206" s="73">
        <f>X206*'Расчет субсидий'!AG206</f>
        <v>-1.2432432432432439</v>
      </c>
      <c r="Z206" s="55">
        <f t="shared" si="61"/>
        <v>-3.0693234743738</v>
      </c>
      <c r="AA206" s="27" t="s">
        <v>367</v>
      </c>
      <c r="AB206" s="27" t="s">
        <v>367</v>
      </c>
      <c r="AC206" s="27" t="s">
        <v>367</v>
      </c>
      <c r="AD206" s="27" t="s">
        <v>367</v>
      </c>
      <c r="AE206" s="27" t="s">
        <v>367</v>
      </c>
      <c r="AF206" s="27" t="s">
        <v>367</v>
      </c>
      <c r="AG206" s="54">
        <f t="shared" si="62"/>
        <v>-8.8485993691996896</v>
      </c>
    </row>
    <row r="207" spans="1:33" ht="15" customHeight="1">
      <c r="A207" s="33" t="s">
        <v>204</v>
      </c>
      <c r="B207" s="52">
        <f>'Расчет субсидий'!AT207</f>
        <v>-75.381818181818119</v>
      </c>
      <c r="C207" s="54">
        <f>'Расчет субсидий'!D207-1</f>
        <v>-1</v>
      </c>
      <c r="D207" s="54">
        <f>C207*'Расчет субсидий'!E207</f>
        <v>0</v>
      </c>
      <c r="E207" s="55">
        <f t="shared" si="71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4">
        <f>'Расчет субсидий'!P207-1</f>
        <v>-0.67759088442756377</v>
      </c>
      <c r="M207" s="54">
        <f>L207*'Расчет субсидий'!Q207</f>
        <v>-13.551817688551274</v>
      </c>
      <c r="N207" s="55">
        <f t="shared" si="72"/>
        <v>-76.666625013787126</v>
      </c>
      <c r="O207" s="54">
        <f>'Расчет субсидий'!T207-1</f>
        <v>-0.10769230769230775</v>
      </c>
      <c r="P207" s="54">
        <f>O207*'Расчет субсидий'!U207</f>
        <v>-2.1538461538461551</v>
      </c>
      <c r="Q207" s="55">
        <f t="shared" si="73"/>
        <v>-12.184942212867346</v>
      </c>
      <c r="R207" s="54">
        <f>'Расчет субсидий'!X207-1</f>
        <v>0</v>
      </c>
      <c r="S207" s="54">
        <f>R207*'Расчет субсидий'!Y207</f>
        <v>0</v>
      </c>
      <c r="T207" s="55">
        <f t="shared" si="74"/>
        <v>0</v>
      </c>
      <c r="U207" s="60" t="s">
        <v>385</v>
      </c>
      <c r="V207" s="60" t="s">
        <v>385</v>
      </c>
      <c r="W207" s="61" t="s">
        <v>385</v>
      </c>
      <c r="X207" s="73">
        <f>'Расчет субсидий'!AF207-1</f>
        <v>0.11904761904761907</v>
      </c>
      <c r="Y207" s="73">
        <f>X207*'Расчет субсидий'!AG207</f>
        <v>2.3809523809523814</v>
      </c>
      <c r="Z207" s="55">
        <f t="shared" si="61"/>
        <v>13.469749044836348</v>
      </c>
      <c r="AA207" s="27" t="s">
        <v>367</v>
      </c>
      <c r="AB207" s="27" t="s">
        <v>367</v>
      </c>
      <c r="AC207" s="27" t="s">
        <v>367</v>
      </c>
      <c r="AD207" s="27" t="s">
        <v>367</v>
      </c>
      <c r="AE207" s="27" t="s">
        <v>367</v>
      </c>
      <c r="AF207" s="27" t="s">
        <v>367</v>
      </c>
      <c r="AG207" s="54">
        <f t="shared" si="62"/>
        <v>-13.324711461445048</v>
      </c>
    </row>
    <row r="208" spans="1:33" ht="15" customHeight="1">
      <c r="A208" s="33" t="s">
        <v>205</v>
      </c>
      <c r="B208" s="52">
        <f>'Расчет субсидий'!AT208</f>
        <v>0.3272727272727276</v>
      </c>
      <c r="C208" s="54">
        <f>'Расчет субсидий'!D208-1</f>
        <v>0.25185685848347594</v>
      </c>
      <c r="D208" s="54">
        <f>C208*'Расчет субсидий'!E208</f>
        <v>2.5185685848347594</v>
      </c>
      <c r="E208" s="55">
        <f t="shared" si="71"/>
        <v>7.737485688000377E-2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4">
        <f>'Расчет субсидий'!P208-1</f>
        <v>-0.19328847175491415</v>
      </c>
      <c r="M208" s="54">
        <f>L208*'Расчет субсидий'!Q208</f>
        <v>-3.865769435098283</v>
      </c>
      <c r="N208" s="55">
        <f t="shared" si="72"/>
        <v>-0.11876323661499463</v>
      </c>
      <c r="O208" s="54">
        <f>'Расчет субсидий'!T208-1</f>
        <v>0</v>
      </c>
      <c r="P208" s="54">
        <f>O208*'Расчет субсидий'!U208</f>
        <v>0</v>
      </c>
      <c r="Q208" s="55">
        <f t="shared" si="73"/>
        <v>0</v>
      </c>
      <c r="R208" s="54">
        <f>'Расчет субсидий'!X208-1</f>
        <v>0.1333333333333333</v>
      </c>
      <c r="S208" s="54">
        <f>R208*'Расчет субсидий'!Y208</f>
        <v>5.9999999999999982</v>
      </c>
      <c r="T208" s="55">
        <f t="shared" si="74"/>
        <v>0.18433055350385918</v>
      </c>
      <c r="U208" s="60" t="s">
        <v>385</v>
      </c>
      <c r="V208" s="60" t="s">
        <v>385</v>
      </c>
      <c r="W208" s="61" t="s">
        <v>385</v>
      </c>
      <c r="X208" s="73">
        <f>'Расчет субсидий'!AF208-1</f>
        <v>0.30000000000000004</v>
      </c>
      <c r="Y208" s="73">
        <f>X208*'Расчет субсидий'!AG208</f>
        <v>6.0000000000000009</v>
      </c>
      <c r="Z208" s="55">
        <f t="shared" si="61"/>
        <v>0.18433055350385927</v>
      </c>
      <c r="AA208" s="27" t="s">
        <v>367</v>
      </c>
      <c r="AB208" s="27" t="s">
        <v>367</v>
      </c>
      <c r="AC208" s="27" t="s">
        <v>367</v>
      </c>
      <c r="AD208" s="27" t="s">
        <v>367</v>
      </c>
      <c r="AE208" s="27" t="s">
        <v>367</v>
      </c>
      <c r="AF208" s="27" t="s">
        <v>367</v>
      </c>
      <c r="AG208" s="54">
        <f t="shared" si="62"/>
        <v>10.652799149736476</v>
      </c>
    </row>
    <row r="209" spans="1:33" ht="15" customHeight="1">
      <c r="A209" s="33" t="s">
        <v>206</v>
      </c>
      <c r="B209" s="52">
        <f>'Расчет субсидий'!AT209</f>
        <v>4.8727272727272748</v>
      </c>
      <c r="C209" s="54">
        <f>'Расчет субсидий'!D209-1</f>
        <v>0.11767052253689658</v>
      </c>
      <c r="D209" s="54">
        <f>C209*'Расчет субсидий'!E209</f>
        <v>1.1767052253689658</v>
      </c>
      <c r="E209" s="55">
        <f t="shared" si="71"/>
        <v>3.8773427367759474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4">
        <f>'Расчет субсидий'!P209-1</f>
        <v>-0.33620544010812636</v>
      </c>
      <c r="M209" s="54">
        <f>L209*'Расчет субсидий'!Q209</f>
        <v>-6.7241088021625277</v>
      </c>
      <c r="N209" s="55">
        <f t="shared" si="72"/>
        <v>-22.156504333683998</v>
      </c>
      <c r="O209" s="54">
        <f>'Расчет субсидий'!T209-1</f>
        <v>0.18500000000000005</v>
      </c>
      <c r="P209" s="54">
        <f>O209*'Расчет субсидий'!U209</f>
        <v>5.5500000000000016</v>
      </c>
      <c r="Q209" s="55">
        <f t="shared" si="73"/>
        <v>18.287717029861046</v>
      </c>
      <c r="R209" s="54">
        <f>'Расчет субсидий'!X209-1</f>
        <v>6.6666666666666652E-2</v>
      </c>
      <c r="S209" s="54">
        <f>R209*'Расчет субсидий'!Y209</f>
        <v>1.333333333333333</v>
      </c>
      <c r="T209" s="55">
        <f t="shared" si="74"/>
        <v>4.3934455326993476</v>
      </c>
      <c r="U209" s="60" t="s">
        <v>385</v>
      </c>
      <c r="V209" s="60" t="s">
        <v>385</v>
      </c>
      <c r="W209" s="61" t="s">
        <v>385</v>
      </c>
      <c r="X209" s="73">
        <f>'Расчет субсидий'!AF209-1</f>
        <v>7.1428571428571175E-3</v>
      </c>
      <c r="Y209" s="73">
        <f>X209*'Расчет субсидий'!AG209</f>
        <v>0.14285714285714235</v>
      </c>
      <c r="Z209" s="55">
        <f t="shared" si="61"/>
        <v>0.47072630707492852</v>
      </c>
      <c r="AA209" s="27" t="s">
        <v>367</v>
      </c>
      <c r="AB209" s="27" t="s">
        <v>367</v>
      </c>
      <c r="AC209" s="27" t="s">
        <v>367</v>
      </c>
      <c r="AD209" s="27" t="s">
        <v>367</v>
      </c>
      <c r="AE209" s="27" t="s">
        <v>367</v>
      </c>
      <c r="AF209" s="27" t="s">
        <v>367</v>
      </c>
      <c r="AG209" s="54">
        <f t="shared" si="62"/>
        <v>1.4787868993969155</v>
      </c>
    </row>
    <row r="210" spans="1:33" ht="15" customHeight="1">
      <c r="A210" s="33" t="s">
        <v>207</v>
      </c>
      <c r="B210" s="52">
        <f>'Расчет субсидий'!AT210</f>
        <v>-38.454545454545496</v>
      </c>
      <c r="C210" s="54">
        <f>'Расчет субсидий'!D210-1</f>
        <v>4.1987651565870587E-2</v>
      </c>
      <c r="D210" s="54">
        <f>C210*'Расчет субсидий'!E210</f>
        <v>0.41987651565870587</v>
      </c>
      <c r="E210" s="55">
        <f t="shared" si="71"/>
        <v>2.4412238713485981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4">
        <f>'Расчет субсидий'!P210-1</f>
        <v>-6.348195892239783E-3</v>
      </c>
      <c r="M210" s="54">
        <f>L210*'Расчет субсидий'!Q210</f>
        <v>-0.12696391784479566</v>
      </c>
      <c r="N210" s="55">
        <f t="shared" si="72"/>
        <v>-0.73818690849239177</v>
      </c>
      <c r="O210" s="54">
        <f>'Расчет субсидий'!T210-1</f>
        <v>-3.5023041474654404E-2</v>
      </c>
      <c r="P210" s="54">
        <f>O210*'Расчет субсидий'!U210</f>
        <v>-1.4009216589861762</v>
      </c>
      <c r="Q210" s="55">
        <f t="shared" si="73"/>
        <v>-8.1451647526441562</v>
      </c>
      <c r="R210" s="54">
        <f>'Расчет субсидий'!X210-1</f>
        <v>8.7499999999999911E-2</v>
      </c>
      <c r="S210" s="54">
        <f>R210*'Расчет субсидий'!Y210</f>
        <v>0.87499999999999911</v>
      </c>
      <c r="T210" s="55">
        <f t="shared" si="74"/>
        <v>5.0873788072641659</v>
      </c>
      <c r="U210" s="60" t="s">
        <v>385</v>
      </c>
      <c r="V210" s="60" t="s">
        <v>385</v>
      </c>
      <c r="W210" s="61" t="s">
        <v>385</v>
      </c>
      <c r="X210" s="73">
        <f>'Расчет субсидий'!AF210-1</f>
        <v>-0.31904761904761902</v>
      </c>
      <c r="Y210" s="73">
        <f>X210*'Расчет субсидий'!AG210</f>
        <v>-6.3809523809523805</v>
      </c>
      <c r="Z210" s="55">
        <f t="shared" si="61"/>
        <v>-37.099796472021708</v>
      </c>
      <c r="AA210" s="27" t="s">
        <v>367</v>
      </c>
      <c r="AB210" s="27" t="s">
        <v>367</v>
      </c>
      <c r="AC210" s="27" t="s">
        <v>367</v>
      </c>
      <c r="AD210" s="27" t="s">
        <v>367</v>
      </c>
      <c r="AE210" s="27" t="s">
        <v>367</v>
      </c>
      <c r="AF210" s="27" t="s">
        <v>367</v>
      </c>
      <c r="AG210" s="54">
        <f t="shared" si="62"/>
        <v>-6.6139614421246478</v>
      </c>
    </row>
    <row r="211" spans="1:33" ht="15" customHeight="1">
      <c r="A211" s="33" t="s">
        <v>208</v>
      </c>
      <c r="B211" s="52">
        <f>'Расчет субсидий'!AT211</f>
        <v>-1.5909090909090935</v>
      </c>
      <c r="C211" s="54">
        <f>'Расчет субсидий'!D211-1</f>
        <v>-5.5094845565597406E-2</v>
      </c>
      <c r="D211" s="54">
        <f>C211*'Расчет субсидий'!E211</f>
        <v>-0.55094845565597406</v>
      </c>
      <c r="E211" s="55">
        <f t="shared" si="71"/>
        <v>-0.78469508998114923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4">
        <f>'Расчет субсидий'!P211-1</f>
        <v>-0.21996953005976805</v>
      </c>
      <c r="M211" s="54">
        <f>L211*'Расчет субсидий'!Q211</f>
        <v>-4.3993906011953605</v>
      </c>
      <c r="N211" s="55">
        <f t="shared" si="72"/>
        <v>-6.2658859794006636</v>
      </c>
      <c r="O211" s="54">
        <f>'Расчет субсидий'!T211-1</f>
        <v>0</v>
      </c>
      <c r="P211" s="54">
        <f>O211*'Расчет субсидий'!U211</f>
        <v>0</v>
      </c>
      <c r="Q211" s="55">
        <f t="shared" si="73"/>
        <v>0</v>
      </c>
      <c r="R211" s="54">
        <f>'Расчет субсидий'!X211-1</f>
        <v>0.16666666666666674</v>
      </c>
      <c r="S211" s="54">
        <f>R211*'Расчет субсидий'!Y211</f>
        <v>5.8333333333333357</v>
      </c>
      <c r="T211" s="55">
        <f t="shared" si="74"/>
        <v>8.3081964889802222</v>
      </c>
      <c r="U211" s="60" t="s">
        <v>385</v>
      </c>
      <c r="V211" s="60" t="s">
        <v>385</v>
      </c>
      <c r="W211" s="61" t="s">
        <v>385</v>
      </c>
      <c r="X211" s="73">
        <f>'Расчет субсидий'!AF211-1</f>
        <v>-9.9999999999999978E-2</v>
      </c>
      <c r="Y211" s="73">
        <f>X211*'Расчет субсидий'!AG211</f>
        <v>-1.9999999999999996</v>
      </c>
      <c r="Z211" s="55">
        <f t="shared" si="61"/>
        <v>-2.8485245105075028</v>
      </c>
      <c r="AA211" s="27" t="s">
        <v>367</v>
      </c>
      <c r="AB211" s="27" t="s">
        <v>367</v>
      </c>
      <c r="AC211" s="27" t="s">
        <v>367</v>
      </c>
      <c r="AD211" s="27" t="s">
        <v>367</v>
      </c>
      <c r="AE211" s="27" t="s">
        <v>367</v>
      </c>
      <c r="AF211" s="27" t="s">
        <v>367</v>
      </c>
      <c r="AG211" s="54">
        <f t="shared" si="62"/>
        <v>-1.1170057235179986</v>
      </c>
    </row>
    <row r="212" spans="1:33" ht="15" customHeight="1">
      <c r="A212" s="33" t="s">
        <v>209</v>
      </c>
      <c r="B212" s="52">
        <f>'Расчет субсидий'!AT212</f>
        <v>0.48181818181818414</v>
      </c>
      <c r="C212" s="54">
        <f>'Расчет субсидий'!D212-1</f>
        <v>-0.16649568379120361</v>
      </c>
      <c r="D212" s="54">
        <f>C212*'Расчет субсидий'!E212</f>
        <v>-1.6649568379120361</v>
      </c>
      <c r="E212" s="55">
        <f t="shared" si="71"/>
        <v>-0.20156231930990356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4">
        <f>'Расчет субсидий'!P212-1</f>
        <v>9.0578309017401937E-2</v>
      </c>
      <c r="M212" s="54">
        <f>L212*'Расчет субсидий'!Q212</f>
        <v>1.8115661803480387</v>
      </c>
      <c r="N212" s="55">
        <f t="shared" si="72"/>
        <v>0.21931107917022483</v>
      </c>
      <c r="O212" s="54">
        <f>'Расчет субсидий'!T212-1</f>
        <v>9.9999999999999867E-2</v>
      </c>
      <c r="P212" s="54">
        <f>O212*'Расчет субсидий'!U212</f>
        <v>2.999999999999996</v>
      </c>
      <c r="Q212" s="55">
        <f t="shared" si="73"/>
        <v>0.36318476501050112</v>
      </c>
      <c r="R212" s="54">
        <f>'Расчет субсидий'!X212-1</f>
        <v>4.1666666666666741E-2</v>
      </c>
      <c r="S212" s="54">
        <f>R212*'Расчет субсидий'!Y212</f>
        <v>0.83333333333333481</v>
      </c>
      <c r="T212" s="55">
        <f t="shared" si="74"/>
        <v>0.10088465694736175</v>
      </c>
      <c r="U212" s="60" t="s">
        <v>385</v>
      </c>
      <c r="V212" s="60" t="s">
        <v>385</v>
      </c>
      <c r="W212" s="61" t="s">
        <v>385</v>
      </c>
      <c r="X212" s="73">
        <f>'Расчет субсидий'!AF212-1</f>
        <v>0</v>
      </c>
      <c r="Y212" s="73">
        <f>X212*'Расчет субсидий'!AG212</f>
        <v>0</v>
      </c>
      <c r="Z212" s="55">
        <f t="shared" si="61"/>
        <v>0</v>
      </c>
      <c r="AA212" s="27" t="s">
        <v>367</v>
      </c>
      <c r="AB212" s="27" t="s">
        <v>367</v>
      </c>
      <c r="AC212" s="27" t="s">
        <v>367</v>
      </c>
      <c r="AD212" s="27" t="s">
        <v>367</v>
      </c>
      <c r="AE212" s="27" t="s">
        <v>367</v>
      </c>
      <c r="AF212" s="27" t="s">
        <v>367</v>
      </c>
      <c r="AG212" s="54">
        <f t="shared" si="62"/>
        <v>3.9799426757693332</v>
      </c>
    </row>
    <row r="213" spans="1:33" ht="15" customHeight="1">
      <c r="A213" s="33" t="s">
        <v>210</v>
      </c>
      <c r="B213" s="52">
        <f>'Расчет субсидий'!AT213</f>
        <v>88.481818181818085</v>
      </c>
      <c r="C213" s="54">
        <f>'Расчет субсидий'!D213-1</f>
        <v>0.18108541210405416</v>
      </c>
      <c r="D213" s="54">
        <f>C213*'Расчет субсидий'!E213</f>
        <v>1.8108541210405416</v>
      </c>
      <c r="E213" s="55">
        <f t="shared" si="71"/>
        <v>13.81559191842249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4">
        <f>'Расчет субсидий'!P213-1</f>
        <v>1.2163222600052315E-2</v>
      </c>
      <c r="M213" s="54">
        <f>L213*'Расчет субсидий'!Q213</f>
        <v>0.24326445200104629</v>
      </c>
      <c r="N213" s="55">
        <f t="shared" si="72"/>
        <v>1.8559432027434353</v>
      </c>
      <c r="O213" s="54">
        <f>'Расчет субсидий'!T213-1</f>
        <v>0.15000000000000013</v>
      </c>
      <c r="P213" s="54">
        <f>O213*'Расчет субсидий'!U213</f>
        <v>4.5000000000000036</v>
      </c>
      <c r="Q213" s="55">
        <f t="shared" si="73"/>
        <v>34.331955793974963</v>
      </c>
      <c r="R213" s="54">
        <f>'Расчет субсидий'!X213-1</f>
        <v>0.19999999999999996</v>
      </c>
      <c r="S213" s="54">
        <f>R213*'Расчет субсидий'!Y213</f>
        <v>3.9999999999999991</v>
      </c>
      <c r="T213" s="55">
        <f t="shared" si="74"/>
        <v>30.517294039088824</v>
      </c>
      <c r="U213" s="60" t="s">
        <v>385</v>
      </c>
      <c r="V213" s="60" t="s">
        <v>385</v>
      </c>
      <c r="W213" s="61" t="s">
        <v>385</v>
      </c>
      <c r="X213" s="73">
        <f>'Расчет субсидий'!AF213-1</f>
        <v>5.2173913043478182E-2</v>
      </c>
      <c r="Y213" s="73">
        <f>X213*'Расчет субсидий'!AG213</f>
        <v>1.0434782608695636</v>
      </c>
      <c r="Z213" s="55">
        <f t="shared" si="61"/>
        <v>7.9610332275883779</v>
      </c>
      <c r="AA213" s="27" t="s">
        <v>367</v>
      </c>
      <c r="AB213" s="27" t="s">
        <v>367</v>
      </c>
      <c r="AC213" s="27" t="s">
        <v>367</v>
      </c>
      <c r="AD213" s="27" t="s">
        <v>367</v>
      </c>
      <c r="AE213" s="27" t="s">
        <v>367</v>
      </c>
      <c r="AF213" s="27" t="s">
        <v>367</v>
      </c>
      <c r="AG213" s="54">
        <f t="shared" si="62"/>
        <v>11.597596833911155</v>
      </c>
    </row>
    <row r="214" spans="1:33" ht="15" customHeight="1">
      <c r="A214" s="33" t="s">
        <v>211</v>
      </c>
      <c r="B214" s="52">
        <f>'Расчет субсидий'!AT214</f>
        <v>-9.0909090909090935</v>
      </c>
      <c r="C214" s="54">
        <f>'Расчет субсидий'!D214-1</f>
        <v>-3.3446132463901157E-2</v>
      </c>
      <c r="D214" s="54">
        <f>C214*'Расчет субсидий'!E214</f>
        <v>-0.33446132463901157</v>
      </c>
      <c r="E214" s="55">
        <f t="shared" si="71"/>
        <v>-0.13482555540021465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4">
        <f>'Расчет субсидий'!P214-1</f>
        <v>-0.23619300214220129</v>
      </c>
      <c r="M214" s="54">
        <f>L214*'Расчет субсидий'!Q214</f>
        <v>-4.7238600428440254</v>
      </c>
      <c r="N214" s="55">
        <f t="shared" si="72"/>
        <v>-1.9042472387404994</v>
      </c>
      <c r="O214" s="54">
        <f>'Расчет субсидий'!T214-1</f>
        <v>-0.30875576036866359</v>
      </c>
      <c r="P214" s="54">
        <f>O214*'Расчет субсидий'!U214</f>
        <v>-3.0875576036866361</v>
      </c>
      <c r="Q214" s="55">
        <f t="shared" si="73"/>
        <v>-1.2446331999566906</v>
      </c>
      <c r="R214" s="54">
        <f>'Расчет субсидий'!X214-1</f>
        <v>-0.42891566265060244</v>
      </c>
      <c r="S214" s="54">
        <f>R214*'Расчет субсидий'!Y214</f>
        <v>-17.156626506024097</v>
      </c>
      <c r="T214" s="55">
        <f t="shared" si="74"/>
        <v>-6.9160513550119962</v>
      </c>
      <c r="U214" s="60" t="s">
        <v>385</v>
      </c>
      <c r="V214" s="60" t="s">
        <v>385</v>
      </c>
      <c r="W214" s="61" t="s">
        <v>385</v>
      </c>
      <c r="X214" s="73">
        <f>'Расчет субсидий'!AF214-1</f>
        <v>0.13753581661891112</v>
      </c>
      <c r="Y214" s="73">
        <f>X214*'Расчет субсидий'!AG214</f>
        <v>2.7507163323782224</v>
      </c>
      <c r="Z214" s="55">
        <f t="shared" si="61"/>
        <v>1.1088482582003065</v>
      </c>
      <c r="AA214" s="27" t="s">
        <v>367</v>
      </c>
      <c r="AB214" s="27" t="s">
        <v>367</v>
      </c>
      <c r="AC214" s="27" t="s">
        <v>367</v>
      </c>
      <c r="AD214" s="27" t="s">
        <v>367</v>
      </c>
      <c r="AE214" s="27" t="s">
        <v>367</v>
      </c>
      <c r="AF214" s="27" t="s">
        <v>367</v>
      </c>
      <c r="AG214" s="54">
        <f t="shared" si="62"/>
        <v>-22.551789144815547</v>
      </c>
    </row>
    <row r="215" spans="1:33" ht="15" customHeight="1">
      <c r="A215" s="33" t="s">
        <v>212</v>
      </c>
      <c r="B215" s="52">
        <f>'Расчет субсидий'!AT215</f>
        <v>-27.772727272727252</v>
      </c>
      <c r="C215" s="54">
        <f>'Расчет субсидий'!D215-1</f>
        <v>-1</v>
      </c>
      <c r="D215" s="54">
        <f>C215*'Расчет субсидий'!E215</f>
        <v>0</v>
      </c>
      <c r="E215" s="55">
        <f t="shared" si="71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4">
        <f>'Расчет субсидий'!P215-1</f>
        <v>-0.62178308823529416</v>
      </c>
      <c r="M215" s="54">
        <f>L215*'Расчет субсидий'!Q215</f>
        <v>-12.435661764705884</v>
      </c>
      <c r="N215" s="55">
        <f t="shared" si="72"/>
        <v>-37.373024643607025</v>
      </c>
      <c r="O215" s="54">
        <f>'Расчет субсидий'!T215-1</f>
        <v>4.4444444444444509E-2</v>
      </c>
      <c r="P215" s="54">
        <f>O215*'Расчет субсидий'!U215</f>
        <v>1.1111111111111127</v>
      </c>
      <c r="Q215" s="55">
        <f t="shared" si="73"/>
        <v>3.3392338681320926</v>
      </c>
      <c r="R215" s="54">
        <f>'Расчет субсидий'!X215-1</f>
        <v>8.3333333333333481E-2</v>
      </c>
      <c r="S215" s="54">
        <f>R215*'Расчет субсидий'!Y215</f>
        <v>2.083333333333337</v>
      </c>
      <c r="T215" s="55">
        <f t="shared" si="74"/>
        <v>6.2610635027476755</v>
      </c>
      <c r="U215" s="60" t="s">
        <v>385</v>
      </c>
      <c r="V215" s="60" t="s">
        <v>385</v>
      </c>
      <c r="W215" s="61" t="s">
        <v>385</v>
      </c>
      <c r="X215" s="73">
        <f>'Расчет субсидий'!AF215-1</f>
        <v>0</v>
      </c>
      <c r="Y215" s="73">
        <f>X215*'Расчет субсидий'!AG215</f>
        <v>0</v>
      </c>
      <c r="Z215" s="55">
        <f t="shared" si="61"/>
        <v>0</v>
      </c>
      <c r="AA215" s="27" t="s">
        <v>367</v>
      </c>
      <c r="AB215" s="27" t="s">
        <v>367</v>
      </c>
      <c r="AC215" s="27" t="s">
        <v>367</v>
      </c>
      <c r="AD215" s="27" t="s">
        <v>367</v>
      </c>
      <c r="AE215" s="27" t="s">
        <v>367</v>
      </c>
      <c r="AF215" s="27" t="s">
        <v>367</v>
      </c>
      <c r="AG215" s="54">
        <f t="shared" si="62"/>
        <v>-9.2412173202614341</v>
      </c>
    </row>
    <row r="216" spans="1:33" ht="15" customHeight="1">
      <c r="A216" s="33" t="s">
        <v>213</v>
      </c>
      <c r="B216" s="52">
        <f>'Расчет субсидий'!AT216</f>
        <v>71.190909090909145</v>
      </c>
      <c r="C216" s="54">
        <f>'Расчет субсидий'!D216-1</f>
        <v>0.20657960644007156</v>
      </c>
      <c r="D216" s="54">
        <f>C216*'Расчет субсидий'!E216</f>
        <v>2.0657960644007156</v>
      </c>
      <c r="E216" s="55">
        <f t="shared" si="71"/>
        <v>12.4348994876737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4">
        <f>'Расчет субсидий'!P216-1</f>
        <v>0.13502975579725018</v>
      </c>
      <c r="M216" s="54">
        <f>L216*'Расчет субсидий'!Q216</f>
        <v>2.7005951159450037</v>
      </c>
      <c r="N216" s="55">
        <f t="shared" si="72"/>
        <v>16.256023235972521</v>
      </c>
      <c r="O216" s="54">
        <f>'Расчет субсидий'!T216-1</f>
        <v>3.288590604026842E-2</v>
      </c>
      <c r="P216" s="54">
        <f>O216*'Расчет субсидий'!U216</f>
        <v>0.4932885906040263</v>
      </c>
      <c r="Q216" s="55">
        <f t="shared" si="73"/>
        <v>2.9693124835905573</v>
      </c>
      <c r="R216" s="54">
        <f>'Расчет субсидий'!X216-1</f>
        <v>0.17685950413223139</v>
      </c>
      <c r="S216" s="54">
        <f>R216*'Расчет субсидий'!Y216</f>
        <v>6.1900826446280988</v>
      </c>
      <c r="T216" s="55">
        <f t="shared" si="74"/>
        <v>37.260723278932943</v>
      </c>
      <c r="U216" s="60" t="s">
        <v>385</v>
      </c>
      <c r="V216" s="60" t="s">
        <v>385</v>
      </c>
      <c r="W216" s="61" t="s">
        <v>385</v>
      </c>
      <c r="X216" s="73">
        <f>'Расчет субсидий'!AF216-1</f>
        <v>1.8855218855218903E-2</v>
      </c>
      <c r="Y216" s="73">
        <f>X216*'Расчет субсидий'!AG216</f>
        <v>0.37710437710437805</v>
      </c>
      <c r="Z216" s="55">
        <f t="shared" si="61"/>
        <v>2.2699506047394307</v>
      </c>
      <c r="AA216" s="27" t="s">
        <v>367</v>
      </c>
      <c r="AB216" s="27" t="s">
        <v>367</v>
      </c>
      <c r="AC216" s="27" t="s">
        <v>367</v>
      </c>
      <c r="AD216" s="27" t="s">
        <v>367</v>
      </c>
      <c r="AE216" s="27" t="s">
        <v>367</v>
      </c>
      <c r="AF216" s="27" t="s">
        <v>367</v>
      </c>
      <c r="AG216" s="54">
        <f t="shared" si="62"/>
        <v>11.826866792682221</v>
      </c>
    </row>
    <row r="217" spans="1:33" ht="15" customHeight="1">
      <c r="A217" s="33" t="s">
        <v>214</v>
      </c>
      <c r="B217" s="52">
        <f>'Расчет субсидий'!AT217</f>
        <v>-10.518181818181802</v>
      </c>
      <c r="C217" s="54">
        <f>'Расчет субсидий'!D217-1</f>
        <v>0</v>
      </c>
      <c r="D217" s="54">
        <f>C217*'Расчет субсидий'!E217</f>
        <v>0</v>
      </c>
      <c r="E217" s="55">
        <f t="shared" si="71"/>
        <v>0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4">
        <f>'Расчет субсидий'!P217-1</f>
        <v>-0.40873838593258083</v>
      </c>
      <c r="M217" s="54">
        <f>L217*'Расчет субсидий'!Q217</f>
        <v>-8.1747677186516157</v>
      </c>
      <c r="N217" s="55">
        <f t="shared" si="72"/>
        <v>-14.316122642415131</v>
      </c>
      <c r="O217" s="54">
        <f>'Расчет субсидий'!T217-1</f>
        <v>4.9450549450549497E-2</v>
      </c>
      <c r="P217" s="54">
        <f>O217*'Расчет субсидий'!U217</f>
        <v>1.4835164835164849</v>
      </c>
      <c r="Q217" s="55">
        <f t="shared" si="73"/>
        <v>2.5980192527806225</v>
      </c>
      <c r="R217" s="54">
        <f>'Расчет субсидий'!X217-1</f>
        <v>2.6666666666666616E-2</v>
      </c>
      <c r="S217" s="54">
        <f>R217*'Расчет субсидий'!Y217</f>
        <v>0.53333333333333233</v>
      </c>
      <c r="T217" s="55">
        <f t="shared" si="74"/>
        <v>0.93400395853051243</v>
      </c>
      <c r="U217" s="60" t="s">
        <v>385</v>
      </c>
      <c r="V217" s="60" t="s">
        <v>385</v>
      </c>
      <c r="W217" s="61" t="s">
        <v>385</v>
      </c>
      <c r="X217" s="73">
        <f>'Расчет субсидий'!AF217-1</f>
        <v>7.5921908893710199E-3</v>
      </c>
      <c r="Y217" s="73">
        <f>X217*'Расчет субсидий'!AG217</f>
        <v>0.1518438177874204</v>
      </c>
      <c r="Z217" s="55">
        <f t="shared" si="61"/>
        <v>0.26591761292219396</v>
      </c>
      <c r="AA217" s="27" t="s">
        <v>367</v>
      </c>
      <c r="AB217" s="27" t="s">
        <v>367</v>
      </c>
      <c r="AC217" s="27" t="s">
        <v>367</v>
      </c>
      <c r="AD217" s="27" t="s">
        <v>367</v>
      </c>
      <c r="AE217" s="27" t="s">
        <v>367</v>
      </c>
      <c r="AF217" s="27" t="s">
        <v>367</v>
      </c>
      <c r="AG217" s="54">
        <f t="shared" si="62"/>
        <v>-6.0060740840143776</v>
      </c>
    </row>
    <row r="218" spans="1:33" ht="15" customHeight="1">
      <c r="A218" s="33" t="s">
        <v>215</v>
      </c>
      <c r="B218" s="52">
        <f>'Расчет субсидий'!AT218</f>
        <v>-19.190909090909059</v>
      </c>
      <c r="C218" s="54">
        <f>'Расчет субсидий'!D218-1</f>
        <v>-1</v>
      </c>
      <c r="D218" s="54">
        <f>C218*'Расчет субсидий'!E218</f>
        <v>0</v>
      </c>
      <c r="E218" s="55">
        <f t="shared" si="71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4">
        <f>'Расчет субсидий'!P218-1</f>
        <v>-0.37170263788968827</v>
      </c>
      <c r="M218" s="54">
        <f>L218*'Расчет субсидий'!Q218</f>
        <v>-7.434052757793765</v>
      </c>
      <c r="N218" s="55">
        <f t="shared" si="72"/>
        <v>-16.424236663747465</v>
      </c>
      <c r="O218" s="54">
        <f>'Расчет субсидий'!T218-1</f>
        <v>-0.15252525252525251</v>
      </c>
      <c r="P218" s="54">
        <f>O218*'Расчет субсидий'!U218</f>
        <v>-6.1010101010101003</v>
      </c>
      <c r="Q218" s="55">
        <f t="shared" si="73"/>
        <v>-13.479112544883501</v>
      </c>
      <c r="R218" s="54">
        <f>'Расчет субсидий'!X218-1</f>
        <v>0.30000000000000004</v>
      </c>
      <c r="S218" s="54">
        <f>R218*'Расчет субсидий'!Y218</f>
        <v>3.0000000000000004</v>
      </c>
      <c r="T218" s="55">
        <f t="shared" si="74"/>
        <v>6.6279742149509948</v>
      </c>
      <c r="U218" s="60" t="s">
        <v>385</v>
      </c>
      <c r="V218" s="60" t="s">
        <v>385</v>
      </c>
      <c r="W218" s="61" t="s">
        <v>385</v>
      </c>
      <c r="X218" s="73">
        <f>'Расчет субсидий'!AF218-1</f>
        <v>9.243697478991586E-2</v>
      </c>
      <c r="Y218" s="73">
        <f>X218*'Расчет субсидий'!AG218</f>
        <v>1.8487394957983172</v>
      </c>
      <c r="Z218" s="55">
        <f t="shared" si="61"/>
        <v>4.0844659027709156</v>
      </c>
      <c r="AA218" s="27" t="s">
        <v>367</v>
      </c>
      <c r="AB218" s="27" t="s">
        <v>367</v>
      </c>
      <c r="AC218" s="27" t="s">
        <v>367</v>
      </c>
      <c r="AD218" s="27" t="s">
        <v>367</v>
      </c>
      <c r="AE218" s="27" t="s">
        <v>367</v>
      </c>
      <c r="AF218" s="27" t="s">
        <v>367</v>
      </c>
      <c r="AG218" s="54">
        <f t="shared" si="62"/>
        <v>-8.686323363005549</v>
      </c>
    </row>
    <row r="219" spans="1:33" ht="15" customHeight="1">
      <c r="A219" s="32" t="s">
        <v>216</v>
      </c>
      <c r="B219" s="56"/>
      <c r="C219" s="57"/>
      <c r="D219" s="57"/>
      <c r="E219" s="58"/>
      <c r="F219" s="57"/>
      <c r="G219" s="57"/>
      <c r="H219" s="58"/>
      <c r="I219" s="58"/>
      <c r="J219" s="58"/>
      <c r="K219" s="58"/>
      <c r="L219" s="57"/>
      <c r="M219" s="57"/>
      <c r="N219" s="58"/>
      <c r="O219" s="57"/>
      <c r="P219" s="57"/>
      <c r="Q219" s="58"/>
      <c r="R219" s="57"/>
      <c r="S219" s="57"/>
      <c r="T219" s="58"/>
      <c r="U219" s="58"/>
      <c r="V219" s="58"/>
      <c r="W219" s="58"/>
      <c r="X219" s="75"/>
      <c r="Y219" s="75"/>
      <c r="Z219" s="58"/>
      <c r="AA219" s="58"/>
      <c r="AB219" s="58"/>
      <c r="AC219" s="58"/>
      <c r="AD219" s="58"/>
      <c r="AE219" s="58"/>
      <c r="AF219" s="58"/>
      <c r="AG219" s="58"/>
    </row>
    <row r="220" spans="1:33" ht="15" customHeight="1">
      <c r="A220" s="33" t="s">
        <v>217</v>
      </c>
      <c r="B220" s="52">
        <f>'Расчет субсидий'!AT220</f>
        <v>-7.4636363636363683</v>
      </c>
      <c r="C220" s="54">
        <f>'Расчет субсидий'!D220-1</f>
        <v>-1</v>
      </c>
      <c r="D220" s="54">
        <f>C220*'Расчет субсидий'!E220</f>
        <v>0</v>
      </c>
      <c r="E220" s="55">
        <f t="shared" ref="E220:E228" si="75">$B220*D220/$AG220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4">
        <f>'Расчет субсидий'!P220-1</f>
        <v>-0.54188078108941418</v>
      </c>
      <c r="M220" s="54">
        <f>L220*'Расчет субсидий'!Q220</f>
        <v>-10.837615621788284</v>
      </c>
      <c r="N220" s="55">
        <f t="shared" ref="N220:N228" si="76">$B220*M220/$AG220</f>
        <v>-28.875667905195833</v>
      </c>
      <c r="O220" s="54">
        <f>'Расчет субсидий'!T220-1</f>
        <v>0</v>
      </c>
      <c r="P220" s="54">
        <f>O220*'Расчет субсидий'!U220</f>
        <v>0</v>
      </c>
      <c r="Q220" s="55">
        <f t="shared" ref="Q220:Q228" si="77">$B220*P220/$AG220</f>
        <v>0</v>
      </c>
      <c r="R220" s="54">
        <f>'Расчет субсидий'!X220-1</f>
        <v>0.28000000000000003</v>
      </c>
      <c r="S220" s="54">
        <f>R220*'Расчет субсидий'!Y220</f>
        <v>8.4</v>
      </c>
      <c r="T220" s="55">
        <f t="shared" ref="T220:T228" si="78">$B220*S220/$AG220</f>
        <v>22.380901747059895</v>
      </c>
      <c r="U220" s="60" t="s">
        <v>385</v>
      </c>
      <c r="V220" s="60" t="s">
        <v>385</v>
      </c>
      <c r="W220" s="61" t="s">
        <v>385</v>
      </c>
      <c r="X220" s="73">
        <f>'Расчет субсидий'!AF220-1</f>
        <v>-1.8181818181818188E-2</v>
      </c>
      <c r="Y220" s="73">
        <f>X220*'Расчет субсидий'!AG220</f>
        <v>-0.36363636363636376</v>
      </c>
      <c r="Z220" s="55">
        <f t="shared" si="61"/>
        <v>-0.96887020550042857</v>
      </c>
      <c r="AA220" s="27" t="s">
        <v>367</v>
      </c>
      <c r="AB220" s="27" t="s">
        <v>367</v>
      </c>
      <c r="AC220" s="27" t="s">
        <v>367</v>
      </c>
      <c r="AD220" s="27" t="s">
        <v>367</v>
      </c>
      <c r="AE220" s="27" t="s">
        <v>367</v>
      </c>
      <c r="AF220" s="27" t="s">
        <v>367</v>
      </c>
      <c r="AG220" s="54">
        <f t="shared" si="62"/>
        <v>-2.8012519854246478</v>
      </c>
    </row>
    <row r="221" spans="1:33" ht="15" customHeight="1">
      <c r="A221" s="33" t="s">
        <v>146</v>
      </c>
      <c r="B221" s="52">
        <f>'Расчет субсидий'!AT221</f>
        <v>29.318181818181813</v>
      </c>
      <c r="C221" s="54">
        <f>'Расчет субсидий'!D221-1</f>
        <v>-1</v>
      </c>
      <c r="D221" s="54">
        <f>C221*'Расчет субсидий'!E221</f>
        <v>0</v>
      </c>
      <c r="E221" s="55">
        <f t="shared" si="75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4">
        <f>'Расчет субсидий'!P221-1</f>
        <v>0.20373929590865836</v>
      </c>
      <c r="M221" s="54">
        <f>L221*'Расчет субсидий'!Q221</f>
        <v>4.0747859181731672</v>
      </c>
      <c r="N221" s="55">
        <f t="shared" si="76"/>
        <v>7.559087370365086</v>
      </c>
      <c r="O221" s="54">
        <f>'Расчет субсидий'!T221-1</f>
        <v>0.20075949367088608</v>
      </c>
      <c r="P221" s="54">
        <f>O221*'Расчет субсидий'!U221</f>
        <v>6.0227848101265824</v>
      </c>
      <c r="Q221" s="55">
        <f t="shared" si="77"/>
        <v>11.172797174352013</v>
      </c>
      <c r="R221" s="54">
        <f>'Расчет субсидий'!X221-1</f>
        <v>0.20285714285714285</v>
      </c>
      <c r="S221" s="54">
        <f>R221*'Расчет субсидий'!Y221</f>
        <v>4.0571428571428569</v>
      </c>
      <c r="T221" s="55">
        <f t="shared" si="78"/>
        <v>7.5263579356200596</v>
      </c>
      <c r="U221" s="60" t="s">
        <v>385</v>
      </c>
      <c r="V221" s="60" t="s">
        <v>385</v>
      </c>
      <c r="W221" s="61" t="s">
        <v>385</v>
      </c>
      <c r="X221" s="73">
        <f>'Расчет субсидий'!AF221-1</f>
        <v>8.247422680412364E-2</v>
      </c>
      <c r="Y221" s="73">
        <f>X221*'Расчет субсидий'!AG221</f>
        <v>1.6494845360824728</v>
      </c>
      <c r="Z221" s="55">
        <f t="shared" si="61"/>
        <v>3.0599393378446567</v>
      </c>
      <c r="AA221" s="27" t="s">
        <v>367</v>
      </c>
      <c r="AB221" s="27" t="s">
        <v>367</v>
      </c>
      <c r="AC221" s="27" t="s">
        <v>367</v>
      </c>
      <c r="AD221" s="27" t="s">
        <v>367</v>
      </c>
      <c r="AE221" s="27" t="s">
        <v>367</v>
      </c>
      <c r="AF221" s="27" t="s">
        <v>367</v>
      </c>
      <c r="AG221" s="54">
        <f t="shared" si="62"/>
        <v>15.804198121525079</v>
      </c>
    </row>
    <row r="222" spans="1:33" ht="15" customHeight="1">
      <c r="A222" s="33" t="s">
        <v>218</v>
      </c>
      <c r="B222" s="52">
        <f>'Расчет субсидий'!AT222</f>
        <v>17.509090909090958</v>
      </c>
      <c r="C222" s="54">
        <f>'Расчет субсидий'!D222-1</f>
        <v>-1</v>
      </c>
      <c r="D222" s="54">
        <f>C222*'Расчет субсидий'!E222</f>
        <v>0</v>
      </c>
      <c r="E222" s="55">
        <f t="shared" si="75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4">
        <f>'Расчет субсидий'!P222-1</f>
        <v>-8.1907894736842013E-2</v>
      </c>
      <c r="M222" s="54">
        <f>L222*'Расчет субсидий'!Q222</f>
        <v>-1.6381578947368403</v>
      </c>
      <c r="N222" s="55">
        <f t="shared" si="76"/>
        <v>-4.8868827810341156</v>
      </c>
      <c r="O222" s="54">
        <f>'Расчет субсидий'!T222-1</f>
        <v>1.5053763440860291E-2</v>
      </c>
      <c r="P222" s="54">
        <f>O222*'Расчет субсидий'!U222</f>
        <v>0.22580645161290436</v>
      </c>
      <c r="Q222" s="55">
        <f t="shared" si="77"/>
        <v>0.67361617813451624</v>
      </c>
      <c r="R222" s="54">
        <f>'Расчет субсидий'!X222-1</f>
        <v>0.20500000000000007</v>
      </c>
      <c r="S222" s="54">
        <f>R222*'Расчет субсидий'!Y222</f>
        <v>7.1750000000000025</v>
      </c>
      <c r="T222" s="55">
        <f t="shared" si="78"/>
        <v>21.404154060224155</v>
      </c>
      <c r="U222" s="60" t="s">
        <v>385</v>
      </c>
      <c r="V222" s="60" t="s">
        <v>385</v>
      </c>
      <c r="W222" s="61" t="s">
        <v>385</v>
      </c>
      <c r="X222" s="73">
        <f>'Расчет субсидий'!AF222-1</f>
        <v>5.3333333333334121E-3</v>
      </c>
      <c r="Y222" s="73">
        <f>X222*'Расчет субсидий'!AG222</f>
        <v>0.10666666666666824</v>
      </c>
      <c r="Z222" s="55">
        <f t="shared" si="61"/>
        <v>0.31820345176640313</v>
      </c>
      <c r="AA222" s="27" t="s">
        <v>367</v>
      </c>
      <c r="AB222" s="27" t="s">
        <v>367</v>
      </c>
      <c r="AC222" s="27" t="s">
        <v>367</v>
      </c>
      <c r="AD222" s="27" t="s">
        <v>367</v>
      </c>
      <c r="AE222" s="27" t="s">
        <v>367</v>
      </c>
      <c r="AF222" s="27" t="s">
        <v>367</v>
      </c>
      <c r="AG222" s="54">
        <f t="shared" si="62"/>
        <v>5.8693152235427348</v>
      </c>
    </row>
    <row r="223" spans="1:33" ht="15" customHeight="1">
      <c r="A223" s="33" t="s">
        <v>219</v>
      </c>
      <c r="B223" s="52">
        <f>'Расчет субсидий'!AT223</f>
        <v>-41.26363636363638</v>
      </c>
      <c r="C223" s="54">
        <f>'Расчет субсидий'!D223-1</f>
        <v>-1</v>
      </c>
      <c r="D223" s="54">
        <f>C223*'Расчет субсидий'!E223</f>
        <v>0</v>
      </c>
      <c r="E223" s="55">
        <f t="shared" si="75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4">
        <f>'Расчет субсидий'!P223-1</f>
        <v>-0.33895091636823249</v>
      </c>
      <c r="M223" s="54">
        <f>L223*'Расчет субсидий'!Q223</f>
        <v>-6.7790183273646498</v>
      </c>
      <c r="N223" s="55">
        <f t="shared" si="76"/>
        <v>-18.194784291684336</v>
      </c>
      <c r="O223" s="54">
        <f>'Расчет субсидий'!T223-1</f>
        <v>0.20799999999999996</v>
      </c>
      <c r="P223" s="54">
        <f>O223*'Расчет субсидий'!U223</f>
        <v>5.1999999999999993</v>
      </c>
      <c r="Q223" s="55">
        <f t="shared" si="77"/>
        <v>13.956722603158884</v>
      </c>
      <c r="R223" s="54">
        <f>'Расчет субсидий'!X223-1</f>
        <v>-0.47499999999999998</v>
      </c>
      <c r="S223" s="54">
        <f>R223*'Расчет субсидий'!Y223</f>
        <v>-11.875</v>
      </c>
      <c r="T223" s="55">
        <f t="shared" si="78"/>
        <v>-31.872323252406105</v>
      </c>
      <c r="U223" s="60" t="s">
        <v>385</v>
      </c>
      <c r="V223" s="60" t="s">
        <v>385</v>
      </c>
      <c r="W223" s="61" t="s">
        <v>385</v>
      </c>
      <c r="X223" s="73">
        <f>'Расчет субсидий'!AF223-1</f>
        <v>-9.5999999999999974E-2</v>
      </c>
      <c r="Y223" s="73">
        <f>X223*'Расчет субсидий'!AG223</f>
        <v>-1.9199999999999995</v>
      </c>
      <c r="Z223" s="55">
        <f t="shared" si="61"/>
        <v>-5.1532514227048178</v>
      </c>
      <c r="AA223" s="27" t="s">
        <v>367</v>
      </c>
      <c r="AB223" s="27" t="s">
        <v>367</v>
      </c>
      <c r="AC223" s="27" t="s">
        <v>367</v>
      </c>
      <c r="AD223" s="27" t="s">
        <v>367</v>
      </c>
      <c r="AE223" s="27" t="s">
        <v>367</v>
      </c>
      <c r="AF223" s="27" t="s">
        <v>367</v>
      </c>
      <c r="AG223" s="54">
        <f t="shared" si="62"/>
        <v>-15.37401832736465</v>
      </c>
    </row>
    <row r="224" spans="1:33" ht="15" customHeight="1">
      <c r="A224" s="33" t="s">
        <v>220</v>
      </c>
      <c r="B224" s="52">
        <f>'Расчет субсидий'!AT224</f>
        <v>-30.927272727272737</v>
      </c>
      <c r="C224" s="54">
        <f>'Расчет субсидий'!D224-1</f>
        <v>5.4822073233625535E-2</v>
      </c>
      <c r="D224" s="54">
        <f>C224*'Расчет субсидий'!E224</f>
        <v>0.54822073233625535</v>
      </c>
      <c r="E224" s="55">
        <f t="shared" si="75"/>
        <v>0.39378543044492131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4">
        <f>'Расчет субсидий'!P224-1</f>
        <v>-0.56784869976359342</v>
      </c>
      <c r="M224" s="54">
        <f>L224*'Расчет субсидий'!Q224</f>
        <v>-11.356973995271868</v>
      </c>
      <c r="N224" s="55">
        <f t="shared" si="76"/>
        <v>-8.1576828994071064</v>
      </c>
      <c r="O224" s="54">
        <f>'Расчет субсидий'!T224-1</f>
        <v>-1</v>
      </c>
      <c r="P224" s="54">
        <f>O224*'Расчет субсидий'!U224</f>
        <v>-15</v>
      </c>
      <c r="Q224" s="55">
        <f t="shared" si="77"/>
        <v>-10.774458367347645</v>
      </c>
      <c r="R224" s="54">
        <f>'Расчет субсидий'!X224-1</f>
        <v>-0.52</v>
      </c>
      <c r="S224" s="54">
        <f>R224*'Расчет субсидий'!Y224</f>
        <v>-18.2</v>
      </c>
      <c r="T224" s="55">
        <f t="shared" si="78"/>
        <v>-13.07300948571514</v>
      </c>
      <c r="U224" s="60" t="s">
        <v>385</v>
      </c>
      <c r="V224" s="60" t="s">
        <v>385</v>
      </c>
      <c r="W224" s="61" t="s">
        <v>385</v>
      </c>
      <c r="X224" s="73">
        <f>'Расчет субсидий'!AF224-1</f>
        <v>4.7619047619047672E-2</v>
      </c>
      <c r="Y224" s="73">
        <f>X224*'Расчет субсидий'!AG224</f>
        <v>0.95238095238095344</v>
      </c>
      <c r="Z224" s="55">
        <f t="shared" si="61"/>
        <v>0.68409259475223216</v>
      </c>
      <c r="AA224" s="27" t="s">
        <v>367</v>
      </c>
      <c r="AB224" s="27" t="s">
        <v>367</v>
      </c>
      <c r="AC224" s="27" t="s">
        <v>367</v>
      </c>
      <c r="AD224" s="27" t="s">
        <v>367</v>
      </c>
      <c r="AE224" s="27" t="s">
        <v>367</v>
      </c>
      <c r="AF224" s="27" t="s">
        <v>367</v>
      </c>
      <c r="AG224" s="54">
        <f t="shared" si="62"/>
        <v>-43.056372310554657</v>
      </c>
    </row>
    <row r="225" spans="1:33" ht="15" customHeight="1">
      <c r="A225" s="33" t="s">
        <v>221</v>
      </c>
      <c r="B225" s="52">
        <f>'Расчет субсидий'!AT225</f>
        <v>0</v>
      </c>
      <c r="C225" s="54">
        <f>'Расчет субсидий'!D225-1</f>
        <v>0.20246008713692953</v>
      </c>
      <c r="D225" s="54">
        <f>C225*'Расчет субсидий'!E225</f>
        <v>2.0246008713692953</v>
      </c>
      <c r="E225" s="55">
        <f t="shared" si="75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4">
        <f>'Расчет субсидий'!P225-1</f>
        <v>-0.1518566733074892</v>
      </c>
      <c r="M225" s="54">
        <f>L225*'Расчет субсидий'!Q225</f>
        <v>-3.037133466149784</v>
      </c>
      <c r="N225" s="55">
        <f t="shared" si="76"/>
        <v>0</v>
      </c>
      <c r="O225" s="54">
        <f>'Расчет субсидий'!T225-1</f>
        <v>0</v>
      </c>
      <c r="P225" s="54">
        <f>O225*'Расчет субсидий'!U225</f>
        <v>0</v>
      </c>
      <c r="Q225" s="55">
        <f t="shared" si="77"/>
        <v>0</v>
      </c>
      <c r="R225" s="54">
        <f>'Расчет субсидий'!X225-1</f>
        <v>0</v>
      </c>
      <c r="S225" s="54">
        <f>R225*'Расчет субсидий'!Y225</f>
        <v>0</v>
      </c>
      <c r="T225" s="55">
        <f t="shared" si="78"/>
        <v>0</v>
      </c>
      <c r="U225" s="60" t="s">
        <v>385</v>
      </c>
      <c r="V225" s="60" t="s">
        <v>385</v>
      </c>
      <c r="W225" s="61" t="s">
        <v>385</v>
      </c>
      <c r="X225" s="73">
        <f>'Расчет субсидий'!AF225-1</f>
        <v>0</v>
      </c>
      <c r="Y225" s="73">
        <f>X225*'Расчет субсидий'!AG225</f>
        <v>0</v>
      </c>
      <c r="Z225" s="55">
        <f t="shared" si="61"/>
        <v>0</v>
      </c>
      <c r="AA225" s="27" t="s">
        <v>367</v>
      </c>
      <c r="AB225" s="27" t="s">
        <v>367</v>
      </c>
      <c r="AC225" s="27" t="s">
        <v>367</v>
      </c>
      <c r="AD225" s="27" t="s">
        <v>367</v>
      </c>
      <c r="AE225" s="27" t="s">
        <v>367</v>
      </c>
      <c r="AF225" s="27" t="s">
        <v>367</v>
      </c>
      <c r="AG225" s="54">
        <f t="shared" si="62"/>
        <v>-1.0125325947804886</v>
      </c>
    </row>
    <row r="226" spans="1:33" ht="15" customHeight="1">
      <c r="A226" s="33" t="s">
        <v>222</v>
      </c>
      <c r="B226" s="52">
        <f>'Расчет субсидий'!AT226</f>
        <v>-46.972727272727241</v>
      </c>
      <c r="C226" s="54">
        <f>'Расчет субсидий'!D226-1</f>
        <v>-1</v>
      </c>
      <c r="D226" s="54">
        <f>C226*'Расчет субсидий'!E226</f>
        <v>0</v>
      </c>
      <c r="E226" s="55">
        <f t="shared" si="75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4">
        <f>'Расчет субсидий'!P226-1</f>
        <v>-0.19237079573420834</v>
      </c>
      <c r="M226" s="54">
        <f>L226*'Расчет субсидий'!Q226</f>
        <v>-3.8474159146841669</v>
      </c>
      <c r="N226" s="55">
        <f t="shared" si="76"/>
        <v>-13.999687747841653</v>
      </c>
      <c r="O226" s="54">
        <f>'Расчет субсидий'!T226-1</f>
        <v>-3.5905044510385786E-2</v>
      </c>
      <c r="P226" s="54">
        <f>O226*'Расчет субсидий'!U226</f>
        <v>-1.0771513353115736</v>
      </c>
      <c r="Q226" s="55">
        <f t="shared" si="77"/>
        <v>-3.9194572892363282</v>
      </c>
      <c r="R226" s="54">
        <f>'Расчет субсидий'!X226-1</f>
        <v>-0.38124999999999998</v>
      </c>
      <c r="S226" s="54">
        <f>R226*'Расчет субсидий'!Y226</f>
        <v>-7.625</v>
      </c>
      <c r="T226" s="55">
        <f t="shared" si="78"/>
        <v>-27.745276685547907</v>
      </c>
      <c r="U226" s="60" t="s">
        <v>385</v>
      </c>
      <c r="V226" s="60" t="s">
        <v>385</v>
      </c>
      <c r="W226" s="61" t="s">
        <v>385</v>
      </c>
      <c r="X226" s="73">
        <f>'Расчет субсидий'!AF226-1</f>
        <v>-1.7977528089887618E-2</v>
      </c>
      <c r="Y226" s="73">
        <f>X226*'Расчет субсидий'!AG226</f>
        <v>-0.35955056179775235</v>
      </c>
      <c r="Z226" s="55">
        <f t="shared" si="61"/>
        <v>-1.3083055501013552</v>
      </c>
      <c r="AA226" s="27" t="s">
        <v>367</v>
      </c>
      <c r="AB226" s="27" t="s">
        <v>367</v>
      </c>
      <c r="AC226" s="27" t="s">
        <v>367</v>
      </c>
      <c r="AD226" s="27" t="s">
        <v>367</v>
      </c>
      <c r="AE226" s="27" t="s">
        <v>367</v>
      </c>
      <c r="AF226" s="27" t="s">
        <v>367</v>
      </c>
      <c r="AG226" s="54">
        <f t="shared" si="62"/>
        <v>-12.909117811793491</v>
      </c>
    </row>
    <row r="227" spans="1:33" ht="15" customHeight="1">
      <c r="A227" s="33" t="s">
        <v>223</v>
      </c>
      <c r="B227" s="52">
        <f>'Расчет субсидий'!AT227</f>
        <v>-6.3636363636362603E-2</v>
      </c>
      <c r="C227" s="54">
        <f>'Расчет субсидий'!D227-1</f>
        <v>-1</v>
      </c>
      <c r="D227" s="54">
        <f>C227*'Расчет субсидий'!E227</f>
        <v>0</v>
      </c>
      <c r="E227" s="55">
        <f t="shared" si="75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4">
        <f>'Расчет субсидий'!P227-1</f>
        <v>0.20213125158669709</v>
      </c>
      <c r="M227" s="54">
        <f>L227*'Расчет субсидий'!Q227</f>
        <v>4.0426250317339418</v>
      </c>
      <c r="N227" s="55">
        <f t="shared" si="76"/>
        <v>51.513243546601664</v>
      </c>
      <c r="O227" s="54">
        <f>'Расчет субсидий'!T227-1</f>
        <v>-0.1333333333333333</v>
      </c>
      <c r="P227" s="54">
        <f>O227*'Расчет субсидий'!U227</f>
        <v>-3.3333333333333326</v>
      </c>
      <c r="Q227" s="55">
        <f t="shared" si="77"/>
        <v>-42.47507757313722</v>
      </c>
      <c r="R227" s="54">
        <f>'Расчет субсидий'!X227-1</f>
        <v>0.10000000000000009</v>
      </c>
      <c r="S227" s="54">
        <f>R227*'Расчет субсидий'!Y227</f>
        <v>2.5000000000000022</v>
      </c>
      <c r="T227" s="55">
        <f t="shared" si="78"/>
        <v>31.856308179852949</v>
      </c>
      <c r="U227" s="60" t="s">
        <v>385</v>
      </c>
      <c r="V227" s="60" t="s">
        <v>385</v>
      </c>
      <c r="W227" s="61" t="s">
        <v>385</v>
      </c>
      <c r="X227" s="73">
        <f>'Расчет субсидий'!AF227-1</f>
        <v>-0.1607142857142857</v>
      </c>
      <c r="Y227" s="73">
        <f>X227*'Расчет субсидий'!AG227</f>
        <v>-3.214285714285714</v>
      </c>
      <c r="Z227" s="55">
        <f t="shared" si="61"/>
        <v>-40.958110516953752</v>
      </c>
      <c r="AA227" s="27" t="s">
        <v>367</v>
      </c>
      <c r="AB227" s="27" t="s">
        <v>367</v>
      </c>
      <c r="AC227" s="27" t="s">
        <v>367</v>
      </c>
      <c r="AD227" s="27" t="s">
        <v>367</v>
      </c>
      <c r="AE227" s="27" t="s">
        <v>367</v>
      </c>
      <c r="AF227" s="27" t="s">
        <v>367</v>
      </c>
      <c r="AG227" s="54">
        <f t="shared" si="62"/>
        <v>-4.9940158851025096E-3</v>
      </c>
    </row>
    <row r="228" spans="1:33" ht="15" customHeight="1">
      <c r="A228" s="33" t="s">
        <v>224</v>
      </c>
      <c r="B228" s="52">
        <f>'Расчет субсидий'!AT228</f>
        <v>-96.345454545454572</v>
      </c>
      <c r="C228" s="54">
        <f>'Расчет субсидий'!D228-1</f>
        <v>0.13809225806451608</v>
      </c>
      <c r="D228" s="54">
        <f>C228*'Расчет субсидий'!E228</f>
        <v>1.3809225806451608</v>
      </c>
      <c r="E228" s="55">
        <f t="shared" si="75"/>
        <v>6.551731203021582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4">
        <f>'Расчет субсидий'!P228-1</f>
        <v>-0.32239995963062018</v>
      </c>
      <c r="M228" s="54">
        <f>L228*'Расчет субсидий'!Q228</f>
        <v>-6.4479991926124036</v>
      </c>
      <c r="N228" s="55">
        <f t="shared" si="76"/>
        <v>-30.592270775643133</v>
      </c>
      <c r="O228" s="54">
        <f>'Расчет субсидий'!T228-1</f>
        <v>-0.77857142857142858</v>
      </c>
      <c r="P228" s="54">
        <f>O228*'Расчет субсидий'!U228</f>
        <v>-15.571428571428571</v>
      </c>
      <c r="Q228" s="55">
        <f t="shared" si="77"/>
        <v>-73.878011611184718</v>
      </c>
      <c r="R228" s="54">
        <f>'Расчет субсидий'!X228-1</f>
        <v>-6.8965517241379448E-3</v>
      </c>
      <c r="S228" s="54">
        <f>R228*'Расчет субсидий'!Y228</f>
        <v>-0.20689655172413834</v>
      </c>
      <c r="T228" s="55">
        <f t="shared" si="78"/>
        <v>-0.98161230233146601</v>
      </c>
      <c r="U228" s="60" t="s">
        <v>385</v>
      </c>
      <c r="V228" s="60" t="s">
        <v>385</v>
      </c>
      <c r="W228" s="61" t="s">
        <v>385</v>
      </c>
      <c r="X228" s="73">
        <f>'Расчет субсидий'!AF228-1</f>
        <v>2.6923076923076827E-2</v>
      </c>
      <c r="Y228" s="73">
        <f>X228*'Расчет субсидий'!AG228</f>
        <v>0.53846153846153655</v>
      </c>
      <c r="Z228" s="55">
        <f t="shared" si="61"/>
        <v>2.55470894068316</v>
      </c>
      <c r="AA228" s="27" t="s">
        <v>367</v>
      </c>
      <c r="AB228" s="27" t="s">
        <v>367</v>
      </c>
      <c r="AC228" s="27" t="s">
        <v>367</v>
      </c>
      <c r="AD228" s="27" t="s">
        <v>367</v>
      </c>
      <c r="AE228" s="27" t="s">
        <v>367</v>
      </c>
      <c r="AF228" s="27" t="s">
        <v>367</v>
      </c>
      <c r="AG228" s="54">
        <f t="shared" si="62"/>
        <v>-20.306940196658417</v>
      </c>
    </row>
    <row r="229" spans="1:33" ht="15" customHeight="1">
      <c r="A229" s="32" t="s">
        <v>225</v>
      </c>
      <c r="B229" s="56"/>
      <c r="C229" s="57"/>
      <c r="D229" s="57"/>
      <c r="E229" s="58"/>
      <c r="F229" s="57"/>
      <c r="G229" s="57"/>
      <c r="H229" s="58"/>
      <c r="I229" s="58"/>
      <c r="J229" s="58"/>
      <c r="K229" s="58"/>
      <c r="L229" s="57"/>
      <c r="M229" s="57"/>
      <c r="N229" s="58"/>
      <c r="O229" s="57"/>
      <c r="P229" s="57"/>
      <c r="Q229" s="58"/>
      <c r="R229" s="57"/>
      <c r="S229" s="57"/>
      <c r="T229" s="58"/>
      <c r="U229" s="58"/>
      <c r="V229" s="58"/>
      <c r="W229" s="58"/>
      <c r="X229" s="75"/>
      <c r="Y229" s="75"/>
      <c r="Z229" s="58"/>
      <c r="AA229" s="58"/>
      <c r="AB229" s="58"/>
      <c r="AC229" s="58"/>
      <c r="AD229" s="58"/>
      <c r="AE229" s="58"/>
      <c r="AF229" s="58"/>
      <c r="AG229" s="58"/>
    </row>
    <row r="230" spans="1:33" ht="15" customHeight="1">
      <c r="A230" s="33" t="s">
        <v>226</v>
      </c>
      <c r="B230" s="52">
        <f>'Расчет субсидий'!AT230</f>
        <v>8.5272727272727025</v>
      </c>
      <c r="C230" s="54">
        <f>'Расчет субсидий'!D230-1</f>
        <v>-1</v>
      </c>
      <c r="D230" s="54">
        <f>C230*'Расчет субсидий'!E230</f>
        <v>0</v>
      </c>
      <c r="E230" s="55">
        <f t="shared" ref="E230:E237" si="79">$B230*D230/$AG230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4">
        <f>'Расчет субсидий'!P230-1</f>
        <v>-0.59117503656752812</v>
      </c>
      <c r="M230" s="54">
        <f>L230*'Расчет субсидий'!Q230</f>
        <v>-11.823500731350563</v>
      </c>
      <c r="N230" s="55">
        <f t="shared" ref="N230:N237" si="80">$B230*M230/$AG230</f>
        <v>-68.134592620675775</v>
      </c>
      <c r="O230" s="54">
        <f>'Расчет субсидий'!T230-1</f>
        <v>0.29545454545454541</v>
      </c>
      <c r="P230" s="54">
        <f>O230*'Расчет субсидий'!U230</f>
        <v>5.9090909090909083</v>
      </c>
      <c r="Q230" s="55">
        <f t="shared" ref="Q230:Q237" si="81">$B230*P230/$AG230</f>
        <v>34.051970816215139</v>
      </c>
      <c r="R230" s="54">
        <f>'Расчет субсидий'!X230-1</f>
        <v>0.30000000000000004</v>
      </c>
      <c r="S230" s="54">
        <f>R230*'Расчет субсидий'!Y230</f>
        <v>9.0000000000000018</v>
      </c>
      <c r="T230" s="55">
        <f t="shared" ref="T230:T237" si="82">$B230*S230/$AG230</f>
        <v>51.86377093546615</v>
      </c>
      <c r="U230" s="60" t="s">
        <v>385</v>
      </c>
      <c r="V230" s="60" t="s">
        <v>385</v>
      </c>
      <c r="W230" s="61" t="s">
        <v>385</v>
      </c>
      <c r="X230" s="73">
        <f>'Расчет субсидий'!AF230-1</f>
        <v>-8.0291970802919721E-2</v>
      </c>
      <c r="Y230" s="73">
        <f>X230*'Расчет субсидий'!AG230</f>
        <v>-1.6058394160583944</v>
      </c>
      <c r="Z230" s="55">
        <f t="shared" si="61"/>
        <v>-9.2538764037328072</v>
      </c>
      <c r="AA230" s="27" t="s">
        <v>367</v>
      </c>
      <c r="AB230" s="27" t="s">
        <v>367</v>
      </c>
      <c r="AC230" s="27" t="s">
        <v>367</v>
      </c>
      <c r="AD230" s="27" t="s">
        <v>367</v>
      </c>
      <c r="AE230" s="27" t="s">
        <v>367</v>
      </c>
      <c r="AF230" s="27" t="s">
        <v>367</v>
      </c>
      <c r="AG230" s="54">
        <f t="shared" si="62"/>
        <v>1.4797507616819523</v>
      </c>
    </row>
    <row r="231" spans="1:33" ht="15" customHeight="1">
      <c r="A231" s="33" t="s">
        <v>227</v>
      </c>
      <c r="B231" s="52">
        <f>'Расчет субсидий'!AT231</f>
        <v>-24.336363636363615</v>
      </c>
      <c r="C231" s="54">
        <f>'Расчет субсидий'!D231-1</f>
        <v>-1</v>
      </c>
      <c r="D231" s="54">
        <f>C231*'Расчет субсидий'!E231</f>
        <v>0</v>
      </c>
      <c r="E231" s="55">
        <f t="shared" si="79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4">
        <f>'Расчет субсидий'!P231-1</f>
        <v>-0.77995925171328029</v>
      </c>
      <c r="M231" s="54">
        <f>L231*'Расчет субсидий'!Q231</f>
        <v>-15.599185034265606</v>
      </c>
      <c r="N231" s="55">
        <f t="shared" si="80"/>
        <v>-57.422857820100965</v>
      </c>
      <c r="O231" s="54">
        <f>'Расчет субсидий'!T231-1</f>
        <v>-6.3793103448275934E-2</v>
      </c>
      <c r="P231" s="54">
        <f>O231*'Расчет субсидий'!U231</f>
        <v>-1.5948275862068984</v>
      </c>
      <c r="Q231" s="55">
        <f t="shared" si="81"/>
        <v>-5.8707911682031675</v>
      </c>
      <c r="R231" s="54">
        <f>'Расчет субсидий'!X231-1</f>
        <v>0.26200000000000001</v>
      </c>
      <c r="S231" s="54">
        <f>R231*'Расчет субсидий'!Y231</f>
        <v>6.5500000000000007</v>
      </c>
      <c r="T231" s="55">
        <f t="shared" si="82"/>
        <v>24.111497997841958</v>
      </c>
      <c r="U231" s="60" t="s">
        <v>385</v>
      </c>
      <c r="V231" s="60" t="s">
        <v>385</v>
      </c>
      <c r="W231" s="61" t="s">
        <v>385</v>
      </c>
      <c r="X231" s="73">
        <f>'Расчет субсидий'!AF231-1</f>
        <v>0.20164634146341465</v>
      </c>
      <c r="Y231" s="73">
        <f>X231*'Расчет субсидий'!AG231</f>
        <v>4.0329268292682929</v>
      </c>
      <c r="Z231" s="55">
        <f t="shared" si="61"/>
        <v>14.845787354098558</v>
      </c>
      <c r="AA231" s="27" t="s">
        <v>367</v>
      </c>
      <c r="AB231" s="27" t="s">
        <v>367</v>
      </c>
      <c r="AC231" s="27" t="s">
        <v>367</v>
      </c>
      <c r="AD231" s="27" t="s">
        <v>367</v>
      </c>
      <c r="AE231" s="27" t="s">
        <v>367</v>
      </c>
      <c r="AF231" s="27" t="s">
        <v>367</v>
      </c>
      <c r="AG231" s="54">
        <f t="shared" si="62"/>
        <v>-6.6110857912042089</v>
      </c>
    </row>
    <row r="232" spans="1:33" ht="15" customHeight="1">
      <c r="A232" s="33" t="s">
        <v>228</v>
      </c>
      <c r="B232" s="52">
        <f>'Расчет субсидий'!AT232</f>
        <v>94.209090909090833</v>
      </c>
      <c r="C232" s="54">
        <f>'Расчет субсидий'!D232-1</f>
        <v>-1</v>
      </c>
      <c r="D232" s="54">
        <f>C232*'Расчет субсидий'!E232</f>
        <v>0</v>
      </c>
      <c r="E232" s="55">
        <f t="shared" si="79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4">
        <f>'Расчет субсидий'!P232-1</f>
        <v>-5.2276774357669864E-2</v>
      </c>
      <c r="M232" s="54">
        <f>L232*'Расчет субсидий'!Q232</f>
        <v>-1.0455354871533973</v>
      </c>
      <c r="N232" s="55">
        <f t="shared" si="80"/>
        <v>-9.8796653574499924</v>
      </c>
      <c r="O232" s="54">
        <f>'Расчет субсидий'!T232-1</f>
        <v>0.20666666666666655</v>
      </c>
      <c r="P232" s="54">
        <f>O232*'Расчет субсидий'!U232</f>
        <v>3.0999999999999983</v>
      </c>
      <c r="Q232" s="55">
        <f t="shared" si="81"/>
        <v>29.293087594263056</v>
      </c>
      <c r="R232" s="54">
        <f>'Расчет субсидий'!X232-1</f>
        <v>0.19199999999999995</v>
      </c>
      <c r="S232" s="54">
        <f>R232*'Расчет субсидий'!Y232</f>
        <v>6.719999999999998</v>
      </c>
      <c r="T232" s="55">
        <f t="shared" si="82"/>
        <v>63.499854397886381</v>
      </c>
      <c r="U232" s="60" t="s">
        <v>385</v>
      </c>
      <c r="V232" s="60" t="s">
        <v>385</v>
      </c>
      <c r="W232" s="61" t="s">
        <v>385</v>
      </c>
      <c r="X232" s="73">
        <f>'Расчет субсидий'!AF232-1</f>
        <v>5.9770114942528707E-2</v>
      </c>
      <c r="Y232" s="73">
        <f>X232*'Расчет субсидий'!AG232</f>
        <v>1.1954022988505741</v>
      </c>
      <c r="Z232" s="55">
        <f t="shared" si="61"/>
        <v>11.295814274391391</v>
      </c>
      <c r="AA232" s="27" t="s">
        <v>367</v>
      </c>
      <c r="AB232" s="27" t="s">
        <v>367</v>
      </c>
      <c r="AC232" s="27" t="s">
        <v>367</v>
      </c>
      <c r="AD232" s="27" t="s">
        <v>367</v>
      </c>
      <c r="AE232" s="27" t="s">
        <v>367</v>
      </c>
      <c r="AF232" s="27" t="s">
        <v>367</v>
      </c>
      <c r="AG232" s="54">
        <f t="shared" si="62"/>
        <v>9.9698668116971731</v>
      </c>
    </row>
    <row r="233" spans="1:33" ht="15" customHeight="1">
      <c r="A233" s="33" t="s">
        <v>229</v>
      </c>
      <c r="B233" s="52">
        <f>'Расчет субсидий'!AT233</f>
        <v>-131.60000000000002</v>
      </c>
      <c r="C233" s="54">
        <f>'Расчет субсидий'!D233-1</f>
        <v>-0.90288203753351204</v>
      </c>
      <c r="D233" s="54">
        <f>C233*'Расчет субсидий'!E233</f>
        <v>-9.0288203753351208</v>
      </c>
      <c r="E233" s="55">
        <f t="shared" si="79"/>
        <v>-54.157882346368197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4">
        <f>'Расчет субсидий'!P233-1</f>
        <v>-0.55285620485883125</v>
      </c>
      <c r="M233" s="54">
        <f>L233*'Расчет субсидий'!Q233</f>
        <v>-11.057124097176626</v>
      </c>
      <c r="N233" s="55">
        <f t="shared" si="80"/>
        <v>-66.324325997221734</v>
      </c>
      <c r="O233" s="54">
        <f>'Расчет субсидий'!T233-1</f>
        <v>-0.35555555555555562</v>
      </c>
      <c r="P233" s="54">
        <f>O233*'Расчет субсидий'!U233</f>
        <v>-5.3333333333333339</v>
      </c>
      <c r="Q233" s="55">
        <f t="shared" si="81"/>
        <v>-31.991115912515824</v>
      </c>
      <c r="R233" s="54">
        <f>'Расчет субсидий'!X233-1</f>
        <v>0.15384615384615374</v>
      </c>
      <c r="S233" s="54">
        <f>R233*'Расчет субсидий'!Y233</f>
        <v>5.3846153846153815</v>
      </c>
      <c r="T233" s="55">
        <f t="shared" si="82"/>
        <v>32.298722796289987</v>
      </c>
      <c r="U233" s="60" t="s">
        <v>385</v>
      </c>
      <c r="V233" s="60" t="s">
        <v>385</v>
      </c>
      <c r="W233" s="61" t="s">
        <v>385</v>
      </c>
      <c r="X233" s="73">
        <f>'Расчет субсидий'!AF233-1</f>
        <v>-9.5238095238095233E-2</v>
      </c>
      <c r="Y233" s="73">
        <f>X233*'Расчет субсидий'!AG233</f>
        <v>-1.9047619047619047</v>
      </c>
      <c r="Z233" s="55">
        <f t="shared" si="61"/>
        <v>-11.425398540184219</v>
      </c>
      <c r="AA233" s="27" t="s">
        <v>367</v>
      </c>
      <c r="AB233" s="27" t="s">
        <v>367</v>
      </c>
      <c r="AC233" s="27" t="s">
        <v>367</v>
      </c>
      <c r="AD233" s="27" t="s">
        <v>367</v>
      </c>
      <c r="AE233" s="27" t="s">
        <v>367</v>
      </c>
      <c r="AF233" s="27" t="s">
        <v>367</v>
      </c>
      <c r="AG233" s="54">
        <f t="shared" si="62"/>
        <v>-21.93942432599161</v>
      </c>
    </row>
    <row r="234" spans="1:33" ht="15" customHeight="1">
      <c r="A234" s="33" t="s">
        <v>230</v>
      </c>
      <c r="B234" s="52">
        <f>'Расчет субсидий'!AT234</f>
        <v>-16.072727272727292</v>
      </c>
      <c r="C234" s="54">
        <f>'Расчет субсидий'!D234-1</f>
        <v>-1</v>
      </c>
      <c r="D234" s="54">
        <f>C234*'Расчет субсидий'!E234</f>
        <v>0</v>
      </c>
      <c r="E234" s="55">
        <f t="shared" si="79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4">
        <f>'Расчет субсидий'!P234-1</f>
        <v>-0.24416594641313738</v>
      </c>
      <c r="M234" s="54">
        <f>L234*'Расчет субсидий'!Q234</f>
        <v>-4.8833189282627476</v>
      </c>
      <c r="N234" s="55">
        <f t="shared" si="80"/>
        <v>-12.864263547461421</v>
      </c>
      <c r="O234" s="54">
        <f>'Расчет субсидий'!T234-1</f>
        <v>0.28200000000000003</v>
      </c>
      <c r="P234" s="54">
        <f>O234*'Расчет субсидий'!U234</f>
        <v>5.6400000000000006</v>
      </c>
      <c r="Q234" s="55">
        <f t="shared" si="81"/>
        <v>14.857609644900633</v>
      </c>
      <c r="R234" s="54">
        <f>'Расчет субсидий'!X234-1</f>
        <v>-0.3666666666666667</v>
      </c>
      <c r="S234" s="54">
        <f>R234*'Расчет субсидий'!Y234</f>
        <v>-11</v>
      </c>
      <c r="T234" s="55">
        <f t="shared" si="82"/>
        <v>-28.977607463458678</v>
      </c>
      <c r="U234" s="60" t="s">
        <v>385</v>
      </c>
      <c r="V234" s="60" t="s">
        <v>385</v>
      </c>
      <c r="W234" s="61" t="s">
        <v>385</v>
      </c>
      <c r="X234" s="73">
        <f>'Расчет субсидий'!AF234-1</f>
        <v>0.2071028037383178</v>
      </c>
      <c r="Y234" s="73">
        <f>X234*'Расчет субсидий'!AG234</f>
        <v>4.142056074766356</v>
      </c>
      <c r="Z234" s="55">
        <f t="shared" si="61"/>
        <v>10.911534093292174</v>
      </c>
      <c r="AA234" s="27" t="s">
        <v>367</v>
      </c>
      <c r="AB234" s="27" t="s">
        <v>367</v>
      </c>
      <c r="AC234" s="27" t="s">
        <v>367</v>
      </c>
      <c r="AD234" s="27" t="s">
        <v>367</v>
      </c>
      <c r="AE234" s="27" t="s">
        <v>367</v>
      </c>
      <c r="AF234" s="27" t="s">
        <v>367</v>
      </c>
      <c r="AG234" s="54">
        <f t="shared" si="62"/>
        <v>-6.1012628534963911</v>
      </c>
    </row>
    <row r="235" spans="1:33" ht="15" customHeight="1">
      <c r="A235" s="33" t="s">
        <v>231</v>
      </c>
      <c r="B235" s="52">
        <f>'Расчет субсидий'!AT235</f>
        <v>-66.18181818181813</v>
      </c>
      <c r="C235" s="54">
        <f>'Расчет субсидий'!D235-1</f>
        <v>-1</v>
      </c>
      <c r="D235" s="54">
        <f>C235*'Расчет субсидий'!E235</f>
        <v>0</v>
      </c>
      <c r="E235" s="55">
        <f t="shared" si="79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4">
        <f>'Расчет субсидий'!P235-1</f>
        <v>-0.67088129835818078</v>
      </c>
      <c r="M235" s="54">
        <f>L235*'Расчет субсидий'!Q235</f>
        <v>-13.417625967163616</v>
      </c>
      <c r="N235" s="55">
        <f t="shared" si="80"/>
        <v>-85.245170298841188</v>
      </c>
      <c r="O235" s="54">
        <f>'Расчет субсидий'!T235-1</f>
        <v>8.0000000000000071E-3</v>
      </c>
      <c r="P235" s="54">
        <f>O235*'Расчет субсидий'!U235</f>
        <v>0.16000000000000014</v>
      </c>
      <c r="Q235" s="55">
        <f t="shared" si="81"/>
        <v>1.0165156847562529</v>
      </c>
      <c r="R235" s="54">
        <f>'Расчет субсидий'!X235-1</f>
        <v>0.30000000000000004</v>
      </c>
      <c r="S235" s="54">
        <f>R235*'Расчет субсидий'!Y235</f>
        <v>9.0000000000000018</v>
      </c>
      <c r="T235" s="55">
        <f t="shared" si="82"/>
        <v>57.179007267539177</v>
      </c>
      <c r="U235" s="60" t="s">
        <v>385</v>
      </c>
      <c r="V235" s="60" t="s">
        <v>385</v>
      </c>
      <c r="W235" s="61" t="s">
        <v>385</v>
      </c>
      <c r="X235" s="73">
        <f>'Расчет субсидий'!AF235-1</f>
        <v>-0.30797101449275366</v>
      </c>
      <c r="Y235" s="73">
        <f>X235*'Расчет субсидий'!AG235</f>
        <v>-6.1594202898550732</v>
      </c>
      <c r="Z235" s="55">
        <f t="shared" si="61"/>
        <v>-39.132170835272383</v>
      </c>
      <c r="AA235" s="27" t="s">
        <v>367</v>
      </c>
      <c r="AB235" s="27" t="s">
        <v>367</v>
      </c>
      <c r="AC235" s="27" t="s">
        <v>367</v>
      </c>
      <c r="AD235" s="27" t="s">
        <v>367</v>
      </c>
      <c r="AE235" s="27" t="s">
        <v>367</v>
      </c>
      <c r="AF235" s="27" t="s">
        <v>367</v>
      </c>
      <c r="AG235" s="54">
        <f t="shared" si="62"/>
        <v>-10.417046257018686</v>
      </c>
    </row>
    <row r="236" spans="1:33" ht="15" customHeight="1">
      <c r="A236" s="33" t="s">
        <v>232</v>
      </c>
      <c r="B236" s="52">
        <f>'Расчет субсидий'!AT236</f>
        <v>162.41818181818167</v>
      </c>
      <c r="C236" s="54">
        <f>'Расчет субсидий'!D236-1</f>
        <v>0.21440684875662441</v>
      </c>
      <c r="D236" s="54">
        <f>C236*'Расчет субсидий'!E236</f>
        <v>2.1440684875662441</v>
      </c>
      <c r="E236" s="55">
        <f t="shared" si="79"/>
        <v>28.666565986690802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4">
        <f>'Расчет субсидий'!P236-1</f>
        <v>0.30000000000000004</v>
      </c>
      <c r="M236" s="54">
        <f>L236*'Расчет субсидий'!Q236</f>
        <v>6.0000000000000009</v>
      </c>
      <c r="N236" s="55">
        <f t="shared" si="80"/>
        <v>80.221036276403311</v>
      </c>
      <c r="O236" s="54">
        <f>'Расчет субсидий'!T236-1</f>
        <v>0.19999999999999996</v>
      </c>
      <c r="P236" s="54">
        <f>O236*'Расчет субсидий'!U236</f>
        <v>2.9999999999999991</v>
      </c>
      <c r="Q236" s="55">
        <f t="shared" si="81"/>
        <v>40.110518138201634</v>
      </c>
      <c r="R236" s="54">
        <f>'Расчет субсидий'!X236-1</f>
        <v>0.10714285714285721</v>
      </c>
      <c r="S236" s="54">
        <f>R236*'Расчет субсидий'!Y236</f>
        <v>3.7500000000000022</v>
      </c>
      <c r="T236" s="55">
        <f t="shared" si="82"/>
        <v>50.138147672752098</v>
      </c>
      <c r="U236" s="60" t="s">
        <v>385</v>
      </c>
      <c r="V236" s="60" t="s">
        <v>385</v>
      </c>
      <c r="W236" s="61" t="s">
        <v>385</v>
      </c>
      <c r="X236" s="73">
        <f>'Расчет субсидий'!AF236-1</f>
        <v>-0.13731343283582087</v>
      </c>
      <c r="Y236" s="73">
        <f>X236*'Расчет субсидий'!AG236</f>
        <v>-2.7462686567164174</v>
      </c>
      <c r="Z236" s="55">
        <f t="shared" si="61"/>
        <v>-36.718086255866183</v>
      </c>
      <c r="AA236" s="27" t="s">
        <v>367</v>
      </c>
      <c r="AB236" s="27" t="s">
        <v>367</v>
      </c>
      <c r="AC236" s="27" t="s">
        <v>367</v>
      </c>
      <c r="AD236" s="27" t="s">
        <v>367</v>
      </c>
      <c r="AE236" s="27" t="s">
        <v>367</v>
      </c>
      <c r="AF236" s="27" t="s">
        <v>367</v>
      </c>
      <c r="AG236" s="54">
        <f t="shared" si="62"/>
        <v>12.147799830849829</v>
      </c>
    </row>
    <row r="237" spans="1:33" ht="15" customHeight="1">
      <c r="A237" s="33" t="s">
        <v>233</v>
      </c>
      <c r="B237" s="52">
        <f>'Расчет субсидий'!AT237</f>
        <v>18.390909090909076</v>
      </c>
      <c r="C237" s="54">
        <f>'Расчет субсидий'!D237-1</f>
        <v>0.22576614467311673</v>
      </c>
      <c r="D237" s="54">
        <f>C237*'Расчет субсидий'!E237</f>
        <v>2.2576614467311673</v>
      </c>
      <c r="E237" s="55">
        <f t="shared" si="79"/>
        <v>13.673269499003847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4">
        <f>'Расчет субсидий'!P237-1</f>
        <v>-0.16771902131018157</v>
      </c>
      <c r="M237" s="54">
        <f>L237*'Расчет субсидий'!Q237</f>
        <v>-3.3543804262036314</v>
      </c>
      <c r="N237" s="55">
        <f t="shared" si="80"/>
        <v>-20.31542312780039</v>
      </c>
      <c r="O237" s="54">
        <f>'Расчет субсидий'!T237-1</f>
        <v>5.3333333333333455E-2</v>
      </c>
      <c r="P237" s="54">
        <f>O237*'Расчет субсидий'!U237</f>
        <v>0.53333333333333455</v>
      </c>
      <c r="Q237" s="55">
        <f t="shared" si="81"/>
        <v>3.2300726089942771</v>
      </c>
      <c r="R237" s="54">
        <f>'Расчет субсидий'!X237-1</f>
        <v>9.000000000000008E-2</v>
      </c>
      <c r="S237" s="54">
        <f>R237*'Расчет субсидий'!Y237</f>
        <v>3.6000000000000032</v>
      </c>
      <c r="T237" s="55">
        <f t="shared" si="82"/>
        <v>21.802990110711342</v>
      </c>
      <c r="U237" s="60" t="s">
        <v>385</v>
      </c>
      <c r="V237" s="60" t="s">
        <v>385</v>
      </c>
      <c r="W237" s="61" t="s">
        <v>385</v>
      </c>
      <c r="X237" s="73">
        <f>'Расчет субсидий'!AF237-1</f>
        <v>0</v>
      </c>
      <c r="Y237" s="73">
        <f>X237*'Расчет субсидий'!AG237</f>
        <v>0</v>
      </c>
      <c r="Z237" s="55">
        <f t="shared" si="61"/>
        <v>0</v>
      </c>
      <c r="AA237" s="27" t="s">
        <v>367</v>
      </c>
      <c r="AB237" s="27" t="s">
        <v>367</v>
      </c>
      <c r="AC237" s="27" t="s">
        <v>367</v>
      </c>
      <c r="AD237" s="27" t="s">
        <v>367</v>
      </c>
      <c r="AE237" s="27" t="s">
        <v>367</v>
      </c>
      <c r="AF237" s="27" t="s">
        <v>367</v>
      </c>
      <c r="AG237" s="54">
        <f t="shared" si="62"/>
        <v>3.0366143538608736</v>
      </c>
    </row>
    <row r="238" spans="1:33" ht="15" customHeight="1">
      <c r="A238" s="32" t="s">
        <v>234</v>
      </c>
      <c r="B238" s="56"/>
      <c r="C238" s="57"/>
      <c r="D238" s="57"/>
      <c r="E238" s="58"/>
      <c r="F238" s="57"/>
      <c r="G238" s="57"/>
      <c r="H238" s="58"/>
      <c r="I238" s="58"/>
      <c r="J238" s="58"/>
      <c r="K238" s="58"/>
      <c r="L238" s="57"/>
      <c r="M238" s="57"/>
      <c r="N238" s="58"/>
      <c r="O238" s="57"/>
      <c r="P238" s="57"/>
      <c r="Q238" s="58"/>
      <c r="R238" s="57"/>
      <c r="S238" s="57"/>
      <c r="T238" s="58"/>
      <c r="U238" s="58"/>
      <c r="V238" s="58"/>
      <c r="W238" s="58"/>
      <c r="X238" s="75"/>
      <c r="Y238" s="75"/>
      <c r="Z238" s="58"/>
      <c r="AA238" s="58"/>
      <c r="AB238" s="58"/>
      <c r="AC238" s="58"/>
      <c r="AD238" s="58"/>
      <c r="AE238" s="58"/>
      <c r="AF238" s="58"/>
      <c r="AG238" s="58"/>
    </row>
    <row r="239" spans="1:33" ht="15" customHeight="1">
      <c r="A239" s="33" t="s">
        <v>235</v>
      </c>
      <c r="B239" s="52">
        <f>'Расчет субсидий'!AT239</f>
        <v>8.863636363636374</v>
      </c>
      <c r="C239" s="54">
        <f>'Расчет субсидий'!D239-1</f>
        <v>1.0993106018259757E-2</v>
      </c>
      <c r="D239" s="54">
        <f>C239*'Расчет субсидий'!E239</f>
        <v>0.10993106018259757</v>
      </c>
      <c r="E239" s="55">
        <f t="shared" ref="E239:E253" si="83">$B239*D239/$AG239</f>
        <v>0.29420010999008783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4">
        <f>'Расчет субсидий'!P239-1</f>
        <v>-0.43876114500234631</v>
      </c>
      <c r="M239" s="54">
        <f>L239*'Расчет субсидий'!Q239</f>
        <v>-8.7752229000469271</v>
      </c>
      <c r="N239" s="55">
        <f t="shared" ref="N239:N253" si="84">$B239*M239/$AG239</f>
        <v>-23.484459606712953</v>
      </c>
      <c r="O239" s="54">
        <f>'Расчет субсидий'!T239-1</f>
        <v>-6.5292096219931373E-2</v>
      </c>
      <c r="P239" s="54">
        <f>O239*'Расчет субсидий'!U239</f>
        <v>-1.3058419243986275</v>
      </c>
      <c r="Q239" s="55">
        <f t="shared" ref="Q239:Q253" si="85">$B239*P239/$AG239</f>
        <v>-3.4947251227234215</v>
      </c>
      <c r="R239" s="54">
        <f>'Расчет субсидий'!X239-1</f>
        <v>0.30000000000000004</v>
      </c>
      <c r="S239" s="54">
        <f>R239*'Расчет субсидий'!Y239</f>
        <v>9.0000000000000018</v>
      </c>
      <c r="T239" s="55">
        <f t="shared" ref="T239:T253" si="86">$B239*S239/$AG239</f>
        <v>24.086013411612182</v>
      </c>
      <c r="U239" s="60" t="s">
        <v>385</v>
      </c>
      <c r="V239" s="60" t="s">
        <v>385</v>
      </c>
      <c r="W239" s="61" t="s">
        <v>385</v>
      </c>
      <c r="X239" s="73">
        <f>'Расчет субсидий'!AF239-1</f>
        <v>0.21415637860082293</v>
      </c>
      <c r="Y239" s="73">
        <f>X239*'Расчет субсидий'!AG239</f>
        <v>4.2831275720164586</v>
      </c>
      <c r="Z239" s="55">
        <f t="shared" si="61"/>
        <v>11.46260757147048</v>
      </c>
      <c r="AA239" s="27" t="s">
        <v>367</v>
      </c>
      <c r="AB239" s="27" t="s">
        <v>367</v>
      </c>
      <c r="AC239" s="27" t="s">
        <v>367</v>
      </c>
      <c r="AD239" s="27" t="s">
        <v>367</v>
      </c>
      <c r="AE239" s="27" t="s">
        <v>367</v>
      </c>
      <c r="AF239" s="27" t="s">
        <v>367</v>
      </c>
      <c r="AG239" s="54">
        <f t="shared" si="62"/>
        <v>3.3119938077535034</v>
      </c>
    </row>
    <row r="240" spans="1:33" ht="15" customHeight="1">
      <c r="A240" s="33" t="s">
        <v>236</v>
      </c>
      <c r="B240" s="52">
        <f>'Расчет субсидий'!AT240</f>
        <v>7.4363636363636374</v>
      </c>
      <c r="C240" s="54">
        <f>'Расчет субсидий'!D240-1</f>
        <v>-1</v>
      </c>
      <c r="D240" s="54">
        <f>C240*'Расчет субсидий'!E240</f>
        <v>0</v>
      </c>
      <c r="E240" s="55">
        <f t="shared" si="83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4">
        <f>'Расчет субсидий'!P240-1</f>
        <v>-0.46980609418282548</v>
      </c>
      <c r="M240" s="54">
        <f>L240*'Расчет субсидий'!Q240</f>
        <v>-9.3961218836565088</v>
      </c>
      <c r="N240" s="55">
        <f t="shared" si="84"/>
        <v>-40.500001204353701</v>
      </c>
      <c r="O240" s="54">
        <f>'Расчет субсидий'!T240-1</f>
        <v>2.2099447513812098E-2</v>
      </c>
      <c r="P240" s="54">
        <f>O240*'Расчет субсидий'!U240</f>
        <v>0.22099447513812098</v>
      </c>
      <c r="Q240" s="55">
        <f t="shared" si="85"/>
        <v>0.95255006481103732</v>
      </c>
      <c r="R240" s="54">
        <f>'Расчет субсидий'!X240-1</f>
        <v>0.20108108108108103</v>
      </c>
      <c r="S240" s="54">
        <f>R240*'Расчет субсидий'!Y240</f>
        <v>8.043243243243241</v>
      </c>
      <c r="T240" s="55">
        <f t="shared" si="86"/>
        <v>34.668703223706437</v>
      </c>
      <c r="U240" s="60" t="s">
        <v>385</v>
      </c>
      <c r="V240" s="60" t="s">
        <v>385</v>
      </c>
      <c r="W240" s="61" t="s">
        <v>385</v>
      </c>
      <c r="X240" s="73">
        <f>'Расчет субсидий'!AF240-1</f>
        <v>0.14285714285714279</v>
      </c>
      <c r="Y240" s="73">
        <f>X240*'Расчет субсидий'!AG240</f>
        <v>2.8571428571428559</v>
      </c>
      <c r="Z240" s="55">
        <f t="shared" ref="Z240:Z303" si="87">$B240*Y240/$AG240</f>
        <v>12.315111552199864</v>
      </c>
      <c r="AA240" s="27" t="s">
        <v>367</v>
      </c>
      <c r="AB240" s="27" t="s">
        <v>367</v>
      </c>
      <c r="AC240" s="27" t="s">
        <v>367</v>
      </c>
      <c r="AD240" s="27" t="s">
        <v>367</v>
      </c>
      <c r="AE240" s="27" t="s">
        <v>367</v>
      </c>
      <c r="AF240" s="27" t="s">
        <v>367</v>
      </c>
      <c r="AG240" s="54">
        <f t="shared" ref="AG240:AG303" si="88">D240+M240+P240+S240+Y240</f>
        <v>1.7252586918677082</v>
      </c>
    </row>
    <row r="241" spans="1:33" ht="15" customHeight="1">
      <c r="A241" s="33" t="s">
        <v>237</v>
      </c>
      <c r="B241" s="52">
        <f>'Расчет субсидий'!AT241</f>
        <v>-5.4454545454545382</v>
      </c>
      <c r="C241" s="54">
        <f>'Расчет субсидий'!D241-1</f>
        <v>-0.21900753212228619</v>
      </c>
      <c r="D241" s="54">
        <f>C241*'Расчет субсидий'!E241</f>
        <v>-2.1900753212228619</v>
      </c>
      <c r="E241" s="55">
        <f t="shared" si="83"/>
        <v>-6.5241612405624156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4">
        <f>'Расчет субсидий'!P241-1</f>
        <v>-0.1015960712093309</v>
      </c>
      <c r="M241" s="54">
        <f>L241*'Расчет субсидий'!Q241</f>
        <v>-2.0319214241866179</v>
      </c>
      <c r="N241" s="55">
        <f t="shared" si="84"/>
        <v>-6.0530260631148982</v>
      </c>
      <c r="O241" s="54">
        <f>'Расчет субсидий'!T241-1</f>
        <v>7.5258701787392912E-3</v>
      </c>
      <c r="P241" s="54">
        <f>O241*'Расчет субсидий'!U241</f>
        <v>0.18814675446848228</v>
      </c>
      <c r="Q241" s="55">
        <f t="shared" si="85"/>
        <v>0.56048289807470753</v>
      </c>
      <c r="R241" s="54">
        <f>'Расчет субсидий'!X241-1</f>
        <v>8.8235294117647189E-2</v>
      </c>
      <c r="S241" s="54">
        <f>R241*'Расчет субсидий'!Y241</f>
        <v>2.2058823529411797</v>
      </c>
      <c r="T241" s="55">
        <f t="shared" si="86"/>
        <v>6.5712498601480682</v>
      </c>
      <c r="U241" s="60" t="s">
        <v>385</v>
      </c>
      <c r="V241" s="60" t="s">
        <v>385</v>
      </c>
      <c r="W241" s="61" t="s">
        <v>385</v>
      </c>
      <c r="X241" s="73">
        <f>'Расчет субсидий'!AF241-1</f>
        <v>0</v>
      </c>
      <c r="Y241" s="73">
        <f>X241*'Расчет субсидий'!AG241</f>
        <v>0</v>
      </c>
      <c r="Z241" s="55">
        <f t="shared" si="87"/>
        <v>0</v>
      </c>
      <c r="AA241" s="27" t="s">
        <v>367</v>
      </c>
      <c r="AB241" s="27" t="s">
        <v>367</v>
      </c>
      <c r="AC241" s="27" t="s">
        <v>367</v>
      </c>
      <c r="AD241" s="27" t="s">
        <v>367</v>
      </c>
      <c r="AE241" s="27" t="s">
        <v>367</v>
      </c>
      <c r="AF241" s="27" t="s">
        <v>367</v>
      </c>
      <c r="AG241" s="54">
        <f t="shared" si="88"/>
        <v>-1.827967637999818</v>
      </c>
    </row>
    <row r="242" spans="1:33" ht="15" customHeight="1">
      <c r="A242" s="33" t="s">
        <v>238</v>
      </c>
      <c r="B242" s="52">
        <f>'Расчет субсидий'!AT242</f>
        <v>40.763636363636351</v>
      </c>
      <c r="C242" s="54">
        <f>'Расчет субсидий'!D242-1</f>
        <v>-1</v>
      </c>
      <c r="D242" s="54">
        <f>C242*'Расчет субсидий'!E242</f>
        <v>0</v>
      </c>
      <c r="E242" s="55">
        <f t="shared" si="83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4">
        <f>'Расчет субсидий'!P242-1</f>
        <v>0.203352165725047</v>
      </c>
      <c r="M242" s="54">
        <f>L242*'Расчет субсидий'!Q242</f>
        <v>4.0670433145009399</v>
      </c>
      <c r="N242" s="55">
        <f t="shared" si="84"/>
        <v>16.626804855508354</v>
      </c>
      <c r="O242" s="54">
        <f>'Расчет субсидий'!T242-1</f>
        <v>3.597122302158251E-3</v>
      </c>
      <c r="P242" s="54">
        <f>O242*'Расчет субсидий'!U242</f>
        <v>7.194244604316502E-2</v>
      </c>
      <c r="Q242" s="55">
        <f t="shared" si="85"/>
        <v>0.29411366407697687</v>
      </c>
      <c r="R242" s="54">
        <f>'Расчет субсидий'!X242-1</f>
        <v>0.20432432432432424</v>
      </c>
      <c r="S242" s="54">
        <f>R242*'Расчет субсидий'!Y242</f>
        <v>6.1297297297297266</v>
      </c>
      <c r="T242" s="55">
        <f t="shared" si="86"/>
        <v>25.059438061512335</v>
      </c>
      <c r="U242" s="60" t="s">
        <v>385</v>
      </c>
      <c r="V242" s="60" t="s">
        <v>385</v>
      </c>
      <c r="W242" s="61" t="s">
        <v>385</v>
      </c>
      <c r="X242" s="73">
        <f>'Расчет субсидий'!AF242-1</f>
        <v>-1.4880952380952328E-2</v>
      </c>
      <c r="Y242" s="73">
        <f>X242*'Расчет субсидий'!AG242</f>
        <v>-0.29761904761904656</v>
      </c>
      <c r="Z242" s="55">
        <f t="shared" si="87"/>
        <v>-1.2167202174613063</v>
      </c>
      <c r="AA242" s="27" t="s">
        <v>367</v>
      </c>
      <c r="AB242" s="27" t="s">
        <v>367</v>
      </c>
      <c r="AC242" s="27" t="s">
        <v>367</v>
      </c>
      <c r="AD242" s="27" t="s">
        <v>367</v>
      </c>
      <c r="AE242" s="27" t="s">
        <v>367</v>
      </c>
      <c r="AF242" s="27" t="s">
        <v>367</v>
      </c>
      <c r="AG242" s="54">
        <f t="shared" si="88"/>
        <v>9.9710964426547832</v>
      </c>
    </row>
    <row r="243" spans="1:33" ht="15" customHeight="1">
      <c r="A243" s="33" t="s">
        <v>239</v>
      </c>
      <c r="B243" s="52">
        <f>'Расчет субсидий'!AT243</f>
        <v>22.23636363636362</v>
      </c>
      <c r="C243" s="54">
        <f>'Расчет субсидий'!D243-1</f>
        <v>-1</v>
      </c>
      <c r="D243" s="54">
        <f>C243*'Расчет субсидий'!E243</f>
        <v>0</v>
      </c>
      <c r="E243" s="55">
        <f t="shared" si="83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4">
        <f>'Расчет субсидий'!P243-1</f>
        <v>-3.6451169188445709E-2</v>
      </c>
      <c r="M243" s="54">
        <f>L243*'Расчет субсидий'!Q243</f>
        <v>-0.72902338376891418</v>
      </c>
      <c r="N243" s="55">
        <f t="shared" si="84"/>
        <v>-1.8093224670891614</v>
      </c>
      <c r="O243" s="54">
        <f>'Расчет субсидий'!T243-1</f>
        <v>7.9545454545454364E-2</v>
      </c>
      <c r="P243" s="54">
        <f>O243*'Расчет субсидий'!U243</f>
        <v>1.9886363636363591</v>
      </c>
      <c r="Q243" s="55">
        <f t="shared" si="85"/>
        <v>4.9354856534180485</v>
      </c>
      <c r="R243" s="54">
        <f>'Расчет субсидий'!X243-1</f>
        <v>0.30000000000000004</v>
      </c>
      <c r="S243" s="54">
        <f>R243*'Расчет субсидий'!Y243</f>
        <v>7.5000000000000009</v>
      </c>
      <c r="T243" s="55">
        <f t="shared" si="86"/>
        <v>18.613831607176685</v>
      </c>
      <c r="U243" s="60" t="s">
        <v>385</v>
      </c>
      <c r="V243" s="60" t="s">
        <v>385</v>
      </c>
      <c r="W243" s="61" t="s">
        <v>385</v>
      </c>
      <c r="X243" s="73">
        <f>'Расчет субсидий'!AF243-1</f>
        <v>1.0000000000000009E-2</v>
      </c>
      <c r="Y243" s="73">
        <f>X243*'Расчет субсидий'!AG243</f>
        <v>0.20000000000000018</v>
      </c>
      <c r="Z243" s="55">
        <f t="shared" si="87"/>
        <v>0.49636884285804533</v>
      </c>
      <c r="AA243" s="27" t="s">
        <v>367</v>
      </c>
      <c r="AB243" s="27" t="s">
        <v>367</v>
      </c>
      <c r="AC243" s="27" t="s">
        <v>367</v>
      </c>
      <c r="AD243" s="27" t="s">
        <v>367</v>
      </c>
      <c r="AE243" s="27" t="s">
        <v>367</v>
      </c>
      <c r="AF243" s="27" t="s">
        <v>367</v>
      </c>
      <c r="AG243" s="54">
        <f t="shared" si="88"/>
        <v>8.9596129798674475</v>
      </c>
    </row>
    <row r="244" spans="1:33" ht="15" customHeight="1">
      <c r="A244" s="33" t="s">
        <v>240</v>
      </c>
      <c r="B244" s="52">
        <f>'Расчет субсидий'!AT244</f>
        <v>1.8454545454545723</v>
      </c>
      <c r="C244" s="54">
        <f>'Расчет субсидий'!D244-1</f>
        <v>-1</v>
      </c>
      <c r="D244" s="54">
        <f>C244*'Расчет субсидий'!E244</f>
        <v>0</v>
      </c>
      <c r="E244" s="55">
        <f t="shared" si="83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4">
        <f>'Расчет субсидий'!P244-1</f>
        <v>-7.0742799393633149E-2</v>
      </c>
      <c r="M244" s="54">
        <f>L244*'Расчет субсидий'!Q244</f>
        <v>-1.414855987872663</v>
      </c>
      <c r="N244" s="55">
        <f t="shared" si="84"/>
        <v>-4.5985411830364447</v>
      </c>
      <c r="O244" s="54">
        <f>'Расчет субсидий'!T244-1</f>
        <v>1.3584117032392928E-2</v>
      </c>
      <c r="P244" s="54">
        <f>O244*'Расчет субсидий'!U244</f>
        <v>0.54336468129571713</v>
      </c>
      <c r="Q244" s="55">
        <f t="shared" si="85"/>
        <v>1.766034766621569</v>
      </c>
      <c r="R244" s="54">
        <f>'Расчет субсидий'!X244-1</f>
        <v>0.23652173913043484</v>
      </c>
      <c r="S244" s="54">
        <f>R244*'Расчет субсидий'!Y244</f>
        <v>2.3652173913043484</v>
      </c>
      <c r="T244" s="55">
        <f t="shared" si="86"/>
        <v>7.6873898643923058</v>
      </c>
      <c r="U244" s="60" t="s">
        <v>385</v>
      </c>
      <c r="V244" s="60" t="s">
        <v>385</v>
      </c>
      <c r="W244" s="61" t="s">
        <v>385</v>
      </c>
      <c r="X244" s="73">
        <f>'Расчет субсидий'!AF244-1</f>
        <v>-4.629629629629628E-2</v>
      </c>
      <c r="Y244" s="73">
        <f>X244*'Расчет субсидий'!AG244</f>
        <v>-0.9259259259259256</v>
      </c>
      <c r="Z244" s="55">
        <f t="shared" si="87"/>
        <v>-3.009428902522858</v>
      </c>
      <c r="AA244" s="27" t="s">
        <v>367</v>
      </c>
      <c r="AB244" s="27" t="s">
        <v>367</v>
      </c>
      <c r="AC244" s="27" t="s">
        <v>367</v>
      </c>
      <c r="AD244" s="27" t="s">
        <v>367</v>
      </c>
      <c r="AE244" s="27" t="s">
        <v>367</v>
      </c>
      <c r="AF244" s="27" t="s">
        <v>367</v>
      </c>
      <c r="AG244" s="54">
        <f t="shared" si="88"/>
        <v>0.56780015880147694</v>
      </c>
    </row>
    <row r="245" spans="1:33" ht="15" customHeight="1">
      <c r="A245" s="33" t="s">
        <v>241</v>
      </c>
      <c r="B245" s="52">
        <f>'Расчет субсидий'!AT245</f>
        <v>66.936363636363637</v>
      </c>
      <c r="C245" s="54">
        <f>'Расчет субсидий'!D245-1</f>
        <v>-1</v>
      </c>
      <c r="D245" s="54">
        <f>C245*'Расчет субсидий'!E245</f>
        <v>0</v>
      </c>
      <c r="E245" s="55">
        <f t="shared" si="83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4">
        <f>'Расчет субсидий'!P245-1</f>
        <v>0.21782771535580525</v>
      </c>
      <c r="M245" s="54">
        <f>L245*'Расчет субсидий'!Q245</f>
        <v>4.356554307116105</v>
      </c>
      <c r="N245" s="55">
        <f t="shared" si="84"/>
        <v>17.638351067520077</v>
      </c>
      <c r="O245" s="54">
        <f>'Расчет субсидий'!T245-1</f>
        <v>0.11165845648604278</v>
      </c>
      <c r="P245" s="54">
        <f>O245*'Расчет субсидий'!U245</f>
        <v>2.7914614121510697</v>
      </c>
      <c r="Q245" s="55">
        <f t="shared" si="85"/>
        <v>11.301770368965983</v>
      </c>
      <c r="R245" s="54">
        <f>'Расчет субсидий'!X245-1</f>
        <v>0.30000000000000004</v>
      </c>
      <c r="S245" s="54">
        <f>R245*'Расчет субсидий'!Y245</f>
        <v>7.5000000000000009</v>
      </c>
      <c r="T245" s="55">
        <f t="shared" si="86"/>
        <v>30.36519774132476</v>
      </c>
      <c r="U245" s="60" t="s">
        <v>385</v>
      </c>
      <c r="V245" s="60" t="s">
        <v>385</v>
      </c>
      <c r="W245" s="61" t="s">
        <v>385</v>
      </c>
      <c r="X245" s="73">
        <f>'Расчет субсидий'!AF245-1</f>
        <v>9.4240837696335067E-2</v>
      </c>
      <c r="Y245" s="73">
        <f>X245*'Расчет субсидий'!AG245</f>
        <v>1.8848167539267013</v>
      </c>
      <c r="Z245" s="55">
        <f t="shared" si="87"/>
        <v>7.6310444585528163</v>
      </c>
      <c r="AA245" s="27" t="s">
        <v>367</v>
      </c>
      <c r="AB245" s="27" t="s">
        <v>367</v>
      </c>
      <c r="AC245" s="27" t="s">
        <v>367</v>
      </c>
      <c r="AD245" s="27" t="s">
        <v>367</v>
      </c>
      <c r="AE245" s="27" t="s">
        <v>367</v>
      </c>
      <c r="AF245" s="27" t="s">
        <v>367</v>
      </c>
      <c r="AG245" s="54">
        <f t="shared" si="88"/>
        <v>16.532832473193878</v>
      </c>
    </row>
    <row r="246" spans="1:33" ht="15" customHeight="1">
      <c r="A246" s="33" t="s">
        <v>242</v>
      </c>
      <c r="B246" s="52">
        <f>'Расчет субсидий'!AT246</f>
        <v>40.363636363636374</v>
      </c>
      <c r="C246" s="54">
        <f>'Расчет субсидий'!D246-1</f>
        <v>-1</v>
      </c>
      <c r="D246" s="54">
        <f>C246*'Расчет субсидий'!E246</f>
        <v>0</v>
      </c>
      <c r="E246" s="55">
        <f t="shared" si="83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4">
        <f>'Расчет субсидий'!P246-1</f>
        <v>-0.16719846841097641</v>
      </c>
      <c r="M246" s="54">
        <f>L246*'Расчет субсидий'!Q246</f>
        <v>-3.3439693682195282</v>
      </c>
      <c r="N246" s="55">
        <f t="shared" si="84"/>
        <v>-12.087828370600135</v>
      </c>
      <c r="O246" s="54">
        <f>'Расчет субсидий'!T246-1</f>
        <v>0.14205816554809836</v>
      </c>
      <c r="P246" s="54">
        <f>O246*'Расчет субсидий'!U246</f>
        <v>2.8411633109619672</v>
      </c>
      <c r="Q246" s="55">
        <f t="shared" si="85"/>
        <v>10.270277832730335</v>
      </c>
      <c r="R246" s="54">
        <f>'Расчет субсидий'!X246-1</f>
        <v>0.30000000000000004</v>
      </c>
      <c r="S246" s="54">
        <f>R246*'Расчет субсидий'!Y246</f>
        <v>9.0000000000000018</v>
      </c>
      <c r="T246" s="55">
        <f t="shared" si="86"/>
        <v>32.533328914231625</v>
      </c>
      <c r="U246" s="60" t="s">
        <v>385</v>
      </c>
      <c r="V246" s="60" t="s">
        <v>385</v>
      </c>
      <c r="W246" s="61" t="s">
        <v>385</v>
      </c>
      <c r="X246" s="73">
        <f>'Расчет субсидий'!AF246-1</f>
        <v>0.13344887348353551</v>
      </c>
      <c r="Y246" s="73">
        <f>X246*'Расчет субсидий'!AG246</f>
        <v>2.6689774696707103</v>
      </c>
      <c r="Z246" s="55">
        <f t="shared" si="87"/>
        <v>9.6478579872745414</v>
      </c>
      <c r="AA246" s="27" t="s">
        <v>367</v>
      </c>
      <c r="AB246" s="27" t="s">
        <v>367</v>
      </c>
      <c r="AC246" s="27" t="s">
        <v>367</v>
      </c>
      <c r="AD246" s="27" t="s">
        <v>367</v>
      </c>
      <c r="AE246" s="27" t="s">
        <v>367</v>
      </c>
      <c r="AF246" s="27" t="s">
        <v>367</v>
      </c>
      <c r="AG246" s="54">
        <f t="shared" si="88"/>
        <v>11.166171412413153</v>
      </c>
    </row>
    <row r="247" spans="1:33" ht="15" customHeight="1">
      <c r="A247" s="33" t="s">
        <v>243</v>
      </c>
      <c r="B247" s="52">
        <f>'Расчет субсидий'!AT247</f>
        <v>27.036363636363603</v>
      </c>
      <c r="C247" s="54">
        <f>'Расчет субсидий'!D247-1</f>
        <v>8.5087342497136342E-2</v>
      </c>
      <c r="D247" s="54">
        <f>C247*'Расчет субсидий'!E247</f>
        <v>0.85087342497136342</v>
      </c>
      <c r="E247" s="55">
        <f t="shared" si="83"/>
        <v>3.0726843558450327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4">
        <f>'Расчет субсидий'!P247-1</f>
        <v>0.18239202657807296</v>
      </c>
      <c r="M247" s="54">
        <f>L247*'Расчет субсидий'!Q247</f>
        <v>3.6478405315614593</v>
      </c>
      <c r="N247" s="55">
        <f t="shared" si="84"/>
        <v>13.173125643597999</v>
      </c>
      <c r="O247" s="54">
        <f>'Расчет субсидий'!T247-1</f>
        <v>-4.8076923076924016E-3</v>
      </c>
      <c r="P247" s="54">
        <f>O247*'Расчет субсидий'!U247</f>
        <v>-0.12019230769231004</v>
      </c>
      <c r="Q247" s="55">
        <f t="shared" si="85"/>
        <v>-0.43403990852282537</v>
      </c>
      <c r="R247" s="54">
        <f>'Расчет субсидий'!X247-1</f>
        <v>7.6923076923076872E-2</v>
      </c>
      <c r="S247" s="54">
        <f>R247*'Расчет субсидий'!Y247</f>
        <v>1.9230769230769218</v>
      </c>
      <c r="T247" s="55">
        <f t="shared" si="86"/>
        <v>6.9446385363650656</v>
      </c>
      <c r="U247" s="60" t="s">
        <v>385</v>
      </c>
      <c r="V247" s="60" t="s">
        <v>385</v>
      </c>
      <c r="W247" s="61" t="s">
        <v>385</v>
      </c>
      <c r="X247" s="73">
        <f>'Расчет субсидий'!AF247-1</f>
        <v>5.9259259259259345E-2</v>
      </c>
      <c r="Y247" s="73">
        <f>X247*'Расчет субсидий'!AG247</f>
        <v>1.1851851851851869</v>
      </c>
      <c r="Z247" s="55">
        <f t="shared" si="87"/>
        <v>4.2799550090783312</v>
      </c>
      <c r="AA247" s="27" t="s">
        <v>367</v>
      </c>
      <c r="AB247" s="27" t="s">
        <v>367</v>
      </c>
      <c r="AC247" s="27" t="s">
        <v>367</v>
      </c>
      <c r="AD247" s="27" t="s">
        <v>367</v>
      </c>
      <c r="AE247" s="27" t="s">
        <v>367</v>
      </c>
      <c r="AF247" s="27" t="s">
        <v>367</v>
      </c>
      <c r="AG247" s="54">
        <f t="shared" si="88"/>
        <v>7.4867837571026215</v>
      </c>
    </row>
    <row r="248" spans="1:33" ht="15" customHeight="1">
      <c r="A248" s="33" t="s">
        <v>244</v>
      </c>
      <c r="B248" s="52">
        <f>'Расчет субсидий'!AT248</f>
        <v>-15.054545454545433</v>
      </c>
      <c r="C248" s="54">
        <f>'Расчет субсидий'!D248-1</f>
        <v>-1</v>
      </c>
      <c r="D248" s="54">
        <f>C248*'Расчет субсидий'!E248</f>
        <v>0</v>
      </c>
      <c r="E248" s="55">
        <f t="shared" si="83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4">
        <f>'Расчет субсидий'!P248-1</f>
        <v>-0.50300672090555354</v>
      </c>
      <c r="M248" s="54">
        <f>L248*'Расчет субсидий'!Q248</f>
        <v>-10.060134418111071</v>
      </c>
      <c r="N248" s="55">
        <f t="shared" si="84"/>
        <v>-29.538853415566894</v>
      </c>
      <c r="O248" s="54">
        <f>'Расчет субсидий'!T248-1</f>
        <v>3.2362459546925626E-2</v>
      </c>
      <c r="P248" s="54">
        <f>O248*'Расчет субсидий'!U248</f>
        <v>0.64724919093851252</v>
      </c>
      <c r="Q248" s="55">
        <f t="shared" si="85"/>
        <v>1.9004715225332789</v>
      </c>
      <c r="R248" s="54">
        <f>'Расчет субсидий'!X248-1</f>
        <v>0.14285714285714279</v>
      </c>
      <c r="S248" s="54">
        <f>R248*'Расчет субсидий'!Y248</f>
        <v>4.2857142857142838</v>
      </c>
      <c r="T248" s="55">
        <f t="shared" si="86"/>
        <v>12.583836438488181</v>
      </c>
      <c r="U248" s="60" t="s">
        <v>385</v>
      </c>
      <c r="V248" s="60" t="s">
        <v>385</v>
      </c>
      <c r="W248" s="61" t="s">
        <v>385</v>
      </c>
      <c r="X248" s="73">
        <f>'Расчет субсидий'!AF248-1</f>
        <v>0</v>
      </c>
      <c r="Y248" s="73">
        <f>X248*'Расчет субсидий'!AG248</f>
        <v>0</v>
      </c>
      <c r="Z248" s="55">
        <f t="shared" si="87"/>
        <v>0</v>
      </c>
      <c r="AA248" s="27" t="s">
        <v>367</v>
      </c>
      <c r="AB248" s="27" t="s">
        <v>367</v>
      </c>
      <c r="AC248" s="27" t="s">
        <v>367</v>
      </c>
      <c r="AD248" s="27" t="s">
        <v>367</v>
      </c>
      <c r="AE248" s="27" t="s">
        <v>367</v>
      </c>
      <c r="AF248" s="27" t="s">
        <v>367</v>
      </c>
      <c r="AG248" s="54">
        <f t="shared" si="88"/>
        <v>-5.1271709414582753</v>
      </c>
    </row>
    <row r="249" spans="1:33" ht="15" customHeight="1">
      <c r="A249" s="33" t="s">
        <v>245</v>
      </c>
      <c r="B249" s="52">
        <f>'Расчет субсидий'!AT249</f>
        <v>28.509090909090901</v>
      </c>
      <c r="C249" s="54">
        <f>'Расчет субсидий'!D249-1</f>
        <v>-1.986163802722607E-2</v>
      </c>
      <c r="D249" s="54">
        <f>C249*'Расчет субсидий'!E249</f>
        <v>-0.1986163802722607</v>
      </c>
      <c r="E249" s="55">
        <f t="shared" si="83"/>
        <v>-0.82352744100355857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4">
        <f>'Расчет субсидий'!P249-1</f>
        <v>0.20514731984380541</v>
      </c>
      <c r="M249" s="54">
        <f>L249*'Расчет субсидий'!Q249</f>
        <v>4.1029463968761082</v>
      </c>
      <c r="N249" s="55">
        <f t="shared" si="84"/>
        <v>17.012136371443365</v>
      </c>
      <c r="O249" s="54">
        <f>'Расчет субсидий'!T249-1</f>
        <v>-7.2015431878259539E-2</v>
      </c>
      <c r="P249" s="54">
        <f>O249*'Расчет субсидий'!U249</f>
        <v>-0.72015431878259539</v>
      </c>
      <c r="Q249" s="55">
        <f t="shared" si="85"/>
        <v>-2.9859916008021274</v>
      </c>
      <c r="R249" s="54">
        <f>'Расчет субсидий'!X249-1</f>
        <v>9.2289468016368614E-2</v>
      </c>
      <c r="S249" s="54">
        <f>R249*'Расчет субсидий'!Y249</f>
        <v>3.6915787206547446</v>
      </c>
      <c r="T249" s="55">
        <f t="shared" si="86"/>
        <v>15.306473579453222</v>
      </c>
      <c r="U249" s="60" t="s">
        <v>385</v>
      </c>
      <c r="V249" s="60" t="s">
        <v>385</v>
      </c>
      <c r="W249" s="61" t="s">
        <v>385</v>
      </c>
      <c r="X249" s="73">
        <f>'Расчет субсидий'!AF249-1</f>
        <v>0</v>
      </c>
      <c r="Y249" s="73">
        <f>X249*'Расчет субсидий'!AG249</f>
        <v>0</v>
      </c>
      <c r="Z249" s="55">
        <f t="shared" si="87"/>
        <v>0</v>
      </c>
      <c r="AA249" s="27" t="s">
        <v>367</v>
      </c>
      <c r="AB249" s="27" t="s">
        <v>367</v>
      </c>
      <c r="AC249" s="27" t="s">
        <v>367</v>
      </c>
      <c r="AD249" s="27" t="s">
        <v>367</v>
      </c>
      <c r="AE249" s="27" t="s">
        <v>367</v>
      </c>
      <c r="AF249" s="27" t="s">
        <v>367</v>
      </c>
      <c r="AG249" s="54">
        <f t="shared" si="88"/>
        <v>6.8757544184759967</v>
      </c>
    </row>
    <row r="250" spans="1:33" ht="15" customHeight="1">
      <c r="A250" s="33" t="s">
        <v>246</v>
      </c>
      <c r="B250" s="52">
        <f>'Расчет субсидий'!AT250</f>
        <v>34.636363636363626</v>
      </c>
      <c r="C250" s="54">
        <f>'Расчет субсидий'!D250-1</f>
        <v>-1</v>
      </c>
      <c r="D250" s="54">
        <f>C250*'Расчет субсидий'!E250</f>
        <v>0</v>
      </c>
      <c r="E250" s="55">
        <f t="shared" si="83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4">
        <f>'Расчет субсидий'!P250-1</f>
        <v>0.23064442759666415</v>
      </c>
      <c r="M250" s="54">
        <f>L250*'Расчет субсидий'!Q250</f>
        <v>4.612888551933283</v>
      </c>
      <c r="N250" s="55">
        <f t="shared" si="84"/>
        <v>24.841090291108156</v>
      </c>
      <c r="O250" s="54">
        <f>'Расчет субсидий'!T250-1</f>
        <v>4.5729402872259906E-2</v>
      </c>
      <c r="P250" s="54">
        <f>O250*'Расчет субсидий'!U250</f>
        <v>1.3718820861677972</v>
      </c>
      <c r="Q250" s="55">
        <f t="shared" si="85"/>
        <v>7.3877888848984625</v>
      </c>
      <c r="R250" s="54">
        <f>'Расчет субсидий'!X250-1</f>
        <v>2.0547945205479534E-2</v>
      </c>
      <c r="S250" s="54">
        <f>R250*'Расчет субсидий'!Y250</f>
        <v>0.41095890410959068</v>
      </c>
      <c r="T250" s="55">
        <f t="shared" si="86"/>
        <v>2.2130747638901229</v>
      </c>
      <c r="U250" s="60" t="s">
        <v>385</v>
      </c>
      <c r="V250" s="60" t="s">
        <v>385</v>
      </c>
      <c r="W250" s="61" t="s">
        <v>385</v>
      </c>
      <c r="X250" s="73">
        <f>'Расчет субсидий'!AF250-1</f>
        <v>1.8050541516245744E-3</v>
      </c>
      <c r="Y250" s="73">
        <f>X250*'Расчет субсидий'!AG250</f>
        <v>3.6101083032491488E-2</v>
      </c>
      <c r="Z250" s="55">
        <f t="shared" si="87"/>
        <v>0.19440969646688402</v>
      </c>
      <c r="AA250" s="27" t="s">
        <v>367</v>
      </c>
      <c r="AB250" s="27" t="s">
        <v>367</v>
      </c>
      <c r="AC250" s="27" t="s">
        <v>367</v>
      </c>
      <c r="AD250" s="27" t="s">
        <v>367</v>
      </c>
      <c r="AE250" s="27" t="s">
        <v>367</v>
      </c>
      <c r="AF250" s="27" t="s">
        <v>367</v>
      </c>
      <c r="AG250" s="54">
        <f t="shared" si="88"/>
        <v>6.4318306252431627</v>
      </c>
    </row>
    <row r="251" spans="1:33" ht="15" customHeight="1">
      <c r="A251" s="33" t="s">
        <v>247</v>
      </c>
      <c r="B251" s="52">
        <f>'Расчет субсидий'!AT251</f>
        <v>47.100000000000023</v>
      </c>
      <c r="C251" s="54">
        <f>'Расчет субсидий'!D251-1</f>
        <v>-1</v>
      </c>
      <c r="D251" s="54">
        <f>C251*'Расчет субсидий'!E251</f>
        <v>0</v>
      </c>
      <c r="E251" s="55">
        <f t="shared" si="83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4">
        <f>'Расчет субсидий'!P251-1</f>
        <v>0.23824690531950488</v>
      </c>
      <c r="M251" s="54">
        <f>L251*'Расчет субсидий'!Q251</f>
        <v>4.7649381063900975</v>
      </c>
      <c r="N251" s="55">
        <f t="shared" si="84"/>
        <v>12.540636238894662</v>
      </c>
      <c r="O251" s="54">
        <f>'Расчет субсидий'!T251-1</f>
        <v>0.20960199004975122</v>
      </c>
      <c r="P251" s="54">
        <f>O251*'Расчет субсидий'!U251</f>
        <v>4.1920398009950244</v>
      </c>
      <c r="Q251" s="55">
        <f t="shared" si="85"/>
        <v>11.032849759946721</v>
      </c>
      <c r="R251" s="54">
        <f>'Расчет субсидий'!X251-1</f>
        <v>0.24</v>
      </c>
      <c r="S251" s="54">
        <f>R251*'Расчет субсидий'!Y251</f>
        <v>7.1999999999999993</v>
      </c>
      <c r="T251" s="55">
        <f t="shared" si="86"/>
        <v>18.949371199376802</v>
      </c>
      <c r="U251" s="60" t="s">
        <v>385</v>
      </c>
      <c r="V251" s="60" t="s">
        <v>385</v>
      </c>
      <c r="W251" s="61" t="s">
        <v>385</v>
      </c>
      <c r="X251" s="73">
        <f>'Расчет субсидий'!AF251-1</f>
        <v>8.6956521739130377E-2</v>
      </c>
      <c r="Y251" s="73">
        <f>X251*'Расчет субсидий'!AG251</f>
        <v>1.7391304347826075</v>
      </c>
      <c r="Z251" s="55">
        <f t="shared" si="87"/>
        <v>4.577142801781835</v>
      </c>
      <c r="AA251" s="27" t="s">
        <v>367</v>
      </c>
      <c r="AB251" s="27" t="s">
        <v>367</v>
      </c>
      <c r="AC251" s="27" t="s">
        <v>367</v>
      </c>
      <c r="AD251" s="27" t="s">
        <v>367</v>
      </c>
      <c r="AE251" s="27" t="s">
        <v>367</v>
      </c>
      <c r="AF251" s="27" t="s">
        <v>367</v>
      </c>
      <c r="AG251" s="54">
        <f t="shared" si="88"/>
        <v>17.896108342167729</v>
      </c>
    </row>
    <row r="252" spans="1:33" ht="15" customHeight="1">
      <c r="A252" s="33" t="s">
        <v>248</v>
      </c>
      <c r="B252" s="52">
        <f>'Расчет субсидий'!AT252</f>
        <v>34.636363636363626</v>
      </c>
      <c r="C252" s="54">
        <f>'Расчет субсидий'!D252-1</f>
        <v>-1</v>
      </c>
      <c r="D252" s="54">
        <f>C252*'Расчет субсидий'!E252</f>
        <v>0</v>
      </c>
      <c r="E252" s="55">
        <f t="shared" si="83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4">
        <f>'Расчет субсидий'!P252-1</f>
        <v>0.21347840642785409</v>
      </c>
      <c r="M252" s="54">
        <f>L252*'Расчет субсидий'!Q252</f>
        <v>4.2695681285570819</v>
      </c>
      <c r="N252" s="55">
        <f t="shared" si="84"/>
        <v>11.181284541908449</v>
      </c>
      <c r="O252" s="54">
        <f>'Расчет субсидий'!T252-1</f>
        <v>5.8252427184465994E-2</v>
      </c>
      <c r="P252" s="54">
        <f>O252*'Расчет субсидий'!U252</f>
        <v>1.4563106796116498</v>
      </c>
      <c r="Q252" s="55">
        <f t="shared" si="85"/>
        <v>3.8138339990984007</v>
      </c>
      <c r="R252" s="54">
        <f>'Расчет субсидий'!X252-1</f>
        <v>0.30000000000000004</v>
      </c>
      <c r="S252" s="54">
        <f>R252*'Расчет субсидий'!Y252</f>
        <v>7.5000000000000009</v>
      </c>
      <c r="T252" s="55">
        <f t="shared" si="86"/>
        <v>19.641245095356776</v>
      </c>
      <c r="U252" s="60" t="s">
        <v>385</v>
      </c>
      <c r="V252" s="60" t="s">
        <v>385</v>
      </c>
      <c r="W252" s="61" t="s">
        <v>385</v>
      </c>
      <c r="X252" s="73">
        <f>'Расчет субсидий'!AF252-1</f>
        <v>0</v>
      </c>
      <c r="Y252" s="73">
        <f>X252*'Расчет субсидий'!AG252</f>
        <v>0</v>
      </c>
      <c r="Z252" s="55">
        <f t="shared" si="87"/>
        <v>0</v>
      </c>
      <c r="AA252" s="27" t="s">
        <v>367</v>
      </c>
      <c r="AB252" s="27" t="s">
        <v>367</v>
      </c>
      <c r="AC252" s="27" t="s">
        <v>367</v>
      </c>
      <c r="AD252" s="27" t="s">
        <v>367</v>
      </c>
      <c r="AE252" s="27" t="s">
        <v>367</v>
      </c>
      <c r="AF252" s="27" t="s">
        <v>367</v>
      </c>
      <c r="AG252" s="54">
        <f t="shared" si="88"/>
        <v>13.225878808168734</v>
      </c>
    </row>
    <row r="253" spans="1:33" ht="15" customHeight="1">
      <c r="A253" s="33" t="s">
        <v>249</v>
      </c>
      <c r="B253" s="52">
        <f>'Расчет субсидий'!AT253</f>
        <v>36.981818181818198</v>
      </c>
      <c r="C253" s="54">
        <f>'Расчет субсидий'!D253-1</f>
        <v>-9.606318347509113E-2</v>
      </c>
      <c r="D253" s="54">
        <f>C253*'Расчет субсидий'!E253</f>
        <v>-0.9606318347509113</v>
      </c>
      <c r="E253" s="55">
        <f t="shared" si="83"/>
        <v>-3.0041150109234249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4">
        <f>'Расчет субсидий'!P253-1</f>
        <v>-5.1024279210925672E-2</v>
      </c>
      <c r="M253" s="54">
        <f>L253*'Расчет субсидий'!Q253</f>
        <v>-1.0204855842185134</v>
      </c>
      <c r="N253" s="55">
        <f t="shared" si="84"/>
        <v>-3.1912913470921058</v>
      </c>
      <c r="O253" s="54">
        <f>'Расчет субсидий'!T253-1</f>
        <v>0.21749385749385741</v>
      </c>
      <c r="P253" s="54">
        <f>O253*'Расчет субсидий'!U253</f>
        <v>6.5248157248157224</v>
      </c>
      <c r="Q253" s="55">
        <f t="shared" si="85"/>
        <v>20.404588056891402</v>
      </c>
      <c r="R253" s="54">
        <f>'Расчет субсидий'!X253-1</f>
        <v>0.30000000000000004</v>
      </c>
      <c r="S253" s="54">
        <f>R253*'Расчет субсидий'!Y253</f>
        <v>6.0000000000000009</v>
      </c>
      <c r="T253" s="55">
        <f t="shared" si="86"/>
        <v>18.763369496508822</v>
      </c>
      <c r="U253" s="60" t="s">
        <v>385</v>
      </c>
      <c r="V253" s="60" t="s">
        <v>385</v>
      </c>
      <c r="W253" s="61" t="s">
        <v>385</v>
      </c>
      <c r="X253" s="73">
        <f>'Расчет субсидий'!AF253-1</f>
        <v>6.4102564102564097E-2</v>
      </c>
      <c r="Y253" s="73">
        <f>X253*'Расчет субсидий'!AG253</f>
        <v>1.2820512820512819</v>
      </c>
      <c r="Z253" s="55">
        <f t="shared" si="87"/>
        <v>4.0092669864335075</v>
      </c>
      <c r="AA253" s="27" t="s">
        <v>367</v>
      </c>
      <c r="AB253" s="27" t="s">
        <v>367</v>
      </c>
      <c r="AC253" s="27" t="s">
        <v>367</v>
      </c>
      <c r="AD253" s="27" t="s">
        <v>367</v>
      </c>
      <c r="AE253" s="27" t="s">
        <v>367</v>
      </c>
      <c r="AF253" s="27" t="s">
        <v>367</v>
      </c>
      <c r="AG253" s="54">
        <f t="shared" si="88"/>
        <v>11.82574958789758</v>
      </c>
    </row>
    <row r="254" spans="1:33" ht="15" customHeight="1">
      <c r="A254" s="32" t="s">
        <v>250</v>
      </c>
      <c r="B254" s="56"/>
      <c r="C254" s="57"/>
      <c r="D254" s="57"/>
      <c r="E254" s="58"/>
      <c r="F254" s="57"/>
      <c r="G254" s="57"/>
      <c r="H254" s="58"/>
      <c r="I254" s="58"/>
      <c r="J254" s="58"/>
      <c r="K254" s="58"/>
      <c r="L254" s="57"/>
      <c r="M254" s="57"/>
      <c r="N254" s="58"/>
      <c r="O254" s="57"/>
      <c r="P254" s="57"/>
      <c r="Q254" s="58"/>
      <c r="R254" s="57"/>
      <c r="S254" s="57"/>
      <c r="T254" s="58"/>
      <c r="U254" s="58"/>
      <c r="V254" s="58"/>
      <c r="W254" s="58"/>
      <c r="X254" s="75"/>
      <c r="Y254" s="75"/>
      <c r="Z254" s="58"/>
      <c r="AA254" s="58"/>
      <c r="AB254" s="58"/>
      <c r="AC254" s="58"/>
      <c r="AD254" s="58"/>
      <c r="AE254" s="58"/>
      <c r="AF254" s="58"/>
      <c r="AG254" s="58"/>
    </row>
    <row r="255" spans="1:33" ht="15" customHeight="1">
      <c r="A255" s="33" t="s">
        <v>251</v>
      </c>
      <c r="B255" s="52">
        <f>'Расчет субсидий'!AT255</f>
        <v>-19.436363636363637</v>
      </c>
      <c r="C255" s="54">
        <f>'Расчет субсидий'!D255-1</f>
        <v>-1</v>
      </c>
      <c r="D255" s="54">
        <f>C255*'Расчет субсидий'!E255</f>
        <v>0</v>
      </c>
      <c r="E255" s="55">
        <f t="shared" ref="E255:E261" si="89">$B255*D255/$AG255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4">
        <f>'Расчет субсидий'!P255-1</f>
        <v>-0.36868217054263563</v>
      </c>
      <c r="M255" s="54">
        <f>L255*'Расчет субсидий'!Q255</f>
        <v>-7.3736434108527131</v>
      </c>
      <c r="N255" s="55">
        <f t="shared" ref="N255:N261" si="90">$B255*M255/$AG255</f>
        <v>-29.204063346033148</v>
      </c>
      <c r="O255" s="54">
        <f>'Расчет субсидий'!T255-1</f>
        <v>4.8648648648648596E-2</v>
      </c>
      <c r="P255" s="54">
        <f>O255*'Расчет субсидий'!U255</f>
        <v>1.2162162162162149</v>
      </c>
      <c r="Q255" s="55">
        <f t="shared" ref="Q255:Q261" si="91">$B255*P255/$AG255</f>
        <v>4.8169478020287961</v>
      </c>
      <c r="R255" s="54">
        <f>'Расчет субсидий'!X255-1</f>
        <v>5.0000000000000044E-2</v>
      </c>
      <c r="S255" s="54">
        <f>R255*'Расчет субсидий'!Y255</f>
        <v>1.2500000000000011</v>
      </c>
      <c r="T255" s="55">
        <f t="shared" ref="T255:T261" si="92">$B255*S255/$AG255</f>
        <v>4.9507519076407167</v>
      </c>
      <c r="U255" s="60" t="s">
        <v>385</v>
      </c>
      <c r="V255" s="60" t="s">
        <v>385</v>
      </c>
      <c r="W255" s="61" t="s">
        <v>385</v>
      </c>
      <c r="X255" s="73">
        <f>'Расчет субсидий'!AF255-1</f>
        <v>0</v>
      </c>
      <c r="Y255" s="73">
        <f>X255*'Расчет субсидий'!AG255</f>
        <v>0</v>
      </c>
      <c r="Z255" s="55">
        <f t="shared" si="87"/>
        <v>0</v>
      </c>
      <c r="AA255" s="27" t="s">
        <v>367</v>
      </c>
      <c r="AB255" s="27" t="s">
        <v>367</v>
      </c>
      <c r="AC255" s="27" t="s">
        <v>367</v>
      </c>
      <c r="AD255" s="27" t="s">
        <v>367</v>
      </c>
      <c r="AE255" s="27" t="s">
        <v>367</v>
      </c>
      <c r="AF255" s="27" t="s">
        <v>367</v>
      </c>
      <c r="AG255" s="54">
        <f t="shared" si="88"/>
        <v>-4.9074271946364973</v>
      </c>
    </row>
    <row r="256" spans="1:33" ht="15" customHeight="1">
      <c r="A256" s="33" t="s">
        <v>252</v>
      </c>
      <c r="B256" s="52">
        <f>'Расчет субсидий'!AT256</f>
        <v>-18.909090909090907</v>
      </c>
      <c r="C256" s="54">
        <f>'Расчет субсидий'!D256-1</f>
        <v>-1</v>
      </c>
      <c r="D256" s="54">
        <f>C256*'Расчет субсидий'!E256</f>
        <v>0</v>
      </c>
      <c r="E256" s="55">
        <f t="shared" si="89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4">
        <f>'Расчет субсидий'!P256-1</f>
        <v>-0.48313539192399046</v>
      </c>
      <c r="M256" s="54">
        <f>L256*'Расчет субсидий'!Q256</f>
        <v>-9.6627078384798093</v>
      </c>
      <c r="N256" s="55">
        <f t="shared" si="90"/>
        <v>-18.909090909090907</v>
      </c>
      <c r="O256" s="54">
        <f>'Расчет субсидий'!T256-1</f>
        <v>0</v>
      </c>
      <c r="P256" s="54">
        <f>O256*'Расчет субсидий'!U256</f>
        <v>0</v>
      </c>
      <c r="Q256" s="55">
        <f t="shared" si="91"/>
        <v>0</v>
      </c>
      <c r="R256" s="54">
        <f>'Расчет субсидий'!X256-1</f>
        <v>0</v>
      </c>
      <c r="S256" s="54">
        <f>R256*'Расчет субсидий'!Y256</f>
        <v>0</v>
      </c>
      <c r="T256" s="55">
        <f t="shared" si="92"/>
        <v>0</v>
      </c>
      <c r="U256" s="60" t="s">
        <v>385</v>
      </c>
      <c r="V256" s="60" t="s">
        <v>385</v>
      </c>
      <c r="W256" s="61" t="s">
        <v>385</v>
      </c>
      <c r="X256" s="73">
        <f>'Расчет субсидий'!AF256-1</f>
        <v>0</v>
      </c>
      <c r="Y256" s="73">
        <f>X256*'Расчет субсидий'!AG256</f>
        <v>0</v>
      </c>
      <c r="Z256" s="55">
        <f t="shared" si="87"/>
        <v>0</v>
      </c>
      <c r="AA256" s="27" t="s">
        <v>367</v>
      </c>
      <c r="AB256" s="27" t="s">
        <v>367</v>
      </c>
      <c r="AC256" s="27" t="s">
        <v>367</v>
      </c>
      <c r="AD256" s="27" t="s">
        <v>367</v>
      </c>
      <c r="AE256" s="27" t="s">
        <v>367</v>
      </c>
      <c r="AF256" s="27" t="s">
        <v>367</v>
      </c>
      <c r="AG256" s="54">
        <f t="shared" si="88"/>
        <v>-9.6627078384798093</v>
      </c>
    </row>
    <row r="257" spans="1:33" ht="15" customHeight="1">
      <c r="A257" s="33" t="s">
        <v>253</v>
      </c>
      <c r="B257" s="52">
        <f>'Расчет субсидий'!AT257</f>
        <v>31.309090909090912</v>
      </c>
      <c r="C257" s="54">
        <f>'Расчет субсидий'!D257-1</f>
        <v>-1</v>
      </c>
      <c r="D257" s="54">
        <f>C257*'Расчет субсидий'!E257</f>
        <v>0</v>
      </c>
      <c r="E257" s="55">
        <f t="shared" si="89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4">
        <f>'Расчет субсидий'!P257-1</f>
        <v>0.23104370515329409</v>
      </c>
      <c r="M257" s="54">
        <f>L257*'Расчет субсидий'!Q257</f>
        <v>4.6208741030658818</v>
      </c>
      <c r="N257" s="55">
        <f t="shared" si="90"/>
        <v>16.860584877216468</v>
      </c>
      <c r="O257" s="54">
        <f>'Расчет субсидий'!T257-1</f>
        <v>0.13617021276595742</v>
      </c>
      <c r="P257" s="54">
        <f>O257*'Расчет субсидий'!U257</f>
        <v>3.4042553191489358</v>
      </c>
      <c r="Q257" s="55">
        <f t="shared" si="91"/>
        <v>12.421402200536845</v>
      </c>
      <c r="R257" s="54">
        <f>'Расчет субсидий'!X257-1</f>
        <v>2.2222222222222143E-2</v>
      </c>
      <c r="S257" s="54">
        <f>R257*'Расчет субсидий'!Y257</f>
        <v>0.55555555555555358</v>
      </c>
      <c r="T257" s="55">
        <f t="shared" si="92"/>
        <v>2.0271038313376031</v>
      </c>
      <c r="U257" s="60" t="s">
        <v>385</v>
      </c>
      <c r="V257" s="60" t="s">
        <v>385</v>
      </c>
      <c r="W257" s="61" t="s">
        <v>385</v>
      </c>
      <c r="X257" s="73">
        <f>'Расчет субсидий'!AF257-1</f>
        <v>0</v>
      </c>
      <c r="Y257" s="73">
        <f>X257*'Расчет субсидий'!AG257</f>
        <v>0</v>
      </c>
      <c r="Z257" s="55">
        <f t="shared" si="87"/>
        <v>0</v>
      </c>
      <c r="AA257" s="27" t="s">
        <v>367</v>
      </c>
      <c r="AB257" s="27" t="s">
        <v>367</v>
      </c>
      <c r="AC257" s="27" t="s">
        <v>367</v>
      </c>
      <c r="AD257" s="27" t="s">
        <v>367</v>
      </c>
      <c r="AE257" s="27" t="s">
        <v>367</v>
      </c>
      <c r="AF257" s="27" t="s">
        <v>367</v>
      </c>
      <c r="AG257" s="54">
        <f t="shared" si="88"/>
        <v>8.5806849777703711</v>
      </c>
    </row>
    <row r="258" spans="1:33" ht="15" customHeight="1">
      <c r="A258" s="33" t="s">
        <v>254</v>
      </c>
      <c r="B258" s="52">
        <f>'Расчет субсидий'!AT258</f>
        <v>-5.4818181818181841</v>
      </c>
      <c r="C258" s="54">
        <f>'Расчет субсидий'!D258-1</f>
        <v>-0.9560140783106027</v>
      </c>
      <c r="D258" s="54">
        <f>C258*'Расчет субсидий'!E258</f>
        <v>-9.5601407831060268</v>
      </c>
      <c r="E258" s="55">
        <f t="shared" si="89"/>
        <v>-8.7876912795634823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4">
        <f>'Расчет субсидий'!P258-1</f>
        <v>-0.48949579831932777</v>
      </c>
      <c r="M258" s="54">
        <f>L258*'Расчет субсидий'!Q258</f>
        <v>-9.7899159663865554</v>
      </c>
      <c r="N258" s="55">
        <f t="shared" si="90"/>
        <v>-8.9989008652991398</v>
      </c>
      <c r="O258" s="54">
        <f>'Расчет субсидий'!T258-1</f>
        <v>0.19795918367346954</v>
      </c>
      <c r="P258" s="54">
        <f>O258*'Расчет субсидий'!U258</f>
        <v>1.9795918367346954</v>
      </c>
      <c r="Q258" s="55">
        <f t="shared" si="91"/>
        <v>1.8196428604387851</v>
      </c>
      <c r="R258" s="54">
        <f>'Расчет субсидий'!X258-1</f>
        <v>0.18148148148148135</v>
      </c>
      <c r="S258" s="54">
        <f>R258*'Расчет субсидий'!Y258</f>
        <v>7.2592592592592542</v>
      </c>
      <c r="T258" s="55">
        <f t="shared" si="92"/>
        <v>6.6727186069698607</v>
      </c>
      <c r="U258" s="60" t="s">
        <v>385</v>
      </c>
      <c r="V258" s="60" t="s">
        <v>385</v>
      </c>
      <c r="W258" s="61" t="s">
        <v>385</v>
      </c>
      <c r="X258" s="73">
        <f>'Расчет субсидий'!AF258-1</f>
        <v>0.2073764258555133</v>
      </c>
      <c r="Y258" s="73">
        <f>X258*'Расчет субсидий'!AG258</f>
        <v>4.147528517110266</v>
      </c>
      <c r="Z258" s="55">
        <f t="shared" si="87"/>
        <v>3.8124124956357899</v>
      </c>
      <c r="AA258" s="27" t="s">
        <v>367</v>
      </c>
      <c r="AB258" s="27" t="s">
        <v>367</v>
      </c>
      <c r="AC258" s="27" t="s">
        <v>367</v>
      </c>
      <c r="AD258" s="27" t="s">
        <v>367</v>
      </c>
      <c r="AE258" s="27" t="s">
        <v>367</v>
      </c>
      <c r="AF258" s="27" t="s">
        <v>367</v>
      </c>
      <c r="AG258" s="54">
        <f t="shared" si="88"/>
        <v>-5.9636771363883652</v>
      </c>
    </row>
    <row r="259" spans="1:33" ht="15" customHeight="1">
      <c r="A259" s="33" t="s">
        <v>255</v>
      </c>
      <c r="B259" s="52">
        <f>'Расчет субсидий'!AT259</f>
        <v>64.981818181818085</v>
      </c>
      <c r="C259" s="54">
        <f>'Расчет субсидий'!D259-1</f>
        <v>0.21477572559366753</v>
      </c>
      <c r="D259" s="54">
        <f>C259*'Расчет субсидий'!E259</f>
        <v>2.1477572559366753</v>
      </c>
      <c r="E259" s="55">
        <f t="shared" si="89"/>
        <v>13.164794124780629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4">
        <f>'Расчет субсидий'!P259-1</f>
        <v>0.21523139745916509</v>
      </c>
      <c r="M259" s="54">
        <f>L259*'Расчет субсидий'!Q259</f>
        <v>4.3046279491833017</v>
      </c>
      <c r="N259" s="55">
        <f t="shared" si="90"/>
        <v>26.385449555871816</v>
      </c>
      <c r="O259" s="54">
        <f>'Расчет субсидий'!T259-1</f>
        <v>0.1827586206896552</v>
      </c>
      <c r="P259" s="54">
        <f>O259*'Расчет субсидий'!U259</f>
        <v>1.827586206896552</v>
      </c>
      <c r="Q259" s="55">
        <f t="shared" si="91"/>
        <v>11.202288383651128</v>
      </c>
      <c r="R259" s="54">
        <f>'Расчет субсидий'!X259-1</f>
        <v>3.7037037037037646E-3</v>
      </c>
      <c r="S259" s="54">
        <f>R259*'Расчет субсидий'!Y259</f>
        <v>0.14814814814815058</v>
      </c>
      <c r="T259" s="55">
        <f t="shared" si="92"/>
        <v>0.90808207722121048</v>
      </c>
      <c r="U259" s="60" t="s">
        <v>385</v>
      </c>
      <c r="V259" s="60" t="s">
        <v>385</v>
      </c>
      <c r="W259" s="61" t="s">
        <v>385</v>
      </c>
      <c r="X259" s="73">
        <f>'Расчет субсидий'!AF259-1</f>
        <v>0.10866372980910421</v>
      </c>
      <c r="Y259" s="73">
        <f>X259*'Расчет субсидий'!AG259</f>
        <v>2.1732745961820843</v>
      </c>
      <c r="Z259" s="55">
        <f t="shared" si="87"/>
        <v>13.321204040293301</v>
      </c>
      <c r="AA259" s="27" t="s">
        <v>367</v>
      </c>
      <c r="AB259" s="27" t="s">
        <v>367</v>
      </c>
      <c r="AC259" s="27" t="s">
        <v>367</v>
      </c>
      <c r="AD259" s="27" t="s">
        <v>367</v>
      </c>
      <c r="AE259" s="27" t="s">
        <v>367</v>
      </c>
      <c r="AF259" s="27" t="s">
        <v>367</v>
      </c>
      <c r="AG259" s="54">
        <f t="shared" si="88"/>
        <v>10.601394156346764</v>
      </c>
    </row>
    <row r="260" spans="1:33" ht="15" customHeight="1">
      <c r="A260" s="33" t="s">
        <v>256</v>
      </c>
      <c r="B260" s="52">
        <f>'Расчет субсидий'!AT260</f>
        <v>12.854545454545416</v>
      </c>
      <c r="C260" s="54">
        <f>'Расчет субсидий'!D260-1</f>
        <v>-2.0998352179101065E-2</v>
      </c>
      <c r="D260" s="54">
        <f>C260*'Расчет субсидий'!E260</f>
        <v>-0.20998352179101065</v>
      </c>
      <c r="E260" s="55">
        <f t="shared" si="89"/>
        <v>-0.89178525611206838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4">
        <f>'Расчет субсидий'!P260-1</f>
        <v>2.9173887926054354E-2</v>
      </c>
      <c r="M260" s="54">
        <f>L260*'Расчет субсидий'!Q260</f>
        <v>0.58347775852108708</v>
      </c>
      <c r="N260" s="55">
        <f t="shared" si="90"/>
        <v>2.4779890244735321</v>
      </c>
      <c r="O260" s="54">
        <f>'Расчет субсидий'!T260-1</f>
        <v>3.3898305084745672E-2</v>
      </c>
      <c r="P260" s="54">
        <f>O260*'Расчет субсидий'!U260</f>
        <v>0.84745762711864181</v>
      </c>
      <c r="Q260" s="55">
        <f t="shared" si="91"/>
        <v>3.5990929697631029</v>
      </c>
      <c r="R260" s="54">
        <f>'Расчет субсидий'!X260-1</f>
        <v>8.4375000000000089E-2</v>
      </c>
      <c r="S260" s="54">
        <f>R260*'Расчет субсидий'!Y260</f>
        <v>2.1093750000000022</v>
      </c>
      <c r="T260" s="55">
        <f t="shared" si="92"/>
        <v>8.9583673450510055</v>
      </c>
      <c r="U260" s="60" t="s">
        <v>385</v>
      </c>
      <c r="V260" s="60" t="s">
        <v>385</v>
      </c>
      <c r="W260" s="61" t="s">
        <v>385</v>
      </c>
      <c r="X260" s="73">
        <f>'Расчет субсидий'!AF260-1</f>
        <v>-1.5177065767284947E-2</v>
      </c>
      <c r="Y260" s="73">
        <f>X260*'Расчет субсидий'!AG260</f>
        <v>-0.30354131534569895</v>
      </c>
      <c r="Z260" s="55">
        <f t="shared" si="87"/>
        <v>-1.2891186286301566</v>
      </c>
      <c r="AA260" s="27" t="s">
        <v>367</v>
      </c>
      <c r="AB260" s="27" t="s">
        <v>367</v>
      </c>
      <c r="AC260" s="27" t="s">
        <v>367</v>
      </c>
      <c r="AD260" s="27" t="s">
        <v>367</v>
      </c>
      <c r="AE260" s="27" t="s">
        <v>367</v>
      </c>
      <c r="AF260" s="27" t="s">
        <v>367</v>
      </c>
      <c r="AG260" s="54">
        <f t="shared" si="88"/>
        <v>3.0267855485030215</v>
      </c>
    </row>
    <row r="261" spans="1:33" ht="15" customHeight="1">
      <c r="A261" s="33" t="s">
        <v>257</v>
      </c>
      <c r="B261" s="52">
        <f>'Расчет субсидий'!AT261</f>
        <v>2.0272727272727167</v>
      </c>
      <c r="C261" s="54">
        <f>'Расчет субсидий'!D261-1</f>
        <v>-0.16413099535843223</v>
      </c>
      <c r="D261" s="54">
        <f>C261*'Расчет субсидий'!E261</f>
        <v>-1.6413099535843223</v>
      </c>
      <c r="E261" s="55">
        <f t="shared" si="89"/>
        <v>-1.6435682780430032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4">
        <f>'Расчет субсидий'!P261-1</f>
        <v>0.13288224790903125</v>
      </c>
      <c r="M261" s="54">
        <f>L261*'Расчет субсидий'!Q261</f>
        <v>2.657644958180625</v>
      </c>
      <c r="N261" s="55">
        <f t="shared" si="90"/>
        <v>2.6613016865142605</v>
      </c>
      <c r="O261" s="54">
        <f>'Расчет субсидий'!T261-1</f>
        <v>8.7499999999999911E-2</v>
      </c>
      <c r="P261" s="54">
        <f>O261*'Расчет субсидий'!U261</f>
        <v>1.3124999999999987</v>
      </c>
      <c r="Q261" s="55">
        <f t="shared" si="91"/>
        <v>1.3143059056094455</v>
      </c>
      <c r="R261" s="54">
        <f>'Расчет субсидий'!X261-1</f>
        <v>-8.6956521739129933E-3</v>
      </c>
      <c r="S261" s="54">
        <f>R261*'Расчет субсидий'!Y261</f>
        <v>-0.30434782608695476</v>
      </c>
      <c r="T261" s="55">
        <f t="shared" si="92"/>
        <v>-0.30476658680798591</v>
      </c>
      <c r="U261" s="60" t="s">
        <v>385</v>
      </c>
      <c r="V261" s="60" t="s">
        <v>385</v>
      </c>
      <c r="W261" s="61" t="s">
        <v>385</v>
      </c>
      <c r="X261" s="73">
        <f>'Расчет субсидий'!AF261-1</f>
        <v>0</v>
      </c>
      <c r="Y261" s="73">
        <f>X261*'Расчет субсидий'!AG261</f>
        <v>0</v>
      </c>
      <c r="Z261" s="55">
        <f t="shared" si="87"/>
        <v>0</v>
      </c>
      <c r="AA261" s="27" t="s">
        <v>367</v>
      </c>
      <c r="AB261" s="27" t="s">
        <v>367</v>
      </c>
      <c r="AC261" s="27" t="s">
        <v>367</v>
      </c>
      <c r="AD261" s="27" t="s">
        <v>367</v>
      </c>
      <c r="AE261" s="27" t="s">
        <v>367</v>
      </c>
      <c r="AF261" s="27" t="s">
        <v>367</v>
      </c>
      <c r="AG261" s="54">
        <f t="shared" si="88"/>
        <v>2.0244871785093466</v>
      </c>
    </row>
    <row r="262" spans="1:33" ht="15" customHeight="1">
      <c r="A262" s="32" t="s">
        <v>258</v>
      </c>
      <c r="B262" s="56"/>
      <c r="C262" s="57"/>
      <c r="D262" s="57"/>
      <c r="E262" s="58"/>
      <c r="F262" s="57"/>
      <c r="G262" s="57"/>
      <c r="H262" s="58"/>
      <c r="I262" s="58"/>
      <c r="J262" s="58"/>
      <c r="K262" s="58"/>
      <c r="L262" s="57"/>
      <c r="M262" s="57"/>
      <c r="N262" s="58"/>
      <c r="O262" s="57"/>
      <c r="P262" s="57"/>
      <c r="Q262" s="58"/>
      <c r="R262" s="57"/>
      <c r="S262" s="57"/>
      <c r="T262" s="58"/>
      <c r="U262" s="58"/>
      <c r="V262" s="58"/>
      <c r="W262" s="58"/>
      <c r="X262" s="75"/>
      <c r="Y262" s="75"/>
      <c r="Z262" s="58"/>
      <c r="AA262" s="58"/>
      <c r="AB262" s="58"/>
      <c r="AC262" s="58"/>
      <c r="AD262" s="58"/>
      <c r="AE262" s="58"/>
      <c r="AF262" s="58"/>
      <c r="AG262" s="58"/>
    </row>
    <row r="263" spans="1:33" ht="15" customHeight="1">
      <c r="A263" s="33" t="s">
        <v>259</v>
      </c>
      <c r="B263" s="52">
        <f>'Расчет субсидий'!AT263</f>
        <v>10.545454545454547</v>
      </c>
      <c r="C263" s="54">
        <f>'Расчет субсидий'!D263-1</f>
        <v>-1</v>
      </c>
      <c r="D263" s="54">
        <f>C263*'Расчет субсидий'!E263</f>
        <v>0</v>
      </c>
      <c r="E263" s="55">
        <f t="shared" ref="E263:E279" si="93">$B263*D263/$AG263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4">
        <f>'Расчет субсидий'!P263-1</f>
        <v>0.30000000000000004</v>
      </c>
      <c r="M263" s="54">
        <f>L263*'Расчет субсидий'!Q263</f>
        <v>6.0000000000000009</v>
      </c>
      <c r="N263" s="55">
        <f t="shared" ref="N263:N279" si="94">$B263*M263/$AG263</f>
        <v>5.7871396895787148</v>
      </c>
      <c r="O263" s="54">
        <f>'Расчет субсидий'!T263-1</f>
        <v>0</v>
      </c>
      <c r="P263" s="54">
        <f>O263*'Расчет субсидий'!U263</f>
        <v>0</v>
      </c>
      <c r="Q263" s="55">
        <f t="shared" ref="Q263:Q279" si="95">$B263*P263/$AG263</f>
        <v>0</v>
      </c>
      <c r="R263" s="54">
        <f>'Расчет субсидий'!X263-1</f>
        <v>0</v>
      </c>
      <c r="S263" s="54">
        <f>R263*'Расчет субсидий'!Y263</f>
        <v>0</v>
      </c>
      <c r="T263" s="55">
        <f t="shared" ref="T263:T279" si="96">$B263*S263/$AG263</f>
        <v>0</v>
      </c>
      <c r="U263" s="60" t="s">
        <v>385</v>
      </c>
      <c r="V263" s="60" t="s">
        <v>385</v>
      </c>
      <c r="W263" s="61" t="s">
        <v>385</v>
      </c>
      <c r="X263" s="73">
        <f>'Расчет субсидий'!AF263-1</f>
        <v>0.24666666666666659</v>
      </c>
      <c r="Y263" s="73">
        <f>X263*'Расчет субсидий'!AG263</f>
        <v>4.9333333333333318</v>
      </c>
      <c r="Z263" s="55">
        <f t="shared" si="87"/>
        <v>4.758314855875831</v>
      </c>
      <c r="AA263" s="27" t="s">
        <v>367</v>
      </c>
      <c r="AB263" s="27" t="s">
        <v>367</v>
      </c>
      <c r="AC263" s="27" t="s">
        <v>367</v>
      </c>
      <c r="AD263" s="27" t="s">
        <v>367</v>
      </c>
      <c r="AE263" s="27" t="s">
        <v>367</v>
      </c>
      <c r="AF263" s="27" t="s">
        <v>367</v>
      </c>
      <c r="AG263" s="54">
        <f t="shared" si="88"/>
        <v>10.933333333333334</v>
      </c>
    </row>
    <row r="264" spans="1:33" ht="15" customHeight="1">
      <c r="A264" s="33" t="s">
        <v>260</v>
      </c>
      <c r="B264" s="52">
        <f>'Расчет субсидий'!AT264</f>
        <v>15.22727272727272</v>
      </c>
      <c r="C264" s="54">
        <f>'Расчет субсидий'!D264-1</f>
        <v>-1</v>
      </c>
      <c r="D264" s="54">
        <f>C264*'Расчет субсидий'!E264</f>
        <v>0</v>
      </c>
      <c r="E264" s="55">
        <f t="shared" si="93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4">
        <f>'Расчет субсидий'!P264-1</f>
        <v>0.16628830874006817</v>
      </c>
      <c r="M264" s="54">
        <f>L264*'Расчет субсидий'!Q264</f>
        <v>3.3257661748013634</v>
      </c>
      <c r="N264" s="55">
        <f t="shared" si="94"/>
        <v>5.2070292109272529</v>
      </c>
      <c r="O264" s="54">
        <f>'Расчет субсидий'!T264-1</f>
        <v>0</v>
      </c>
      <c r="P264" s="54">
        <f>O264*'Расчет субсидий'!U264</f>
        <v>0</v>
      </c>
      <c r="Q264" s="55">
        <f t="shared" si="95"/>
        <v>0</v>
      </c>
      <c r="R264" s="54">
        <f>'Расчет субсидий'!X264-1</f>
        <v>0.21333333333333337</v>
      </c>
      <c r="S264" s="54">
        <f>R264*'Расчет субсидий'!Y264</f>
        <v>6.4000000000000012</v>
      </c>
      <c r="T264" s="55">
        <f t="shared" si="96"/>
        <v>10.020243516345467</v>
      </c>
      <c r="U264" s="60" t="s">
        <v>385</v>
      </c>
      <c r="V264" s="60" t="s">
        <v>385</v>
      </c>
      <c r="W264" s="61" t="s">
        <v>385</v>
      </c>
      <c r="X264" s="73">
        <f>'Расчет субсидий'!AF264-1</f>
        <v>0</v>
      </c>
      <c r="Y264" s="73">
        <f>X264*'Расчет субсидий'!AG264</f>
        <v>0</v>
      </c>
      <c r="Z264" s="55">
        <f t="shared" si="87"/>
        <v>0</v>
      </c>
      <c r="AA264" s="27" t="s">
        <v>367</v>
      </c>
      <c r="AB264" s="27" t="s">
        <v>367</v>
      </c>
      <c r="AC264" s="27" t="s">
        <v>367</v>
      </c>
      <c r="AD264" s="27" t="s">
        <v>367</v>
      </c>
      <c r="AE264" s="27" t="s">
        <v>367</v>
      </c>
      <c r="AF264" s="27" t="s">
        <v>367</v>
      </c>
      <c r="AG264" s="54">
        <f t="shared" si="88"/>
        <v>9.7257661748013646</v>
      </c>
    </row>
    <row r="265" spans="1:33" ht="15" customHeight="1">
      <c r="A265" s="33" t="s">
        <v>261</v>
      </c>
      <c r="B265" s="52">
        <f>'Расчет субсидий'!AT265</f>
        <v>-1.7363636363636346</v>
      </c>
      <c r="C265" s="54">
        <f>'Расчет субсидий'!D265-1</f>
        <v>-1</v>
      </c>
      <c r="D265" s="54">
        <f>C265*'Расчет субсидий'!E265</f>
        <v>0</v>
      </c>
      <c r="E265" s="55">
        <f t="shared" si="93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4">
        <f>'Расчет субсидий'!P265-1</f>
        <v>-0.10193970946343112</v>
      </c>
      <c r="M265" s="54">
        <f>L265*'Расчет субсидий'!Q265</f>
        <v>-2.0387941892686223</v>
      </c>
      <c r="N265" s="55">
        <f t="shared" si="94"/>
        <v>-2.6876986860713763</v>
      </c>
      <c r="O265" s="54">
        <f>'Расчет субсидий'!T265-1</f>
        <v>0</v>
      </c>
      <c r="P265" s="54">
        <f>O265*'Расчет субсидий'!U265</f>
        <v>0</v>
      </c>
      <c r="Q265" s="55">
        <f t="shared" si="95"/>
        <v>0</v>
      </c>
      <c r="R265" s="54">
        <f>'Расчет субсидий'!X265-1</f>
        <v>0</v>
      </c>
      <c r="S265" s="54">
        <f>R265*'Расчет субсидий'!Y265</f>
        <v>0</v>
      </c>
      <c r="T265" s="55">
        <f t="shared" si="96"/>
        <v>0</v>
      </c>
      <c r="U265" s="60" t="s">
        <v>385</v>
      </c>
      <c r="V265" s="60" t="s">
        <v>385</v>
      </c>
      <c r="W265" s="61" t="s">
        <v>385</v>
      </c>
      <c r="X265" s="73">
        <f>'Расчет субсидий'!AF265-1</f>
        <v>3.6082474226804218E-2</v>
      </c>
      <c r="Y265" s="73">
        <f>X265*'Расчет субсидий'!AG265</f>
        <v>0.72164948453608435</v>
      </c>
      <c r="Z265" s="55">
        <f t="shared" si="87"/>
        <v>0.95133504970774174</v>
      </c>
      <c r="AA265" s="27" t="s">
        <v>367</v>
      </c>
      <c r="AB265" s="27" t="s">
        <v>367</v>
      </c>
      <c r="AC265" s="27" t="s">
        <v>367</v>
      </c>
      <c r="AD265" s="27" t="s">
        <v>367</v>
      </c>
      <c r="AE265" s="27" t="s">
        <v>367</v>
      </c>
      <c r="AF265" s="27" t="s">
        <v>367</v>
      </c>
      <c r="AG265" s="54">
        <f t="shared" si="88"/>
        <v>-1.317144704732538</v>
      </c>
    </row>
    <row r="266" spans="1:33" ht="15" customHeight="1">
      <c r="A266" s="33" t="s">
        <v>262</v>
      </c>
      <c r="B266" s="52">
        <f>'Расчет субсидий'!AT266</f>
        <v>-10.036363636363603</v>
      </c>
      <c r="C266" s="54">
        <f>'Расчет субсидий'!D266-1</f>
        <v>-1</v>
      </c>
      <c r="D266" s="54">
        <f>C266*'Расчет субсидий'!E266</f>
        <v>0</v>
      </c>
      <c r="E266" s="55">
        <f t="shared" si="93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4">
        <f>'Расчет субсидий'!P266-1</f>
        <v>-0.16798642533936659</v>
      </c>
      <c r="M266" s="54">
        <f>L266*'Расчет субсидий'!Q266</f>
        <v>-3.3597285067873317</v>
      </c>
      <c r="N266" s="55">
        <f t="shared" si="94"/>
        <v>-11.278028839660113</v>
      </c>
      <c r="O266" s="54">
        <f>'Расчет субсидий'!T266-1</f>
        <v>4.0000000000000036E-2</v>
      </c>
      <c r="P266" s="54">
        <f>O266*'Расчет субсидий'!U266</f>
        <v>0.80000000000000071</v>
      </c>
      <c r="Q266" s="55">
        <f t="shared" si="95"/>
        <v>2.6854619513157023</v>
      </c>
      <c r="R266" s="54">
        <f>'Расчет субсидий'!X266-1</f>
        <v>0</v>
      </c>
      <c r="S266" s="54">
        <f>R266*'Расчет субсидий'!Y266</f>
        <v>0</v>
      </c>
      <c r="T266" s="55">
        <f t="shared" si="96"/>
        <v>0</v>
      </c>
      <c r="U266" s="60" t="s">
        <v>385</v>
      </c>
      <c r="V266" s="60" t="s">
        <v>385</v>
      </c>
      <c r="W266" s="61" t="s">
        <v>385</v>
      </c>
      <c r="X266" s="73">
        <f>'Расчет субсидий'!AF266-1</f>
        <v>-2.1505376344086002E-2</v>
      </c>
      <c r="Y266" s="73">
        <f>X266*'Расчет субсидий'!AG266</f>
        <v>-0.43010752688172005</v>
      </c>
      <c r="Z266" s="55">
        <f t="shared" si="87"/>
        <v>-1.4437967480191922</v>
      </c>
      <c r="AA266" s="27" t="s">
        <v>367</v>
      </c>
      <c r="AB266" s="27" t="s">
        <v>367</v>
      </c>
      <c r="AC266" s="27" t="s">
        <v>367</v>
      </c>
      <c r="AD266" s="27" t="s">
        <v>367</v>
      </c>
      <c r="AE266" s="27" t="s">
        <v>367</v>
      </c>
      <c r="AF266" s="27" t="s">
        <v>367</v>
      </c>
      <c r="AG266" s="54">
        <f t="shared" si="88"/>
        <v>-2.989836033669051</v>
      </c>
    </row>
    <row r="267" spans="1:33" ht="15" customHeight="1">
      <c r="A267" s="33" t="s">
        <v>263</v>
      </c>
      <c r="B267" s="52">
        <f>'Расчет субсидий'!AT267</f>
        <v>-11.672727272727286</v>
      </c>
      <c r="C267" s="54">
        <f>'Расчет субсидий'!D267-1</f>
        <v>-6.4575645756457578E-2</v>
      </c>
      <c r="D267" s="54">
        <f>C267*'Расчет субсидий'!E267</f>
        <v>-0.64575645756457578</v>
      </c>
      <c r="E267" s="55">
        <f t="shared" si="93"/>
        <v>-1.0446967671783174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4">
        <f>'Расчет субсидий'!P267-1</f>
        <v>-0.4284742303112774</v>
      </c>
      <c r="M267" s="54">
        <f>L267*'Расчет субсидий'!Q267</f>
        <v>-8.5694846062255472</v>
      </c>
      <c r="N267" s="55">
        <f t="shared" si="94"/>
        <v>-13.86360563589553</v>
      </c>
      <c r="O267" s="54">
        <f>'Расчет субсидий'!T267-1</f>
        <v>0</v>
      </c>
      <c r="P267" s="54">
        <f>O267*'Расчет субсидий'!U267</f>
        <v>0</v>
      </c>
      <c r="Q267" s="55">
        <f t="shared" si="95"/>
        <v>0</v>
      </c>
      <c r="R267" s="54">
        <f>'Расчет субсидий'!X267-1</f>
        <v>6.6666666666666652E-2</v>
      </c>
      <c r="S267" s="54">
        <f>R267*'Расчет субсидий'!Y267</f>
        <v>1.9999999999999996</v>
      </c>
      <c r="T267" s="55">
        <f t="shared" si="96"/>
        <v>3.2355751303465587</v>
      </c>
      <c r="U267" s="60" t="s">
        <v>385</v>
      </c>
      <c r="V267" s="60" t="s">
        <v>385</v>
      </c>
      <c r="W267" s="61" t="s">
        <v>385</v>
      </c>
      <c r="X267" s="73">
        <f>'Расчет субсидий'!AF267-1</f>
        <v>0</v>
      </c>
      <c r="Y267" s="73">
        <f>X267*'Расчет субсидий'!AG267</f>
        <v>0</v>
      </c>
      <c r="Z267" s="55">
        <f t="shared" si="87"/>
        <v>0</v>
      </c>
      <c r="AA267" s="27" t="s">
        <v>367</v>
      </c>
      <c r="AB267" s="27" t="s">
        <v>367</v>
      </c>
      <c r="AC267" s="27" t="s">
        <v>367</v>
      </c>
      <c r="AD267" s="27" t="s">
        <v>367</v>
      </c>
      <c r="AE267" s="27" t="s">
        <v>367</v>
      </c>
      <c r="AF267" s="27" t="s">
        <v>367</v>
      </c>
      <c r="AG267" s="54">
        <f t="shared" si="88"/>
        <v>-7.2152410637901223</v>
      </c>
    </row>
    <row r="268" spans="1:33" ht="15" customHeight="1">
      <c r="A268" s="33" t="s">
        <v>264</v>
      </c>
      <c r="B268" s="52">
        <f>'Расчет субсидий'!AT268</f>
        <v>12.154545454545456</v>
      </c>
      <c r="C268" s="54">
        <f>'Расчет субсидий'!D268-1</f>
        <v>-1</v>
      </c>
      <c r="D268" s="54">
        <f>C268*'Расчет субсидий'!E268</f>
        <v>0</v>
      </c>
      <c r="E268" s="55">
        <f t="shared" si="93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4">
        <f>'Расчет субсидий'!P268-1</f>
        <v>-0.12144955925563172</v>
      </c>
      <c r="M268" s="54">
        <f>L268*'Расчет субсидий'!Q268</f>
        <v>-2.4289911851126345</v>
      </c>
      <c r="N268" s="55">
        <f t="shared" si="94"/>
        <v>-5.0456896526551089</v>
      </c>
      <c r="O268" s="54">
        <f>'Расчет субсидий'!T268-1</f>
        <v>5.0000000000000044E-2</v>
      </c>
      <c r="P268" s="54">
        <f>O268*'Расчет субсидий'!U268</f>
        <v>0.75000000000000067</v>
      </c>
      <c r="Q268" s="55">
        <f t="shared" si="95"/>
        <v>1.5579584078712314</v>
      </c>
      <c r="R268" s="54">
        <f>'Расчет субсидий'!X268-1</f>
        <v>0.20999999999999996</v>
      </c>
      <c r="S268" s="54">
        <f>R268*'Расчет субсидий'!Y268</f>
        <v>7.3499999999999988</v>
      </c>
      <c r="T268" s="55">
        <f t="shared" si="96"/>
        <v>15.26799239713805</v>
      </c>
      <c r="U268" s="60" t="s">
        <v>385</v>
      </c>
      <c r="V268" s="60" t="s">
        <v>385</v>
      </c>
      <c r="W268" s="61" t="s">
        <v>385</v>
      </c>
      <c r="X268" s="73">
        <f>'Расчет субсидий'!AF268-1</f>
        <v>9.009009009008917E-3</v>
      </c>
      <c r="Y268" s="73">
        <f>X268*'Расчет субсидий'!AG268</f>
        <v>0.18018018018017834</v>
      </c>
      <c r="Z268" s="55">
        <f t="shared" si="87"/>
        <v>0.37428430219128267</v>
      </c>
      <c r="AA268" s="27" t="s">
        <v>367</v>
      </c>
      <c r="AB268" s="27" t="s">
        <v>367</v>
      </c>
      <c r="AC268" s="27" t="s">
        <v>367</v>
      </c>
      <c r="AD268" s="27" t="s">
        <v>367</v>
      </c>
      <c r="AE268" s="27" t="s">
        <v>367</v>
      </c>
      <c r="AF268" s="27" t="s">
        <v>367</v>
      </c>
      <c r="AG268" s="54">
        <f t="shared" si="88"/>
        <v>5.8511889950675435</v>
      </c>
    </row>
    <row r="269" spans="1:33" ht="15" customHeight="1">
      <c r="A269" s="33" t="s">
        <v>265</v>
      </c>
      <c r="B269" s="52">
        <f>'Расчет субсидий'!AT269</f>
        <v>4.4909090909090708</v>
      </c>
      <c r="C269" s="54">
        <f>'Расчет субсидий'!D269-1</f>
        <v>-1</v>
      </c>
      <c r="D269" s="54">
        <f>C269*'Расчет субсидий'!E269</f>
        <v>0</v>
      </c>
      <c r="E269" s="55">
        <f t="shared" si="93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4">
        <f>'Расчет субсидий'!P269-1</f>
        <v>-0.14752441899629498</v>
      </c>
      <c r="M269" s="54">
        <f>L269*'Расчет субсидий'!Q269</f>
        <v>-2.9504883799258996</v>
      </c>
      <c r="N269" s="55">
        <f t="shared" si="94"/>
        <v>-7.1792822027882428</v>
      </c>
      <c r="O269" s="54">
        <f>'Расчет субсидий'!T269-1</f>
        <v>0.21399999999999997</v>
      </c>
      <c r="P269" s="54">
        <f>O269*'Расчет субсидий'!U269</f>
        <v>4.2799999999999994</v>
      </c>
      <c r="Q269" s="55">
        <f t="shared" si="95"/>
        <v>10.414319214741452</v>
      </c>
      <c r="R269" s="54">
        <f>'Расчет субсидий'!X269-1</f>
        <v>0</v>
      </c>
      <c r="S269" s="54">
        <f>R269*'Расчет субсидий'!Y269</f>
        <v>0</v>
      </c>
      <c r="T269" s="55">
        <f t="shared" si="96"/>
        <v>0</v>
      </c>
      <c r="U269" s="60" t="s">
        <v>385</v>
      </c>
      <c r="V269" s="60" t="s">
        <v>385</v>
      </c>
      <c r="W269" s="61" t="s">
        <v>385</v>
      </c>
      <c r="X269" s="73">
        <f>'Расчет субсидий'!AF269-1</f>
        <v>2.5806451612903292E-2</v>
      </c>
      <c r="Y269" s="73">
        <f>X269*'Расчет субсидий'!AG269</f>
        <v>0.51612903225806583</v>
      </c>
      <c r="Z269" s="55">
        <f t="shared" si="87"/>
        <v>1.2558720789558613</v>
      </c>
      <c r="AA269" s="27" t="s">
        <v>367</v>
      </c>
      <c r="AB269" s="27" t="s">
        <v>367</v>
      </c>
      <c r="AC269" s="27" t="s">
        <v>367</v>
      </c>
      <c r="AD269" s="27" t="s">
        <v>367</v>
      </c>
      <c r="AE269" s="27" t="s">
        <v>367</v>
      </c>
      <c r="AF269" s="27" t="s">
        <v>367</v>
      </c>
      <c r="AG269" s="54">
        <f t="shared" si="88"/>
        <v>1.8456406523321656</v>
      </c>
    </row>
    <row r="270" spans="1:33" ht="15" customHeight="1">
      <c r="A270" s="33" t="s">
        <v>266</v>
      </c>
      <c r="B270" s="52">
        <f>'Расчет субсидий'!AT270</f>
        <v>-21.800000000000011</v>
      </c>
      <c r="C270" s="54">
        <f>'Расчет субсидий'!D270-1</f>
        <v>-1</v>
      </c>
      <c r="D270" s="54">
        <f>C270*'Расчет субсидий'!E270</f>
        <v>0</v>
      </c>
      <c r="E270" s="55">
        <f t="shared" si="93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4">
        <f>'Расчет субсидий'!P270-1</f>
        <v>-0.4626931567328918</v>
      </c>
      <c r="M270" s="54">
        <f>L270*'Расчет субсидий'!Q270</f>
        <v>-9.2538631346578359</v>
      </c>
      <c r="N270" s="55">
        <f t="shared" si="94"/>
        <v>-23.492442159383053</v>
      </c>
      <c r="O270" s="54">
        <f>'Расчет субсидий'!T270-1</f>
        <v>0</v>
      </c>
      <c r="P270" s="54">
        <f>O270*'Расчет субсидий'!U270</f>
        <v>0</v>
      </c>
      <c r="Q270" s="55">
        <f t="shared" si="95"/>
        <v>0</v>
      </c>
      <c r="R270" s="54">
        <f>'Расчет субсидий'!X270-1</f>
        <v>3.3333333333333437E-2</v>
      </c>
      <c r="S270" s="54">
        <f>R270*'Расчет субсидий'!Y270</f>
        <v>0.66666666666666874</v>
      </c>
      <c r="T270" s="55">
        <f t="shared" si="96"/>
        <v>1.6924421593830403</v>
      </c>
      <c r="U270" s="60" t="s">
        <v>385</v>
      </c>
      <c r="V270" s="60" t="s">
        <v>385</v>
      </c>
      <c r="W270" s="61" t="s">
        <v>385</v>
      </c>
      <c r="X270" s="73">
        <f>'Расчет субсидий'!AF270-1</f>
        <v>0</v>
      </c>
      <c r="Y270" s="73">
        <f>X270*'Расчет субсидий'!AG270</f>
        <v>0</v>
      </c>
      <c r="Z270" s="55">
        <f t="shared" si="87"/>
        <v>0</v>
      </c>
      <c r="AA270" s="27" t="s">
        <v>367</v>
      </c>
      <c r="AB270" s="27" t="s">
        <v>367</v>
      </c>
      <c r="AC270" s="27" t="s">
        <v>367</v>
      </c>
      <c r="AD270" s="27" t="s">
        <v>367</v>
      </c>
      <c r="AE270" s="27" t="s">
        <v>367</v>
      </c>
      <c r="AF270" s="27" t="s">
        <v>367</v>
      </c>
      <c r="AG270" s="54">
        <f t="shared" si="88"/>
        <v>-8.5871964679911663</v>
      </c>
    </row>
    <row r="271" spans="1:33" ht="15" customHeight="1">
      <c r="A271" s="33" t="s">
        <v>267</v>
      </c>
      <c r="B271" s="52">
        <f>'Расчет субсидий'!AT271</f>
        <v>-61.599999999999994</v>
      </c>
      <c r="C271" s="54">
        <f>'Расчет субсидий'!D271-1</f>
        <v>-1</v>
      </c>
      <c r="D271" s="54">
        <f>C271*'Расчет субсидий'!E271</f>
        <v>0</v>
      </c>
      <c r="E271" s="55">
        <f t="shared" si="93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4">
        <f>'Расчет субсидий'!P271-1</f>
        <v>-0.12193877551020416</v>
      </c>
      <c r="M271" s="54">
        <f>L271*'Расчет субсидий'!Q271</f>
        <v>-2.4387755102040831</v>
      </c>
      <c r="N271" s="55">
        <f t="shared" si="94"/>
        <v>-4.6311418685121133</v>
      </c>
      <c r="O271" s="54">
        <f>'Расчет субсидий'!T271-1</f>
        <v>0</v>
      </c>
      <c r="P271" s="54">
        <f>O271*'Расчет субсидий'!U271</f>
        <v>0</v>
      </c>
      <c r="Q271" s="55">
        <f t="shared" si="95"/>
        <v>0</v>
      </c>
      <c r="R271" s="54">
        <f>'Расчет субсидий'!X271-1</f>
        <v>-1</v>
      </c>
      <c r="S271" s="54">
        <f>R271*'Расчет субсидий'!Y271</f>
        <v>-30</v>
      </c>
      <c r="T271" s="55">
        <f t="shared" si="96"/>
        <v>-56.968858131487885</v>
      </c>
      <c r="U271" s="60" t="s">
        <v>385</v>
      </c>
      <c r="V271" s="60" t="s">
        <v>385</v>
      </c>
      <c r="W271" s="61" t="s">
        <v>385</v>
      </c>
      <c r="X271" s="73">
        <f>'Расчет субсидий'!AF271-1</f>
        <v>0</v>
      </c>
      <c r="Y271" s="73">
        <f>X271*'Расчет субсидий'!AG271</f>
        <v>0</v>
      </c>
      <c r="Z271" s="55">
        <f t="shared" si="87"/>
        <v>0</v>
      </c>
      <c r="AA271" s="27" t="s">
        <v>367</v>
      </c>
      <c r="AB271" s="27" t="s">
        <v>367</v>
      </c>
      <c r="AC271" s="27" t="s">
        <v>367</v>
      </c>
      <c r="AD271" s="27" t="s">
        <v>367</v>
      </c>
      <c r="AE271" s="27" t="s">
        <v>367</v>
      </c>
      <c r="AF271" s="27" t="s">
        <v>367</v>
      </c>
      <c r="AG271" s="54">
        <f t="shared" si="88"/>
        <v>-32.438775510204081</v>
      </c>
    </row>
    <row r="272" spans="1:33" ht="15" customHeight="1">
      <c r="A272" s="33" t="s">
        <v>268</v>
      </c>
      <c r="B272" s="52">
        <f>'Расчет субсидий'!AT272</f>
        <v>15.26363636363638</v>
      </c>
      <c r="C272" s="54">
        <f>'Расчет субсидий'!D272-1</f>
        <v>-1</v>
      </c>
      <c r="D272" s="54">
        <f>C272*'Расчет субсидий'!E272</f>
        <v>0</v>
      </c>
      <c r="E272" s="55">
        <f t="shared" si="93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4">
        <f>'Расчет субсидий'!P272-1</f>
        <v>-2.289683560586564E-2</v>
      </c>
      <c r="M272" s="54">
        <f>L272*'Расчет субсидий'!Q272</f>
        <v>-0.45793671211731279</v>
      </c>
      <c r="N272" s="55">
        <f t="shared" si="94"/>
        <v>-1.03213361045642</v>
      </c>
      <c r="O272" s="54">
        <f>'Расчет субсидий'!T272-1</f>
        <v>1.6666666666666607E-2</v>
      </c>
      <c r="P272" s="54">
        <f>O272*'Расчет субсидий'!U272</f>
        <v>0.24999999999999911</v>
      </c>
      <c r="Q272" s="55">
        <f t="shared" si="95"/>
        <v>0.56346957076462101</v>
      </c>
      <c r="R272" s="54">
        <f>'Расчет субсидий'!X272-1</f>
        <v>7.4999999999999956E-2</v>
      </c>
      <c r="S272" s="54">
        <f>R272*'Расчет субсидий'!Y272</f>
        <v>2.6249999999999982</v>
      </c>
      <c r="T272" s="55">
        <f t="shared" si="96"/>
        <v>5.916430493028539</v>
      </c>
      <c r="U272" s="60" t="s">
        <v>385</v>
      </c>
      <c r="V272" s="60" t="s">
        <v>385</v>
      </c>
      <c r="W272" s="61" t="s">
        <v>385</v>
      </c>
      <c r="X272" s="73">
        <f>'Расчет субсидий'!AF272-1</f>
        <v>0.21775510204081638</v>
      </c>
      <c r="Y272" s="73">
        <f>X272*'Расчет субсидий'!AG272</f>
        <v>4.3551020408163277</v>
      </c>
      <c r="Z272" s="55">
        <f t="shared" si="87"/>
        <v>9.8158699102996394</v>
      </c>
      <c r="AA272" s="27" t="s">
        <v>367</v>
      </c>
      <c r="AB272" s="27" t="s">
        <v>367</v>
      </c>
      <c r="AC272" s="27" t="s">
        <v>367</v>
      </c>
      <c r="AD272" s="27" t="s">
        <v>367</v>
      </c>
      <c r="AE272" s="27" t="s">
        <v>367</v>
      </c>
      <c r="AF272" s="27" t="s">
        <v>367</v>
      </c>
      <c r="AG272" s="54">
        <f t="shared" si="88"/>
        <v>6.7721653286990122</v>
      </c>
    </row>
    <row r="273" spans="1:33" ht="15" customHeight="1">
      <c r="A273" s="33" t="s">
        <v>269</v>
      </c>
      <c r="B273" s="52">
        <f>'Расчет субсидий'!AT273</f>
        <v>-16.118181818181824</v>
      </c>
      <c r="C273" s="54">
        <f>'Расчет субсидий'!D273-1</f>
        <v>-1</v>
      </c>
      <c r="D273" s="54">
        <f>C273*'Расчет субсидий'!E273</f>
        <v>0</v>
      </c>
      <c r="E273" s="55">
        <f t="shared" si="93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4">
        <f>'Расчет субсидий'!P273-1</f>
        <v>-0.41652613827993257</v>
      </c>
      <c r="M273" s="54">
        <f>L273*'Расчет субсидий'!Q273</f>
        <v>-8.3305227655986513</v>
      </c>
      <c r="N273" s="55">
        <f t="shared" si="94"/>
        <v>-18.656867155096077</v>
      </c>
      <c r="O273" s="54">
        <f>'Расчет субсидий'!T273-1</f>
        <v>1.4285714285714235E-2</v>
      </c>
      <c r="P273" s="54">
        <f>O273*'Расчет субсидий'!U273</f>
        <v>0.35714285714285587</v>
      </c>
      <c r="Q273" s="55">
        <f t="shared" si="95"/>
        <v>0.79984978477240698</v>
      </c>
      <c r="R273" s="54">
        <f>'Расчет субсидий'!X273-1</f>
        <v>2.7777777777777901E-2</v>
      </c>
      <c r="S273" s="54">
        <f>R273*'Расчет субсидий'!Y273</f>
        <v>0.69444444444444753</v>
      </c>
      <c r="T273" s="55">
        <f t="shared" si="96"/>
        <v>1.5552634703908037</v>
      </c>
      <c r="U273" s="60" t="s">
        <v>385</v>
      </c>
      <c r="V273" s="60" t="s">
        <v>385</v>
      </c>
      <c r="W273" s="61" t="s">
        <v>385</v>
      </c>
      <c r="X273" s="73">
        <f>'Расчет субсидий'!AF273-1</f>
        <v>4.098360655737654E-3</v>
      </c>
      <c r="Y273" s="73">
        <f>X273*'Расчет субсидий'!AG273</f>
        <v>8.1967213114753079E-2</v>
      </c>
      <c r="Z273" s="55">
        <f t="shared" si="87"/>
        <v>0.18357208175104262</v>
      </c>
      <c r="AA273" s="27" t="s">
        <v>367</v>
      </c>
      <c r="AB273" s="27" t="s">
        <v>367</v>
      </c>
      <c r="AC273" s="27" t="s">
        <v>367</v>
      </c>
      <c r="AD273" s="27" t="s">
        <v>367</v>
      </c>
      <c r="AE273" s="27" t="s">
        <v>367</v>
      </c>
      <c r="AF273" s="27" t="s">
        <v>367</v>
      </c>
      <c r="AG273" s="54">
        <f t="shared" si="88"/>
        <v>-7.1969682508965951</v>
      </c>
    </row>
    <row r="274" spans="1:33" ht="15" customHeight="1">
      <c r="A274" s="33" t="s">
        <v>270</v>
      </c>
      <c r="B274" s="52">
        <f>'Расчет субсидий'!AT274</f>
        <v>-24.5</v>
      </c>
      <c r="C274" s="54">
        <f>'Расчет субсидий'!D274-1</f>
        <v>-1</v>
      </c>
      <c r="D274" s="54">
        <f>C274*'Расчет субсидий'!E274</f>
        <v>0</v>
      </c>
      <c r="E274" s="55">
        <f t="shared" si="93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4">
        <f>'Расчет субсидий'!P274-1</f>
        <v>-0.56252573781743309</v>
      </c>
      <c r="M274" s="54">
        <f>L274*'Расчет субсидий'!Q274</f>
        <v>-11.250514756348661</v>
      </c>
      <c r="N274" s="55">
        <f t="shared" si="94"/>
        <v>-30.394402245706743</v>
      </c>
      <c r="O274" s="54">
        <f>'Расчет субсидий'!T274-1</f>
        <v>0</v>
      </c>
      <c r="P274" s="54">
        <f>O274*'Расчет субсидий'!U274</f>
        <v>0</v>
      </c>
      <c r="Q274" s="55">
        <f t="shared" si="95"/>
        <v>0</v>
      </c>
      <c r="R274" s="54">
        <f>'Расчет субсидий'!X274-1</f>
        <v>7.2727272727272751E-2</v>
      </c>
      <c r="S274" s="54">
        <f>R274*'Расчет субсидий'!Y274</f>
        <v>2.1818181818181825</v>
      </c>
      <c r="T274" s="55">
        <f t="shared" si="96"/>
        <v>5.8944022457067407</v>
      </c>
      <c r="U274" s="60" t="s">
        <v>385</v>
      </c>
      <c r="V274" s="60" t="s">
        <v>385</v>
      </c>
      <c r="W274" s="61" t="s">
        <v>385</v>
      </c>
      <c r="X274" s="73">
        <f>'Расчет субсидий'!AF274-1</f>
        <v>0</v>
      </c>
      <c r="Y274" s="73">
        <f>X274*'Расчет субсидий'!AG274</f>
        <v>0</v>
      </c>
      <c r="Z274" s="55">
        <f t="shared" si="87"/>
        <v>0</v>
      </c>
      <c r="AA274" s="27" t="s">
        <v>367</v>
      </c>
      <c r="AB274" s="27" t="s">
        <v>367</v>
      </c>
      <c r="AC274" s="27" t="s">
        <v>367</v>
      </c>
      <c r="AD274" s="27" t="s">
        <v>367</v>
      </c>
      <c r="AE274" s="27" t="s">
        <v>367</v>
      </c>
      <c r="AF274" s="27" t="s">
        <v>367</v>
      </c>
      <c r="AG274" s="54">
        <f t="shared" si="88"/>
        <v>-9.0686965745304775</v>
      </c>
    </row>
    <row r="275" spans="1:33" ht="15" customHeight="1">
      <c r="A275" s="33" t="s">
        <v>271</v>
      </c>
      <c r="B275" s="52">
        <f>'Расчет субсидий'!AT275</f>
        <v>11.927272727272737</v>
      </c>
      <c r="C275" s="54">
        <f>'Расчет субсидий'!D275-1</f>
        <v>9.3114524564510193E-2</v>
      </c>
      <c r="D275" s="54">
        <f>C275*'Расчет субсидий'!E275</f>
        <v>0.93114524564510193</v>
      </c>
      <c r="E275" s="55">
        <f t="shared" si="93"/>
        <v>2.3963359976682215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4">
        <f>'Расчет субсидий'!P275-1</f>
        <v>5.0912737300303323E-2</v>
      </c>
      <c r="M275" s="54">
        <f>L275*'Расчет субсидий'!Q275</f>
        <v>1.0182547460060665</v>
      </c>
      <c r="N275" s="55">
        <f t="shared" si="94"/>
        <v>2.6205154502618431</v>
      </c>
      <c r="O275" s="54">
        <f>'Расчет субсидий'!T275-1</f>
        <v>3.3333333333333437E-2</v>
      </c>
      <c r="P275" s="54">
        <f>O275*'Расчет субсидий'!U275</f>
        <v>0.50000000000000155</v>
      </c>
      <c r="Q275" s="55">
        <f t="shared" si="95"/>
        <v>1.2867681002913975</v>
      </c>
      <c r="R275" s="54">
        <f>'Расчет субсидий'!X275-1</f>
        <v>6.6666666666666652E-2</v>
      </c>
      <c r="S275" s="54">
        <f>R275*'Расчет субсидий'!Y275</f>
        <v>2.333333333333333</v>
      </c>
      <c r="T275" s="55">
        <f t="shared" si="96"/>
        <v>6.0049178013598361</v>
      </c>
      <c r="U275" s="60" t="s">
        <v>385</v>
      </c>
      <c r="V275" s="60" t="s">
        <v>385</v>
      </c>
      <c r="W275" s="61" t="s">
        <v>385</v>
      </c>
      <c r="X275" s="73">
        <f>'Расчет субсидий'!AF275-1</f>
        <v>-7.4074074074074181E-3</v>
      </c>
      <c r="Y275" s="73">
        <f>X275*'Расчет субсидий'!AG275</f>
        <v>-0.14814814814814836</v>
      </c>
      <c r="Z275" s="55">
        <f t="shared" si="87"/>
        <v>-0.38126462230856156</v>
      </c>
      <c r="AA275" s="27" t="s">
        <v>367</v>
      </c>
      <c r="AB275" s="27" t="s">
        <v>367</v>
      </c>
      <c r="AC275" s="27" t="s">
        <v>367</v>
      </c>
      <c r="AD275" s="27" t="s">
        <v>367</v>
      </c>
      <c r="AE275" s="27" t="s">
        <v>367</v>
      </c>
      <c r="AF275" s="27" t="s">
        <v>367</v>
      </c>
      <c r="AG275" s="54">
        <f t="shared" si="88"/>
        <v>4.6345851768363548</v>
      </c>
    </row>
    <row r="276" spans="1:33" ht="15" customHeight="1">
      <c r="A276" s="33" t="s">
        <v>272</v>
      </c>
      <c r="B276" s="52">
        <f>'Расчет субсидий'!AT276</f>
        <v>-9.2545454545454788</v>
      </c>
      <c r="C276" s="54">
        <f>'Расчет субсидий'!D276-1</f>
        <v>-0.37063529411764706</v>
      </c>
      <c r="D276" s="54">
        <f>C276*'Расчет субсидий'!E276</f>
        <v>-3.7063529411764708</v>
      </c>
      <c r="E276" s="55">
        <f t="shared" si="93"/>
        <v>-5.7883207071635789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4">
        <f>'Расчет субсидий'!P276-1</f>
        <v>-0.11097391572773574</v>
      </c>
      <c r="M276" s="54">
        <f>L276*'Расчет субсидий'!Q276</f>
        <v>-2.2194783145547148</v>
      </c>
      <c r="N276" s="55">
        <f t="shared" si="94"/>
        <v>-3.4662247473818999</v>
      </c>
      <c r="O276" s="54">
        <f>'Расчет субсидий'!T276-1</f>
        <v>0</v>
      </c>
      <c r="P276" s="54">
        <f>O276*'Расчет субсидий'!U276</f>
        <v>0</v>
      </c>
      <c r="Q276" s="55">
        <f t="shared" si="95"/>
        <v>0</v>
      </c>
      <c r="R276" s="54">
        <f>'Расчет субсидий'!X276-1</f>
        <v>0</v>
      </c>
      <c r="S276" s="54">
        <f>R276*'Расчет субсидий'!Y276</f>
        <v>0</v>
      </c>
      <c r="T276" s="55">
        <f t="shared" si="96"/>
        <v>0</v>
      </c>
      <c r="U276" s="60" t="s">
        <v>385</v>
      </c>
      <c r="V276" s="60" t="s">
        <v>385</v>
      </c>
      <c r="W276" s="61" t="s">
        <v>385</v>
      </c>
      <c r="X276" s="73">
        <f>'Расчет субсидий'!AF276-1</f>
        <v>0</v>
      </c>
      <c r="Y276" s="73">
        <f>X276*'Расчет субсидий'!AG276</f>
        <v>0</v>
      </c>
      <c r="Z276" s="55">
        <f t="shared" si="87"/>
        <v>0</v>
      </c>
      <c r="AA276" s="27" t="s">
        <v>367</v>
      </c>
      <c r="AB276" s="27" t="s">
        <v>367</v>
      </c>
      <c r="AC276" s="27" t="s">
        <v>367</v>
      </c>
      <c r="AD276" s="27" t="s">
        <v>367</v>
      </c>
      <c r="AE276" s="27" t="s">
        <v>367</v>
      </c>
      <c r="AF276" s="27" t="s">
        <v>367</v>
      </c>
      <c r="AG276" s="54">
        <f t="shared" si="88"/>
        <v>-5.9258312557311861</v>
      </c>
    </row>
    <row r="277" spans="1:33" ht="15" customHeight="1">
      <c r="A277" s="33" t="s">
        <v>273</v>
      </c>
      <c r="B277" s="52">
        <f>'Расчет субсидий'!AT277</f>
        <v>3.3454545454545723</v>
      </c>
      <c r="C277" s="54">
        <f>'Расчет субсидий'!D277-1</f>
        <v>-4.562883380435645E-2</v>
      </c>
      <c r="D277" s="54">
        <f>C277*'Расчет субсидий'!E277</f>
        <v>-0.4562883380435645</v>
      </c>
      <c r="E277" s="55">
        <f t="shared" si="93"/>
        <v>-1.0873014933273017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4">
        <f>'Расчет субсидий'!P277-1</f>
        <v>-0.18383592433039897</v>
      </c>
      <c r="M277" s="54">
        <f>L277*'Расчет субсидий'!Q277</f>
        <v>-3.6767184866079794</v>
      </c>
      <c r="N277" s="55">
        <f t="shared" si="94"/>
        <v>-8.7613492779017061</v>
      </c>
      <c r="O277" s="54">
        <f>'Расчет субсидий'!T277-1</f>
        <v>-1.9999999999999907E-2</v>
      </c>
      <c r="P277" s="54">
        <f>O277*'Расчет субсидий'!U277</f>
        <v>-9.9999999999999534E-2</v>
      </c>
      <c r="Q277" s="55">
        <f t="shared" si="95"/>
        <v>-0.23829263267813031</v>
      </c>
      <c r="R277" s="54">
        <f>'Расчет субсидий'!X277-1</f>
        <v>0.2088888888888889</v>
      </c>
      <c r="S277" s="54">
        <f>R277*'Расчет субсидий'!Y277</f>
        <v>9.4</v>
      </c>
      <c r="T277" s="55">
        <f t="shared" si="96"/>
        <v>22.399507471744357</v>
      </c>
      <c r="U277" s="60" t="s">
        <v>385</v>
      </c>
      <c r="V277" s="60" t="s">
        <v>385</v>
      </c>
      <c r="W277" s="61" t="s">
        <v>385</v>
      </c>
      <c r="X277" s="73">
        <f>'Расчет субсидий'!AF277-1</f>
        <v>-0.18815331010452963</v>
      </c>
      <c r="Y277" s="73">
        <f>X277*'Расчет субсидий'!AG277</f>
        <v>-3.7630662020905925</v>
      </c>
      <c r="Z277" s="55">
        <f t="shared" si="87"/>
        <v>-8.9671095223826462</v>
      </c>
      <c r="AA277" s="27" t="s">
        <v>367</v>
      </c>
      <c r="AB277" s="27" t="s">
        <v>367</v>
      </c>
      <c r="AC277" s="27" t="s">
        <v>367</v>
      </c>
      <c r="AD277" s="27" t="s">
        <v>367</v>
      </c>
      <c r="AE277" s="27" t="s">
        <v>367</v>
      </c>
      <c r="AF277" s="27" t="s">
        <v>367</v>
      </c>
      <c r="AG277" s="54">
        <f t="shared" si="88"/>
        <v>1.4039269732578648</v>
      </c>
    </row>
    <row r="278" spans="1:33" ht="15" customHeight="1">
      <c r="A278" s="33" t="s">
        <v>274</v>
      </c>
      <c r="B278" s="52">
        <f>'Расчет субсидий'!AT278</f>
        <v>0</v>
      </c>
      <c r="C278" s="54">
        <f>'Расчет субсидий'!D278-1</f>
        <v>2.703078381537849E-2</v>
      </c>
      <c r="D278" s="54">
        <f>C278*'Расчет субсидий'!E278</f>
        <v>0.2703078381537849</v>
      </c>
      <c r="E278" s="55">
        <f t="shared" si="93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4">
        <f>'Расчет субсидий'!P278-1</f>
        <v>0.20229820899309203</v>
      </c>
      <c r="M278" s="54">
        <f>L278*'Расчет субсидий'!Q278</f>
        <v>4.0459641798618406</v>
      </c>
      <c r="N278" s="55">
        <f t="shared" si="94"/>
        <v>0</v>
      </c>
      <c r="O278" s="54">
        <f>'Расчет субсидий'!T278-1</f>
        <v>0</v>
      </c>
      <c r="P278" s="54">
        <f>O278*'Расчет субсидий'!U278</f>
        <v>0</v>
      </c>
      <c r="Q278" s="55">
        <f t="shared" si="95"/>
        <v>0</v>
      </c>
      <c r="R278" s="54">
        <f>'Расчет субсидий'!X278-1</f>
        <v>0.21333333333333337</v>
      </c>
      <c r="S278" s="54">
        <f>R278*'Расчет субсидий'!Y278</f>
        <v>8.533333333333335</v>
      </c>
      <c r="T278" s="55">
        <f t="shared" si="96"/>
        <v>0</v>
      </c>
      <c r="U278" s="60" t="s">
        <v>385</v>
      </c>
      <c r="V278" s="60" t="s">
        <v>385</v>
      </c>
      <c r="W278" s="61" t="s">
        <v>385</v>
      </c>
      <c r="X278" s="73">
        <f>'Расчет субсидий'!AF278-1</f>
        <v>-0.19354838709677424</v>
      </c>
      <c r="Y278" s="73">
        <f>X278*'Расчет субсидий'!AG278</f>
        <v>-3.8709677419354849</v>
      </c>
      <c r="Z278" s="55">
        <f t="shared" si="87"/>
        <v>0</v>
      </c>
      <c r="AA278" s="27" t="s">
        <v>367</v>
      </c>
      <c r="AB278" s="27" t="s">
        <v>367</v>
      </c>
      <c r="AC278" s="27" t="s">
        <v>367</v>
      </c>
      <c r="AD278" s="27" t="s">
        <v>367</v>
      </c>
      <c r="AE278" s="27" t="s">
        <v>367</v>
      </c>
      <c r="AF278" s="27" t="s">
        <v>367</v>
      </c>
      <c r="AG278" s="54">
        <f t="shared" si="88"/>
        <v>8.9786376094134752</v>
      </c>
    </row>
    <row r="279" spans="1:33" ht="15" customHeight="1">
      <c r="A279" s="33" t="s">
        <v>167</v>
      </c>
      <c r="B279" s="52">
        <f>'Расчет субсидий'!AT279</f>
        <v>14.872727272727275</v>
      </c>
      <c r="C279" s="54">
        <f>'Расчет субсидий'!D279-1</f>
        <v>-1</v>
      </c>
      <c r="D279" s="54">
        <f>C279*'Расчет субсидий'!E279</f>
        <v>0</v>
      </c>
      <c r="E279" s="55">
        <f t="shared" si="93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4">
        <f>'Расчет субсидий'!P279-1</f>
        <v>0.22441489361702116</v>
      </c>
      <c r="M279" s="54">
        <f>L279*'Расчет субсидий'!Q279</f>
        <v>4.4882978723404232</v>
      </c>
      <c r="N279" s="55">
        <f t="shared" si="94"/>
        <v>11.621001262473857</v>
      </c>
      <c r="O279" s="54">
        <f>'Расчет субсидий'!T279-1</f>
        <v>1.513761467889907E-2</v>
      </c>
      <c r="P279" s="54">
        <f>O279*'Расчет субсидий'!U279</f>
        <v>0.37844036697247674</v>
      </c>
      <c r="Q279" s="55">
        <f t="shared" si="95"/>
        <v>0.97984940114167596</v>
      </c>
      <c r="R279" s="54">
        <f>'Расчет субсидий'!X279-1</f>
        <v>1.0000000000000009E-2</v>
      </c>
      <c r="S279" s="54">
        <f>R279*'Расчет субсидий'!Y279</f>
        <v>0.25000000000000022</v>
      </c>
      <c r="T279" s="55">
        <f t="shared" si="96"/>
        <v>0.64729445287541132</v>
      </c>
      <c r="U279" s="60" t="s">
        <v>385</v>
      </c>
      <c r="V279" s="60" t="s">
        <v>385</v>
      </c>
      <c r="W279" s="61" t="s">
        <v>385</v>
      </c>
      <c r="X279" s="73">
        <f>'Расчет субсидий'!AF279-1</f>
        <v>3.1372549019607954E-2</v>
      </c>
      <c r="Y279" s="73">
        <f>X279*'Расчет субсидий'!AG279</f>
        <v>0.62745098039215907</v>
      </c>
      <c r="Z279" s="55">
        <f t="shared" si="87"/>
        <v>1.6245821562363307</v>
      </c>
      <c r="AA279" s="27" t="s">
        <v>367</v>
      </c>
      <c r="AB279" s="27" t="s">
        <v>367</v>
      </c>
      <c r="AC279" s="27" t="s">
        <v>367</v>
      </c>
      <c r="AD279" s="27" t="s">
        <v>367</v>
      </c>
      <c r="AE279" s="27" t="s">
        <v>367</v>
      </c>
      <c r="AF279" s="27" t="s">
        <v>367</v>
      </c>
      <c r="AG279" s="54">
        <f t="shared" si="88"/>
        <v>5.744189219705059</v>
      </c>
    </row>
    <row r="280" spans="1:33" ht="15" customHeight="1">
      <c r="A280" s="32" t="s">
        <v>275</v>
      </c>
      <c r="B280" s="56"/>
      <c r="C280" s="57"/>
      <c r="D280" s="57"/>
      <c r="E280" s="58"/>
      <c r="F280" s="57"/>
      <c r="G280" s="57"/>
      <c r="H280" s="58"/>
      <c r="I280" s="58"/>
      <c r="J280" s="58"/>
      <c r="K280" s="58"/>
      <c r="L280" s="57"/>
      <c r="M280" s="57"/>
      <c r="N280" s="58"/>
      <c r="O280" s="57"/>
      <c r="P280" s="57"/>
      <c r="Q280" s="58"/>
      <c r="R280" s="57"/>
      <c r="S280" s="57"/>
      <c r="T280" s="58"/>
      <c r="U280" s="58"/>
      <c r="V280" s="58"/>
      <c r="W280" s="58"/>
      <c r="X280" s="75"/>
      <c r="Y280" s="75"/>
      <c r="Z280" s="58"/>
      <c r="AA280" s="58"/>
      <c r="AB280" s="58"/>
      <c r="AC280" s="58"/>
      <c r="AD280" s="58"/>
      <c r="AE280" s="58"/>
      <c r="AF280" s="58"/>
      <c r="AG280" s="58"/>
    </row>
    <row r="281" spans="1:33" ht="15" customHeight="1">
      <c r="A281" s="33" t="s">
        <v>71</v>
      </c>
      <c r="B281" s="52">
        <f>'Расчет субсидий'!AT281</f>
        <v>-22.209090909090918</v>
      </c>
      <c r="C281" s="54">
        <f>'Расчет субсидий'!D281-1</f>
        <v>-0.10684504462943933</v>
      </c>
      <c r="D281" s="54">
        <f>C281*'Расчет субсидий'!E281</f>
        <v>-1.0684504462943933</v>
      </c>
      <c r="E281" s="55">
        <f t="shared" ref="E281:E304" si="97">$B281*D281/$AG281</f>
        <v>-1.6900992542637299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4">
        <f>'Расчет субсидий'!P281-1</f>
        <v>-0.37860513896171999</v>
      </c>
      <c r="M281" s="54">
        <f>L281*'Расчет субсидий'!Q281</f>
        <v>-7.5721027792343998</v>
      </c>
      <c r="N281" s="55">
        <f t="shared" ref="N281:N304" si="98">$B281*M281/$AG281</f>
        <v>-11.977724661707159</v>
      </c>
      <c r="O281" s="54">
        <f>'Расчет субсидий'!T281-1</f>
        <v>0</v>
      </c>
      <c r="P281" s="54">
        <f>O281*'Расчет субсидий'!U281</f>
        <v>0</v>
      </c>
      <c r="Q281" s="55">
        <f t="shared" ref="Q281:Q304" si="99">$B281*P281/$AG281</f>
        <v>0</v>
      </c>
      <c r="R281" s="54">
        <f>'Расчет субсидий'!X281-1</f>
        <v>9.7873015873015889E-2</v>
      </c>
      <c r="S281" s="54">
        <f>R281*'Расчет субсидий'!Y281</f>
        <v>4.4042857142857148</v>
      </c>
      <c r="T281" s="55">
        <f t="shared" ref="T281:T304" si="100">$B281*S281/$AG281</f>
        <v>6.9667994684216792</v>
      </c>
      <c r="U281" s="60" t="s">
        <v>385</v>
      </c>
      <c r="V281" s="60" t="s">
        <v>385</v>
      </c>
      <c r="W281" s="61" t="s">
        <v>385</v>
      </c>
      <c r="X281" s="73">
        <f>'Расчет субсидий'!AF281-1</f>
        <v>-0.49019607843137258</v>
      </c>
      <c r="Y281" s="73">
        <f>X281*'Расчет субсидий'!AG281</f>
        <v>-9.8039215686274517</v>
      </c>
      <c r="Z281" s="55">
        <f t="shared" si="87"/>
        <v>-15.508066461541709</v>
      </c>
      <c r="AA281" s="27" t="s">
        <v>367</v>
      </c>
      <c r="AB281" s="27" t="s">
        <v>367</v>
      </c>
      <c r="AC281" s="27" t="s">
        <v>367</v>
      </c>
      <c r="AD281" s="27" t="s">
        <v>367</v>
      </c>
      <c r="AE281" s="27" t="s">
        <v>367</v>
      </c>
      <c r="AF281" s="27" t="s">
        <v>367</v>
      </c>
      <c r="AG281" s="54">
        <f t="shared" si="88"/>
        <v>-14.04018907987053</v>
      </c>
    </row>
    <row r="282" spans="1:33" ht="15" customHeight="1">
      <c r="A282" s="33" t="s">
        <v>276</v>
      </c>
      <c r="B282" s="52">
        <f>'Расчет субсидий'!AT282</f>
        <v>11.400000000000006</v>
      </c>
      <c r="C282" s="54">
        <f>'Расчет субсидий'!D282-1</f>
        <v>0</v>
      </c>
      <c r="D282" s="54">
        <f>C282*'Расчет субсидий'!E282</f>
        <v>0</v>
      </c>
      <c r="E282" s="55">
        <f t="shared" si="97"/>
        <v>0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4">
        <f>'Расчет субсидий'!P282-1</f>
        <v>0.23481120584652859</v>
      </c>
      <c r="M282" s="54">
        <f>L282*'Расчет субсидий'!Q282</f>
        <v>4.6962241169305718</v>
      </c>
      <c r="N282" s="55">
        <f t="shared" si="98"/>
        <v>7.211824300136036</v>
      </c>
      <c r="O282" s="54">
        <f>'Расчет субсидий'!T282-1</f>
        <v>0</v>
      </c>
      <c r="P282" s="54">
        <f>O282*'Расчет субсидий'!U282</f>
        <v>0</v>
      </c>
      <c r="Q282" s="55">
        <f t="shared" si="99"/>
        <v>0</v>
      </c>
      <c r="R282" s="54">
        <f>'Расчет субсидий'!X282-1</f>
        <v>0</v>
      </c>
      <c r="S282" s="54">
        <f>R282*'Расчет субсидий'!Y282</f>
        <v>0</v>
      </c>
      <c r="T282" s="55">
        <f t="shared" si="100"/>
        <v>0</v>
      </c>
      <c r="U282" s="60" t="s">
        <v>385</v>
      </c>
      <c r="V282" s="60" t="s">
        <v>385</v>
      </c>
      <c r="W282" s="61" t="s">
        <v>385</v>
      </c>
      <c r="X282" s="73">
        <f>'Расчет субсидий'!AF282-1</f>
        <v>0.13636363636363646</v>
      </c>
      <c r="Y282" s="73">
        <f>X282*'Расчет субсидий'!AG282</f>
        <v>2.7272727272727293</v>
      </c>
      <c r="Z282" s="55">
        <f t="shared" si="87"/>
        <v>4.1881756998639696</v>
      </c>
      <c r="AA282" s="27" t="s">
        <v>367</v>
      </c>
      <c r="AB282" s="27" t="s">
        <v>367</v>
      </c>
      <c r="AC282" s="27" t="s">
        <v>367</v>
      </c>
      <c r="AD282" s="27" t="s">
        <v>367</v>
      </c>
      <c r="AE282" s="27" t="s">
        <v>367</v>
      </c>
      <c r="AF282" s="27" t="s">
        <v>367</v>
      </c>
      <c r="AG282" s="54">
        <f t="shared" si="88"/>
        <v>7.4234968442033011</v>
      </c>
    </row>
    <row r="283" spans="1:33" ht="15" customHeight="1">
      <c r="A283" s="33" t="s">
        <v>277</v>
      </c>
      <c r="B283" s="52">
        <f>'Расчет субсидий'!AT283</f>
        <v>-9.9909090909090992</v>
      </c>
      <c r="C283" s="54">
        <f>'Расчет субсидий'!D283-1</f>
        <v>-1</v>
      </c>
      <c r="D283" s="54">
        <f>C283*'Расчет субсидий'!E283</f>
        <v>0</v>
      </c>
      <c r="E283" s="55">
        <f t="shared" si="97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4">
        <f>'Расчет субсидий'!P283-1</f>
        <v>-0.38050945988796114</v>
      </c>
      <c r="M283" s="54">
        <f>L283*'Расчет субсидий'!Q283</f>
        <v>-7.6101891977592224</v>
      </c>
      <c r="N283" s="55">
        <f t="shared" si="98"/>
        <v>-11.036077557047504</v>
      </c>
      <c r="O283" s="54">
        <f>'Расчет субсидий'!T283-1</f>
        <v>0</v>
      </c>
      <c r="P283" s="54">
        <f>O283*'Расчет субсидий'!U283</f>
        <v>0</v>
      </c>
      <c r="Q283" s="55">
        <f t="shared" si="99"/>
        <v>0</v>
      </c>
      <c r="R283" s="54">
        <f>'Расчет субсидий'!X283-1</f>
        <v>0</v>
      </c>
      <c r="S283" s="54">
        <f>R283*'Расчет субсидий'!Y283</f>
        <v>0</v>
      </c>
      <c r="T283" s="55">
        <f t="shared" si="100"/>
        <v>0</v>
      </c>
      <c r="U283" s="60" t="s">
        <v>385</v>
      </c>
      <c r="V283" s="60" t="s">
        <v>385</v>
      </c>
      <c r="W283" s="61" t="s">
        <v>385</v>
      </c>
      <c r="X283" s="73">
        <f>'Расчет субсидий'!AF283-1</f>
        <v>3.6036036036036112E-2</v>
      </c>
      <c r="Y283" s="73">
        <f>X283*'Расчет субсидий'!AG283</f>
        <v>0.72072072072072224</v>
      </c>
      <c r="Z283" s="55">
        <f t="shared" si="87"/>
        <v>1.0451684661384049</v>
      </c>
      <c r="AA283" s="27" t="s">
        <v>367</v>
      </c>
      <c r="AB283" s="27" t="s">
        <v>367</v>
      </c>
      <c r="AC283" s="27" t="s">
        <v>367</v>
      </c>
      <c r="AD283" s="27" t="s">
        <v>367</v>
      </c>
      <c r="AE283" s="27" t="s">
        <v>367</v>
      </c>
      <c r="AF283" s="27" t="s">
        <v>367</v>
      </c>
      <c r="AG283" s="54">
        <f t="shared" si="88"/>
        <v>-6.8894684770385002</v>
      </c>
    </row>
    <row r="284" spans="1:33" ht="15" customHeight="1">
      <c r="A284" s="33" t="s">
        <v>53</v>
      </c>
      <c r="B284" s="52">
        <f>'Расчет субсидий'!AT284</f>
        <v>-1.7090909090909108</v>
      </c>
      <c r="C284" s="54">
        <f>'Расчет субсидий'!D284-1</f>
        <v>-0.36982253010573007</v>
      </c>
      <c r="D284" s="54">
        <f>C284*'Расчет субсидий'!E284</f>
        <v>-3.6982253010573007</v>
      </c>
      <c r="E284" s="55">
        <f t="shared" si="97"/>
        <v>-0.61429638395304742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4">
        <f>'Расчет субсидий'!P284-1</f>
        <v>-0.22403240622890208</v>
      </c>
      <c r="M284" s="54">
        <f>L284*'Расчет субсидий'!Q284</f>
        <v>-4.4806481245780416</v>
      </c>
      <c r="N284" s="55">
        <f t="shared" si="98"/>
        <v>-0.74426129200602964</v>
      </c>
      <c r="O284" s="54">
        <f>'Расчет субсидий'!T284-1</f>
        <v>-8.7613636363636394E-2</v>
      </c>
      <c r="P284" s="54">
        <f>O284*'Расчет субсидий'!U284</f>
        <v>-3.0664772727272736</v>
      </c>
      <c r="Q284" s="55">
        <f t="shared" si="99"/>
        <v>-0.50935942155066127</v>
      </c>
      <c r="R284" s="54">
        <f>'Расчет субсидий'!X284-1</f>
        <v>0</v>
      </c>
      <c r="S284" s="54">
        <f>R284*'Расчет субсидий'!Y284</f>
        <v>0</v>
      </c>
      <c r="T284" s="55">
        <f t="shared" si="100"/>
        <v>0</v>
      </c>
      <c r="U284" s="60" t="s">
        <v>385</v>
      </c>
      <c r="V284" s="60" t="s">
        <v>385</v>
      </c>
      <c r="W284" s="61" t="s">
        <v>385</v>
      </c>
      <c r="X284" s="73">
        <f>'Расчет субсидий'!AF284-1</f>
        <v>4.7808764940239001E-2</v>
      </c>
      <c r="Y284" s="73">
        <f>X284*'Расчет субсидий'!AG284</f>
        <v>0.95617529880478003</v>
      </c>
      <c r="Z284" s="55">
        <f t="shared" si="87"/>
        <v>0.15882618841882726</v>
      </c>
      <c r="AA284" s="27" t="s">
        <v>367</v>
      </c>
      <c r="AB284" s="27" t="s">
        <v>367</v>
      </c>
      <c r="AC284" s="27" t="s">
        <v>367</v>
      </c>
      <c r="AD284" s="27" t="s">
        <v>367</v>
      </c>
      <c r="AE284" s="27" t="s">
        <v>367</v>
      </c>
      <c r="AF284" s="27" t="s">
        <v>367</v>
      </c>
      <c r="AG284" s="54">
        <f t="shared" si="88"/>
        <v>-10.289175399557834</v>
      </c>
    </row>
    <row r="285" spans="1:33" ht="15" customHeight="1">
      <c r="A285" s="33" t="s">
        <v>278</v>
      </c>
      <c r="B285" s="52">
        <f>'Расчет субсидий'!AT285</f>
        <v>-82.954545454545467</v>
      </c>
      <c r="C285" s="54">
        <f>'Расчет субсидий'!D285-1</f>
        <v>2.2208737864077621E-2</v>
      </c>
      <c r="D285" s="54">
        <f>C285*'Расчет субсидий'!E285</f>
        <v>0.22208737864077621</v>
      </c>
      <c r="E285" s="55">
        <f t="shared" si="97"/>
        <v>0.35180519288340645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4">
        <f>'Расчет субсидий'!P285-1</f>
        <v>-0.32548863183087351</v>
      </c>
      <c r="M285" s="54">
        <f>L285*'Расчет субсидий'!Q285</f>
        <v>-6.5097726366174697</v>
      </c>
      <c r="N285" s="55">
        <f t="shared" si="98"/>
        <v>-10.312030481284831</v>
      </c>
      <c r="O285" s="54">
        <f>'Расчет субсидий'!T285-1</f>
        <v>-1</v>
      </c>
      <c r="P285" s="54">
        <f>O285*'Расчет субсидий'!U285</f>
        <v>-35</v>
      </c>
      <c r="Q285" s="55">
        <f t="shared" si="99"/>
        <v>-55.442960452226579</v>
      </c>
      <c r="R285" s="54">
        <f>'Расчет субсидий'!X285-1</f>
        <v>0</v>
      </c>
      <c r="S285" s="54">
        <f>R285*'Расчет субсидий'!Y285</f>
        <v>0</v>
      </c>
      <c r="T285" s="55">
        <f t="shared" si="100"/>
        <v>0</v>
      </c>
      <c r="U285" s="60" t="s">
        <v>385</v>
      </c>
      <c r="V285" s="60" t="s">
        <v>385</v>
      </c>
      <c r="W285" s="61" t="s">
        <v>385</v>
      </c>
      <c r="X285" s="73">
        <f>'Расчет субсидий'!AF285-1</f>
        <v>-0.5539906103286385</v>
      </c>
      <c r="Y285" s="73">
        <f>X285*'Расчет субсидий'!AG285</f>
        <v>-11.07981220657277</v>
      </c>
      <c r="Z285" s="55">
        <f t="shared" si="87"/>
        <v>-17.551359713917467</v>
      </c>
      <c r="AA285" s="27" t="s">
        <v>367</v>
      </c>
      <c r="AB285" s="27" t="s">
        <v>367</v>
      </c>
      <c r="AC285" s="27" t="s">
        <v>367</v>
      </c>
      <c r="AD285" s="27" t="s">
        <v>367</v>
      </c>
      <c r="AE285" s="27" t="s">
        <v>367</v>
      </c>
      <c r="AF285" s="27" t="s">
        <v>367</v>
      </c>
      <c r="AG285" s="54">
        <f t="shared" si="88"/>
        <v>-52.367497464549459</v>
      </c>
    </row>
    <row r="286" spans="1:33" ht="15" customHeight="1">
      <c r="A286" s="33" t="s">
        <v>279</v>
      </c>
      <c r="B286" s="52">
        <f>'Расчет субсидий'!AT286</f>
        <v>-49.945454545454567</v>
      </c>
      <c r="C286" s="54">
        <f>'Расчет субсидий'!D286-1</f>
        <v>-1</v>
      </c>
      <c r="D286" s="54">
        <f>C286*'Расчет субсидий'!E286</f>
        <v>0</v>
      </c>
      <c r="E286" s="55">
        <f t="shared" si="97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4">
        <f>'Расчет субсидий'!P286-1</f>
        <v>-0.62424999999999997</v>
      </c>
      <c r="M286" s="54">
        <f>L286*'Расчет субсидий'!Q286</f>
        <v>-12.484999999999999</v>
      </c>
      <c r="N286" s="55">
        <f t="shared" si="98"/>
        <v>-35.031209351569771</v>
      </c>
      <c r="O286" s="54">
        <f>'Расчет субсидий'!T286-1</f>
        <v>-0.37717948717948713</v>
      </c>
      <c r="P286" s="54">
        <f>O286*'Расчет субсидий'!U286</f>
        <v>-11.315384615384614</v>
      </c>
      <c r="Q286" s="55">
        <f t="shared" si="99"/>
        <v>-31.749427901887884</v>
      </c>
      <c r="R286" s="54">
        <f>'Расчет субсидий'!X286-1</f>
        <v>0</v>
      </c>
      <c r="S286" s="54">
        <f>R286*'Расчет субсидий'!Y286</f>
        <v>0</v>
      </c>
      <c r="T286" s="55">
        <f t="shared" si="100"/>
        <v>0</v>
      </c>
      <c r="U286" s="60" t="s">
        <v>385</v>
      </c>
      <c r="V286" s="60" t="s">
        <v>385</v>
      </c>
      <c r="W286" s="61" t="s">
        <v>385</v>
      </c>
      <c r="X286" s="73">
        <f>'Расчет субсидий'!AF286-1</f>
        <v>0.30000000000000004</v>
      </c>
      <c r="Y286" s="73">
        <f>X286*'Расчет субсидий'!AG286</f>
        <v>6.0000000000000009</v>
      </c>
      <c r="Z286" s="55">
        <f t="shared" si="87"/>
        <v>16.835182708003099</v>
      </c>
      <c r="AA286" s="27" t="s">
        <v>367</v>
      </c>
      <c r="AB286" s="27" t="s">
        <v>367</v>
      </c>
      <c r="AC286" s="27" t="s">
        <v>367</v>
      </c>
      <c r="AD286" s="27" t="s">
        <v>367</v>
      </c>
      <c r="AE286" s="27" t="s">
        <v>367</v>
      </c>
      <c r="AF286" s="27" t="s">
        <v>367</v>
      </c>
      <c r="AG286" s="54">
        <f t="shared" si="88"/>
        <v>-17.800384615384615</v>
      </c>
    </row>
    <row r="287" spans="1:33" ht="15" customHeight="1">
      <c r="A287" s="33" t="s">
        <v>280</v>
      </c>
      <c r="B287" s="52">
        <f>'Расчет субсидий'!AT287</f>
        <v>-2.9818181818181806</v>
      </c>
      <c r="C287" s="54">
        <f>'Расчет субсидий'!D287-1</f>
        <v>-1</v>
      </c>
      <c r="D287" s="54">
        <f>C287*'Расчет субсидий'!E287</f>
        <v>0</v>
      </c>
      <c r="E287" s="55">
        <f t="shared" si="97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4">
        <f>'Расчет субсидий'!P287-1</f>
        <v>-0.31653878154756399</v>
      </c>
      <c r="M287" s="54">
        <f>L287*'Расчет субсидий'!Q287</f>
        <v>-6.3307756309512797</v>
      </c>
      <c r="N287" s="55">
        <f t="shared" si="98"/>
        <v>-2.2704668926022027</v>
      </c>
      <c r="O287" s="54">
        <f>'Расчет субсидий'!T287-1</f>
        <v>0</v>
      </c>
      <c r="P287" s="54">
        <f>O287*'Расчет субсидий'!U287</f>
        <v>0</v>
      </c>
      <c r="Q287" s="55">
        <f t="shared" si="99"/>
        <v>0</v>
      </c>
      <c r="R287" s="54">
        <f>'Расчет субсидий'!X287-1</f>
        <v>0</v>
      </c>
      <c r="S287" s="54">
        <f>R287*'Расчет субсидий'!Y287</f>
        <v>0</v>
      </c>
      <c r="T287" s="55">
        <f t="shared" si="100"/>
        <v>0</v>
      </c>
      <c r="U287" s="60" t="s">
        <v>385</v>
      </c>
      <c r="V287" s="60" t="s">
        <v>385</v>
      </c>
      <c r="W287" s="61" t="s">
        <v>385</v>
      </c>
      <c r="X287" s="73">
        <f>'Расчет субсидий'!AF287-1</f>
        <v>-9.9173553719008267E-2</v>
      </c>
      <c r="Y287" s="73">
        <f>X287*'Расчет субсидий'!AG287</f>
        <v>-1.9834710743801653</v>
      </c>
      <c r="Z287" s="55">
        <f t="shared" si="87"/>
        <v>-0.71135128921597757</v>
      </c>
      <c r="AA287" s="27" t="s">
        <v>367</v>
      </c>
      <c r="AB287" s="27" t="s">
        <v>367</v>
      </c>
      <c r="AC287" s="27" t="s">
        <v>367</v>
      </c>
      <c r="AD287" s="27" t="s">
        <v>367</v>
      </c>
      <c r="AE287" s="27" t="s">
        <v>367</v>
      </c>
      <c r="AF287" s="27" t="s">
        <v>367</v>
      </c>
      <c r="AG287" s="54">
        <f t="shared" si="88"/>
        <v>-8.3142467053314455</v>
      </c>
    </row>
    <row r="288" spans="1:33" ht="15" customHeight="1">
      <c r="A288" s="33" t="s">
        <v>281</v>
      </c>
      <c r="B288" s="52">
        <f>'Расчет субсидий'!AT288</f>
        <v>33.190909090909088</v>
      </c>
      <c r="C288" s="54">
        <f>'Расчет субсидий'!D288-1</f>
        <v>-1</v>
      </c>
      <c r="D288" s="54">
        <f>C288*'Расчет субсидий'!E288</f>
        <v>0</v>
      </c>
      <c r="E288" s="55">
        <f t="shared" si="97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4">
        <f>'Расчет субсидий'!P288-1</f>
        <v>0.2382932692307691</v>
      </c>
      <c r="M288" s="54">
        <f>L288*'Расчет субсидий'!Q288</f>
        <v>4.765865384615382</v>
      </c>
      <c r="N288" s="55">
        <f t="shared" si="98"/>
        <v>16.957784101448095</v>
      </c>
      <c r="O288" s="54">
        <f>'Расчет субсидий'!T288-1</f>
        <v>9.8611111111111205E-2</v>
      </c>
      <c r="P288" s="54">
        <f>O288*'Расчет субсидий'!U288</f>
        <v>3.9444444444444482</v>
      </c>
      <c r="Q288" s="55">
        <f t="shared" si="99"/>
        <v>14.035024469001749</v>
      </c>
      <c r="R288" s="54">
        <f>'Расчет субсидий'!X288-1</f>
        <v>0</v>
      </c>
      <c r="S288" s="54">
        <f>R288*'Расчет субсидий'!Y288</f>
        <v>0</v>
      </c>
      <c r="T288" s="55">
        <f t="shared" si="100"/>
        <v>0</v>
      </c>
      <c r="U288" s="60" t="s">
        <v>385</v>
      </c>
      <c r="V288" s="60" t="s">
        <v>385</v>
      </c>
      <c r="W288" s="61" t="s">
        <v>385</v>
      </c>
      <c r="X288" s="73">
        <f>'Расчет субсидий'!AF288-1</f>
        <v>3.0888030888030826E-2</v>
      </c>
      <c r="Y288" s="73">
        <f>X288*'Расчет субсидий'!AG288</f>
        <v>0.61776061776061653</v>
      </c>
      <c r="Z288" s="55">
        <f t="shared" si="87"/>
        <v>2.1981005204592377</v>
      </c>
      <c r="AA288" s="27" t="s">
        <v>367</v>
      </c>
      <c r="AB288" s="27" t="s">
        <v>367</v>
      </c>
      <c r="AC288" s="27" t="s">
        <v>367</v>
      </c>
      <c r="AD288" s="27" t="s">
        <v>367</v>
      </c>
      <c r="AE288" s="27" t="s">
        <v>367</v>
      </c>
      <c r="AF288" s="27" t="s">
        <v>367</v>
      </c>
      <c r="AG288" s="54">
        <f t="shared" si="88"/>
        <v>9.3280704468204476</v>
      </c>
    </row>
    <row r="289" spans="1:33" ht="15" customHeight="1">
      <c r="A289" s="33" t="s">
        <v>282</v>
      </c>
      <c r="B289" s="52">
        <f>'Расчет субсидий'!AT289</f>
        <v>5.1545454545454561</v>
      </c>
      <c r="C289" s="54">
        <f>'Расчет субсидий'!D289-1</f>
        <v>-1</v>
      </c>
      <c r="D289" s="54">
        <f>C289*'Расчет субсидий'!E289</f>
        <v>0</v>
      </c>
      <c r="E289" s="55">
        <f t="shared" si="97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4">
        <f>'Расчет субсидий'!P289-1</f>
        <v>0.20869174620999442</v>
      </c>
      <c r="M289" s="54">
        <f>L289*'Расчет субсидий'!Q289</f>
        <v>4.1738349241998884</v>
      </c>
      <c r="N289" s="55">
        <f t="shared" si="98"/>
        <v>6.5898648521879437</v>
      </c>
      <c r="O289" s="54">
        <f>'Расчет субсидий'!T289-1</f>
        <v>0</v>
      </c>
      <c r="P289" s="54">
        <f>O289*'Расчет субсидий'!U289</f>
        <v>0</v>
      </c>
      <c r="Q289" s="55">
        <f t="shared" si="99"/>
        <v>0</v>
      </c>
      <c r="R289" s="54">
        <f>'Расчет субсидий'!X289-1</f>
        <v>0</v>
      </c>
      <c r="S289" s="54">
        <f>R289*'Расчет субсидий'!Y289</f>
        <v>0</v>
      </c>
      <c r="T289" s="55">
        <f t="shared" si="100"/>
        <v>0</v>
      </c>
      <c r="U289" s="60" t="s">
        <v>385</v>
      </c>
      <c r="V289" s="60" t="s">
        <v>385</v>
      </c>
      <c r="W289" s="61" t="s">
        <v>385</v>
      </c>
      <c r="X289" s="73">
        <f>'Расчет субсидий'!AF289-1</f>
        <v>-4.5454545454545414E-2</v>
      </c>
      <c r="Y289" s="73">
        <f>X289*'Расчет субсидий'!AG289</f>
        <v>-0.90909090909090828</v>
      </c>
      <c r="Z289" s="55">
        <f t="shared" si="87"/>
        <v>-1.4353193976424876</v>
      </c>
      <c r="AA289" s="27" t="s">
        <v>367</v>
      </c>
      <c r="AB289" s="27" t="s">
        <v>367</v>
      </c>
      <c r="AC289" s="27" t="s">
        <v>367</v>
      </c>
      <c r="AD289" s="27" t="s">
        <v>367</v>
      </c>
      <c r="AE289" s="27" t="s">
        <v>367</v>
      </c>
      <c r="AF289" s="27" t="s">
        <v>367</v>
      </c>
      <c r="AG289" s="54">
        <f t="shared" si="88"/>
        <v>3.2647440151089802</v>
      </c>
    </row>
    <row r="290" spans="1:33" ht="15" customHeight="1">
      <c r="A290" s="33" t="s">
        <v>283</v>
      </c>
      <c r="B290" s="52">
        <f>'Расчет субсидий'!AT290</f>
        <v>9.6636363636363853</v>
      </c>
      <c r="C290" s="54">
        <f>'Расчет субсидий'!D290-1</f>
        <v>-0.60864745011086474</v>
      </c>
      <c r="D290" s="54">
        <f>C290*'Расчет субсидий'!E290</f>
        <v>-6.086474501108647</v>
      </c>
      <c r="E290" s="55">
        <f t="shared" si="97"/>
        <v>-9.9950391144034505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4">
        <f>'Расчет субсидий'!P290-1</f>
        <v>0.22495691839837795</v>
      </c>
      <c r="M290" s="54">
        <f>L290*'Расчет субсидий'!Q290</f>
        <v>4.4991383679675589</v>
      </c>
      <c r="N290" s="55">
        <f t="shared" si="98"/>
        <v>7.3883598724939983</v>
      </c>
      <c r="O290" s="54">
        <f>'Расчет субсидий'!T290-1</f>
        <v>0.20500763358778618</v>
      </c>
      <c r="P290" s="54">
        <f>O290*'Расчет субсидий'!U290</f>
        <v>7.1752671755725164</v>
      </c>
      <c r="Q290" s="55">
        <f t="shared" si="99"/>
        <v>11.783024156772404</v>
      </c>
      <c r="R290" s="54">
        <f>'Расчет субсидий'!X290-1</f>
        <v>0</v>
      </c>
      <c r="S290" s="54">
        <f>R290*'Расчет субсидий'!Y290</f>
        <v>0</v>
      </c>
      <c r="T290" s="55">
        <f t="shared" si="100"/>
        <v>0</v>
      </c>
      <c r="U290" s="60" t="s">
        <v>385</v>
      </c>
      <c r="V290" s="60" t="s">
        <v>385</v>
      </c>
      <c r="W290" s="61" t="s">
        <v>385</v>
      </c>
      <c r="X290" s="73">
        <f>'Расчет субсидий'!AF290-1</f>
        <v>1.4836795252225476E-2</v>
      </c>
      <c r="Y290" s="73">
        <f>X290*'Расчет субсидий'!AG290</f>
        <v>0.29673590504450953</v>
      </c>
      <c r="Z290" s="55">
        <f t="shared" si="87"/>
        <v>0.48729144877343133</v>
      </c>
      <c r="AA290" s="27" t="s">
        <v>367</v>
      </c>
      <c r="AB290" s="27" t="s">
        <v>367</v>
      </c>
      <c r="AC290" s="27" t="s">
        <v>367</v>
      </c>
      <c r="AD290" s="27" t="s">
        <v>367</v>
      </c>
      <c r="AE290" s="27" t="s">
        <v>367</v>
      </c>
      <c r="AF290" s="27" t="s">
        <v>367</v>
      </c>
      <c r="AG290" s="54">
        <f t="shared" si="88"/>
        <v>5.8846669474759379</v>
      </c>
    </row>
    <row r="291" spans="1:33" ht="15" customHeight="1">
      <c r="A291" s="33" t="s">
        <v>284</v>
      </c>
      <c r="B291" s="52">
        <f>'Расчет субсидий'!AT291</f>
        <v>-168.99090909090907</v>
      </c>
      <c r="C291" s="54">
        <f>'Расчет субсидий'!D291-1</f>
        <v>-1</v>
      </c>
      <c r="D291" s="54">
        <f>C291*'Расчет субсидий'!E291</f>
        <v>0</v>
      </c>
      <c r="E291" s="55">
        <f t="shared" si="97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4">
        <f>'Расчет субсидий'!P291-1</f>
        <v>-0.38900074176115296</v>
      </c>
      <c r="M291" s="54">
        <f>L291*'Расчет субсидий'!Q291</f>
        <v>-7.7800148352230591</v>
      </c>
      <c r="N291" s="55">
        <f t="shared" si="98"/>
        <v>-29.923648635853581</v>
      </c>
      <c r="O291" s="54">
        <f>'Расчет субсидий'!T291-1</f>
        <v>-0.80142857142857138</v>
      </c>
      <c r="P291" s="54">
        <f>O291*'Расчет субсидий'!U291</f>
        <v>-32.057142857142857</v>
      </c>
      <c r="Q291" s="55">
        <f t="shared" si="99"/>
        <v>-123.29882390243583</v>
      </c>
      <c r="R291" s="54">
        <f>'Расчет субсидий'!X291-1</f>
        <v>0</v>
      </c>
      <c r="S291" s="54">
        <f>R291*'Расчет субсидий'!Y291</f>
        <v>0</v>
      </c>
      <c r="T291" s="55">
        <f t="shared" si="100"/>
        <v>0</v>
      </c>
      <c r="U291" s="60" t="s">
        <v>385</v>
      </c>
      <c r="V291" s="60" t="s">
        <v>385</v>
      </c>
      <c r="W291" s="61" t="s">
        <v>385</v>
      </c>
      <c r="X291" s="73">
        <f>'Расчет субсидий'!AF291-1</f>
        <v>-0.20498614958448758</v>
      </c>
      <c r="Y291" s="73">
        <f>X291*'Расчет субсидий'!AG291</f>
        <v>-4.0997229916897515</v>
      </c>
      <c r="Z291" s="55">
        <f t="shared" si="87"/>
        <v>-15.768436552619672</v>
      </c>
      <c r="AA291" s="27" t="s">
        <v>367</v>
      </c>
      <c r="AB291" s="27" t="s">
        <v>367</v>
      </c>
      <c r="AC291" s="27" t="s">
        <v>367</v>
      </c>
      <c r="AD291" s="27" t="s">
        <v>367</v>
      </c>
      <c r="AE291" s="27" t="s">
        <v>367</v>
      </c>
      <c r="AF291" s="27" t="s">
        <v>367</v>
      </c>
      <c r="AG291" s="54">
        <f t="shared" si="88"/>
        <v>-43.936880684055666</v>
      </c>
    </row>
    <row r="292" spans="1:33" ht="15" customHeight="1">
      <c r="A292" s="33" t="s">
        <v>285</v>
      </c>
      <c r="B292" s="52">
        <f>'Расчет субсидий'!AT292</f>
        <v>1.7181818181818169</v>
      </c>
      <c r="C292" s="54">
        <f>'Расчет субсидий'!D292-1</f>
        <v>-1</v>
      </c>
      <c r="D292" s="54">
        <f>C292*'Расчет субсидий'!E292</f>
        <v>0</v>
      </c>
      <c r="E292" s="55">
        <f t="shared" si="97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4">
        <f>'Расчет субсидий'!P292-1</f>
        <v>0.249628112398387</v>
      </c>
      <c r="M292" s="54">
        <f>L292*'Расчет субсидий'!Q292</f>
        <v>4.9925622479677401</v>
      </c>
      <c r="N292" s="55">
        <f t="shared" si="98"/>
        <v>0.80237204805261464</v>
      </c>
      <c r="O292" s="54">
        <f>'Расчет субсидий'!T292-1</f>
        <v>0.13560606060606051</v>
      </c>
      <c r="P292" s="54">
        <f>O292*'Расчет субсидий'!U292</f>
        <v>4.0681818181818148</v>
      </c>
      <c r="Q292" s="55">
        <f t="shared" si="99"/>
        <v>0.6538116532515279</v>
      </c>
      <c r="R292" s="54">
        <f>'Расчет субсидий'!X292-1</f>
        <v>0</v>
      </c>
      <c r="S292" s="54">
        <f>R292*'Расчет субсидий'!Y292</f>
        <v>0</v>
      </c>
      <c r="T292" s="55">
        <f t="shared" si="100"/>
        <v>0</v>
      </c>
      <c r="U292" s="60" t="s">
        <v>385</v>
      </c>
      <c r="V292" s="60" t="s">
        <v>385</v>
      </c>
      <c r="W292" s="61" t="s">
        <v>385</v>
      </c>
      <c r="X292" s="73">
        <f>'Расчет субсидий'!AF292-1</f>
        <v>8.1510934393638212E-2</v>
      </c>
      <c r="Y292" s="73">
        <f>X292*'Расчет субсидий'!AG292</f>
        <v>1.6302186878727642</v>
      </c>
      <c r="Z292" s="55">
        <f t="shared" si="87"/>
        <v>0.26199811687767427</v>
      </c>
      <c r="AA292" s="27" t="s">
        <v>367</v>
      </c>
      <c r="AB292" s="27" t="s">
        <v>367</v>
      </c>
      <c r="AC292" s="27" t="s">
        <v>367</v>
      </c>
      <c r="AD292" s="27" t="s">
        <v>367</v>
      </c>
      <c r="AE292" s="27" t="s">
        <v>367</v>
      </c>
      <c r="AF292" s="27" t="s">
        <v>367</v>
      </c>
      <c r="AG292" s="54">
        <f t="shared" si="88"/>
        <v>10.690962754022319</v>
      </c>
    </row>
    <row r="293" spans="1:33" ht="15" customHeight="1">
      <c r="A293" s="33" t="s">
        <v>286</v>
      </c>
      <c r="B293" s="52">
        <f>'Расчет субсидий'!AT293</f>
        <v>-51.363636363636374</v>
      </c>
      <c r="C293" s="54">
        <f>'Расчет субсидий'!D293-1</f>
        <v>0.20050938337801605</v>
      </c>
      <c r="D293" s="54">
        <f>C293*'Расчет субсидий'!E293</f>
        <v>2.0050938337801605</v>
      </c>
      <c r="E293" s="55">
        <f t="shared" si="97"/>
        <v>3.3984285032073362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4">
        <f>'Расчет субсидий'!P293-1</f>
        <v>-0.60524225575853852</v>
      </c>
      <c r="M293" s="54">
        <f>L293*'Расчет субсидий'!Q293</f>
        <v>-12.10484511517077</v>
      </c>
      <c r="N293" s="55">
        <f t="shared" si="98"/>
        <v>-20.516471585148153</v>
      </c>
      <c r="O293" s="54">
        <f>'Расчет субсидий'!T293-1</f>
        <v>-0.78</v>
      </c>
      <c r="P293" s="54">
        <f>O293*'Расчет субсидий'!U293</f>
        <v>-23.400000000000002</v>
      </c>
      <c r="Q293" s="55">
        <f t="shared" si="99"/>
        <v>-39.660601232376358</v>
      </c>
      <c r="R293" s="54">
        <f>'Расчет субсидий'!X293-1</f>
        <v>0</v>
      </c>
      <c r="S293" s="54">
        <f>R293*'Расчет субсидий'!Y293</f>
        <v>0</v>
      </c>
      <c r="T293" s="55">
        <f t="shared" si="100"/>
        <v>0</v>
      </c>
      <c r="U293" s="60" t="s">
        <v>385</v>
      </c>
      <c r="V293" s="60" t="s">
        <v>385</v>
      </c>
      <c r="W293" s="61" t="s">
        <v>385</v>
      </c>
      <c r="X293" s="73">
        <f>'Расчет субсидий'!AF293-1</f>
        <v>0.15974440894568698</v>
      </c>
      <c r="Y293" s="73">
        <f>X293*'Расчет субсидий'!AG293</f>
        <v>3.1948881789137396</v>
      </c>
      <c r="Z293" s="55">
        <f t="shared" si="87"/>
        <v>5.415007950680808</v>
      </c>
      <c r="AA293" s="27" t="s">
        <v>367</v>
      </c>
      <c r="AB293" s="27" t="s">
        <v>367</v>
      </c>
      <c r="AC293" s="27" t="s">
        <v>367</v>
      </c>
      <c r="AD293" s="27" t="s">
        <v>367</v>
      </c>
      <c r="AE293" s="27" t="s">
        <v>367</v>
      </c>
      <c r="AF293" s="27" t="s">
        <v>367</v>
      </c>
      <c r="AG293" s="54">
        <f t="shared" si="88"/>
        <v>-30.304863102476876</v>
      </c>
    </row>
    <row r="294" spans="1:33" ht="15" customHeight="1">
      <c r="A294" s="33" t="s">
        <v>287</v>
      </c>
      <c r="B294" s="52">
        <f>'Расчет субсидий'!AT294</f>
        <v>-0.20909090909090899</v>
      </c>
      <c r="C294" s="54">
        <f>'Расчет субсидий'!D294-1</f>
        <v>-1</v>
      </c>
      <c r="D294" s="54">
        <f>C294*'Расчет субсидий'!E294</f>
        <v>0</v>
      </c>
      <c r="E294" s="55">
        <f t="shared" si="97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4">
        <f>'Расчет субсидий'!P294-1</f>
        <v>-0.16181926989826456</v>
      </c>
      <c r="M294" s="54">
        <f>L294*'Расчет субсидий'!Q294</f>
        <v>-3.2363853979652912</v>
      </c>
      <c r="N294" s="55">
        <f t="shared" si="98"/>
        <v>-0.44458242274463267</v>
      </c>
      <c r="O294" s="54">
        <f>'Расчет субсидий'!T294-1</f>
        <v>0</v>
      </c>
      <c r="P294" s="54">
        <f>O294*'Расчет субсидий'!U294</f>
        <v>0</v>
      </c>
      <c r="Q294" s="55">
        <f t="shared" si="99"/>
        <v>0</v>
      </c>
      <c r="R294" s="54">
        <f>'Расчет субсидий'!X294-1</f>
        <v>0</v>
      </c>
      <c r="S294" s="54">
        <f>R294*'Расчет субсидий'!Y294</f>
        <v>0</v>
      </c>
      <c r="T294" s="55">
        <f t="shared" si="100"/>
        <v>0</v>
      </c>
      <c r="U294" s="60" t="s">
        <v>385</v>
      </c>
      <c r="V294" s="60" t="s">
        <v>385</v>
      </c>
      <c r="W294" s="61" t="s">
        <v>385</v>
      </c>
      <c r="X294" s="73">
        <f>'Расчет субсидий'!AF294-1</f>
        <v>8.5714285714285632E-2</v>
      </c>
      <c r="Y294" s="73">
        <f>X294*'Расчет субсидий'!AG294</f>
        <v>1.7142857142857126</v>
      </c>
      <c r="Z294" s="55">
        <f t="shared" si="87"/>
        <v>0.23549151365372367</v>
      </c>
      <c r="AA294" s="27" t="s">
        <v>367</v>
      </c>
      <c r="AB294" s="27" t="s">
        <v>367</v>
      </c>
      <c r="AC294" s="27" t="s">
        <v>367</v>
      </c>
      <c r="AD294" s="27" t="s">
        <v>367</v>
      </c>
      <c r="AE294" s="27" t="s">
        <v>367</v>
      </c>
      <c r="AF294" s="27" t="s">
        <v>367</v>
      </c>
      <c r="AG294" s="54">
        <f t="shared" si="88"/>
        <v>-1.5220996836795786</v>
      </c>
    </row>
    <row r="295" spans="1:33" ht="15" customHeight="1">
      <c r="A295" s="33" t="s">
        <v>288</v>
      </c>
      <c r="B295" s="52">
        <f>'Расчет субсидий'!AT295</f>
        <v>-1.336363636363636</v>
      </c>
      <c r="C295" s="54">
        <f>'Расчет субсидий'!D295-1</f>
        <v>0.30000000000000004</v>
      </c>
      <c r="D295" s="54">
        <f>C295*'Расчет субсидий'!E295</f>
        <v>3.0000000000000004</v>
      </c>
      <c r="E295" s="55">
        <f t="shared" si="97"/>
        <v>1.1556568126250277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4">
        <f>'Расчет субсидий'!P295-1</f>
        <v>-0.10458715596330281</v>
      </c>
      <c r="M295" s="54">
        <f>L295*'Расчет субсидий'!Q295</f>
        <v>-2.0917431192660563</v>
      </c>
      <c r="N295" s="55">
        <f t="shared" si="98"/>
        <v>-0.80577906201378113</v>
      </c>
      <c r="O295" s="54">
        <f>'Расчет субсидий'!T295-1</f>
        <v>0</v>
      </c>
      <c r="P295" s="54">
        <f>O295*'Расчет субсидий'!U295</f>
        <v>0</v>
      </c>
      <c r="Q295" s="55">
        <f t="shared" si="99"/>
        <v>0</v>
      </c>
      <c r="R295" s="54">
        <f>'Расчет субсидий'!X295-1</f>
        <v>0</v>
      </c>
      <c r="S295" s="54">
        <f>R295*'Расчет субсидий'!Y295</f>
        <v>0</v>
      </c>
      <c r="T295" s="55">
        <f t="shared" si="100"/>
        <v>0</v>
      </c>
      <c r="U295" s="60" t="s">
        <v>385</v>
      </c>
      <c r="V295" s="60" t="s">
        <v>385</v>
      </c>
      <c r="W295" s="61" t="s">
        <v>385</v>
      </c>
      <c r="X295" s="73">
        <f>'Расчет субсидий'!AF295-1</f>
        <v>-0.21886792452830184</v>
      </c>
      <c r="Y295" s="73">
        <f>X295*'Расчет субсидий'!AG295</f>
        <v>-4.3773584905660368</v>
      </c>
      <c r="Z295" s="55">
        <f t="shared" si="87"/>
        <v>-1.6862413869748827</v>
      </c>
      <c r="AA295" s="27" t="s">
        <v>367</v>
      </c>
      <c r="AB295" s="27" t="s">
        <v>367</v>
      </c>
      <c r="AC295" s="27" t="s">
        <v>367</v>
      </c>
      <c r="AD295" s="27" t="s">
        <v>367</v>
      </c>
      <c r="AE295" s="27" t="s">
        <v>367</v>
      </c>
      <c r="AF295" s="27" t="s">
        <v>367</v>
      </c>
      <c r="AG295" s="54">
        <f t="shared" si="88"/>
        <v>-3.4691016098320926</v>
      </c>
    </row>
    <row r="296" spans="1:33" ht="15" customHeight="1">
      <c r="A296" s="33" t="s">
        <v>289</v>
      </c>
      <c r="B296" s="52">
        <f>'Расчет субсидий'!AT296</f>
        <v>3.6363636363637042E-2</v>
      </c>
      <c r="C296" s="54">
        <f>'Расчет субсидий'!D296-1</f>
        <v>0.21679971703697287</v>
      </c>
      <c r="D296" s="54">
        <f>C296*'Расчет субсидий'!E296</f>
        <v>2.1679971703697287</v>
      </c>
      <c r="E296" s="55">
        <f t="shared" si="97"/>
        <v>0.12216854431266769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4">
        <f>'Расчет субсидий'!P296-1</f>
        <v>-0.25795267236316111</v>
      </c>
      <c r="M296" s="54">
        <f>L296*'Расчет субсидий'!Q296</f>
        <v>-5.1590534472632221</v>
      </c>
      <c r="N296" s="55">
        <f t="shared" si="98"/>
        <v>-0.290717192022862</v>
      </c>
      <c r="O296" s="54">
        <f>'Расчет субсидий'!T296-1</f>
        <v>0</v>
      </c>
      <c r="P296" s="54">
        <f>O296*'Расчет субсидий'!U296</f>
        <v>0</v>
      </c>
      <c r="Q296" s="55">
        <f t="shared" si="99"/>
        <v>0</v>
      </c>
      <c r="R296" s="54">
        <f>'Расчет субсидий'!X296-1</f>
        <v>0</v>
      </c>
      <c r="S296" s="54">
        <f>R296*'Расчет субсидий'!Y296</f>
        <v>0</v>
      </c>
      <c r="T296" s="55">
        <f t="shared" si="100"/>
        <v>0</v>
      </c>
      <c r="U296" s="60" t="s">
        <v>385</v>
      </c>
      <c r="V296" s="60" t="s">
        <v>385</v>
      </c>
      <c r="W296" s="61" t="s">
        <v>385</v>
      </c>
      <c r="X296" s="73">
        <f>'Расчет субсидий'!AF296-1</f>
        <v>0.18181818181818188</v>
      </c>
      <c r="Y296" s="73">
        <f>X296*'Расчет субсидий'!AG296</f>
        <v>3.6363636363636376</v>
      </c>
      <c r="Z296" s="55">
        <f t="shared" si="87"/>
        <v>0.20491228407383136</v>
      </c>
      <c r="AA296" s="27" t="s">
        <v>367</v>
      </c>
      <c r="AB296" s="27" t="s">
        <v>367</v>
      </c>
      <c r="AC296" s="27" t="s">
        <v>367</v>
      </c>
      <c r="AD296" s="27" t="s">
        <v>367</v>
      </c>
      <c r="AE296" s="27" t="s">
        <v>367</v>
      </c>
      <c r="AF296" s="27" t="s">
        <v>367</v>
      </c>
      <c r="AG296" s="54">
        <f t="shared" si="88"/>
        <v>0.64530735947014417</v>
      </c>
    </row>
    <row r="297" spans="1:33" ht="15" customHeight="1">
      <c r="A297" s="33" t="s">
        <v>290</v>
      </c>
      <c r="B297" s="52">
        <f>'Расчет субсидий'!AT297</f>
        <v>0.32727272727272716</v>
      </c>
      <c r="C297" s="54">
        <f>'Расчет субсидий'!D297-1</f>
        <v>0.30000000000000004</v>
      </c>
      <c r="D297" s="54">
        <f>C297*'Расчет субсидий'!E297</f>
        <v>3.0000000000000004</v>
      </c>
      <c r="E297" s="55">
        <f t="shared" si="97"/>
        <v>0.18846420675562214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4">
        <f>'Расчет субсидий'!P297-1</f>
        <v>0.21047868683396365</v>
      </c>
      <c r="M297" s="54">
        <f>L297*'Расчет субсидий'!Q297</f>
        <v>4.2095737366792729</v>
      </c>
      <c r="N297" s="55">
        <f t="shared" si="98"/>
        <v>0.26445132502085311</v>
      </c>
      <c r="O297" s="54">
        <f>'Расчет субсидий'!T297-1</f>
        <v>0</v>
      </c>
      <c r="P297" s="54">
        <f>O297*'Расчет субсидий'!U297</f>
        <v>0</v>
      </c>
      <c r="Q297" s="55">
        <f t="shared" si="99"/>
        <v>0</v>
      </c>
      <c r="R297" s="54">
        <f>'Расчет субсидий'!X297-1</f>
        <v>0</v>
      </c>
      <c r="S297" s="54">
        <f>R297*'Расчет субсидий'!Y297</f>
        <v>0</v>
      </c>
      <c r="T297" s="55">
        <f t="shared" si="100"/>
        <v>0</v>
      </c>
      <c r="U297" s="60" t="s">
        <v>385</v>
      </c>
      <c r="V297" s="60" t="s">
        <v>385</v>
      </c>
      <c r="W297" s="61" t="s">
        <v>385</v>
      </c>
      <c r="X297" s="73">
        <f>'Расчет субсидий'!AF297-1</f>
        <v>-9.9999999999999978E-2</v>
      </c>
      <c r="Y297" s="73">
        <f>X297*'Расчет субсидий'!AG297</f>
        <v>-1.9999999999999996</v>
      </c>
      <c r="Z297" s="55">
        <f t="shared" si="87"/>
        <v>-0.12564280450374807</v>
      </c>
      <c r="AA297" s="27" t="s">
        <v>367</v>
      </c>
      <c r="AB297" s="27" t="s">
        <v>367</v>
      </c>
      <c r="AC297" s="27" t="s">
        <v>367</v>
      </c>
      <c r="AD297" s="27" t="s">
        <v>367</v>
      </c>
      <c r="AE297" s="27" t="s">
        <v>367</v>
      </c>
      <c r="AF297" s="27" t="s">
        <v>367</v>
      </c>
      <c r="AG297" s="54">
        <f t="shared" si="88"/>
        <v>5.2095737366792729</v>
      </c>
    </row>
    <row r="298" spans="1:33" ht="15" customHeight="1">
      <c r="A298" s="33" t="s">
        <v>291</v>
      </c>
      <c r="B298" s="52">
        <f>'Расчет субсидий'!AT298</f>
        <v>-6.9727272727272833</v>
      </c>
      <c r="C298" s="54">
        <f>'Расчет субсидий'!D298-1</f>
        <v>-1</v>
      </c>
      <c r="D298" s="54">
        <f>C298*'Расчет субсидий'!E298</f>
        <v>0</v>
      </c>
      <c r="E298" s="55">
        <f t="shared" si="97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4">
        <f>'Расчет субсидий'!P298-1</f>
        <v>-0.24738139248305613</v>
      </c>
      <c r="M298" s="54">
        <f>L298*'Расчет субсидий'!Q298</f>
        <v>-4.9476278496611226</v>
      </c>
      <c r="N298" s="55">
        <f t="shared" si="98"/>
        <v>-6.9727272727272833</v>
      </c>
      <c r="O298" s="54">
        <f>'Расчет субсидий'!T298-1</f>
        <v>0</v>
      </c>
      <c r="P298" s="54">
        <f>O298*'Расчет субсидий'!U298</f>
        <v>0</v>
      </c>
      <c r="Q298" s="55">
        <f t="shared" si="99"/>
        <v>0</v>
      </c>
      <c r="R298" s="54">
        <f>'Расчет субсидий'!X298-1</f>
        <v>0</v>
      </c>
      <c r="S298" s="54">
        <f>R298*'Расчет субсидий'!Y298</f>
        <v>0</v>
      </c>
      <c r="T298" s="55">
        <f t="shared" si="100"/>
        <v>0</v>
      </c>
      <c r="U298" s="60" t="s">
        <v>385</v>
      </c>
      <c r="V298" s="60" t="s">
        <v>385</v>
      </c>
      <c r="W298" s="61" t="s">
        <v>385</v>
      </c>
      <c r="X298" s="73">
        <f>'Расчет субсидий'!AF298-1</f>
        <v>0</v>
      </c>
      <c r="Y298" s="73">
        <f>X298*'Расчет субсидий'!AG298</f>
        <v>0</v>
      </c>
      <c r="Z298" s="55">
        <f t="shared" si="87"/>
        <v>0</v>
      </c>
      <c r="AA298" s="27" t="s">
        <v>367</v>
      </c>
      <c r="AB298" s="27" t="s">
        <v>367</v>
      </c>
      <c r="AC298" s="27" t="s">
        <v>367</v>
      </c>
      <c r="AD298" s="27" t="s">
        <v>367</v>
      </c>
      <c r="AE298" s="27" t="s">
        <v>367</v>
      </c>
      <c r="AF298" s="27" t="s">
        <v>367</v>
      </c>
      <c r="AG298" s="54">
        <f t="shared" si="88"/>
        <v>-4.9476278496611226</v>
      </c>
    </row>
    <row r="299" spans="1:33" ht="15" customHeight="1">
      <c r="A299" s="33" t="s">
        <v>292</v>
      </c>
      <c r="B299" s="52">
        <f>'Расчет субсидий'!AT299</f>
        <v>-25.27272727272728</v>
      </c>
      <c r="C299" s="54">
        <f>'Расчет субсидий'!D299-1</f>
        <v>-0.45253275109170299</v>
      </c>
      <c r="D299" s="54">
        <f>C299*'Расчет субсидий'!E299</f>
        <v>-4.5253275109170303</v>
      </c>
      <c r="E299" s="55">
        <f t="shared" si="97"/>
        <v>-9.1190106103757014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4">
        <f>'Расчет субсидий'!P299-1</f>
        <v>-0.63939561451999261</v>
      </c>
      <c r="M299" s="54">
        <f>L299*'Расчет субсидий'!Q299</f>
        <v>-12.787912290399852</v>
      </c>
      <c r="N299" s="55">
        <f t="shared" si="98"/>
        <v>-25.768987455469084</v>
      </c>
      <c r="O299" s="54">
        <f>'Расчет субсидий'!T299-1</f>
        <v>0</v>
      </c>
      <c r="P299" s="54">
        <f>O299*'Расчет субсидий'!U299</f>
        <v>0</v>
      </c>
      <c r="Q299" s="55">
        <f t="shared" si="99"/>
        <v>0</v>
      </c>
      <c r="R299" s="54">
        <f>'Расчет субсидий'!X299-1</f>
        <v>0</v>
      </c>
      <c r="S299" s="54">
        <f>R299*'Расчет субсидий'!Y299</f>
        <v>0</v>
      </c>
      <c r="T299" s="55">
        <f t="shared" si="100"/>
        <v>0</v>
      </c>
      <c r="U299" s="60" t="s">
        <v>385</v>
      </c>
      <c r="V299" s="60" t="s">
        <v>385</v>
      </c>
      <c r="W299" s="61" t="s">
        <v>385</v>
      </c>
      <c r="X299" s="73">
        <f>'Расчет субсидий'!AF299-1</f>
        <v>0.23857988165680477</v>
      </c>
      <c r="Y299" s="73">
        <f>X299*'Расчет субсидий'!AG299</f>
        <v>4.7715976331360954</v>
      </c>
      <c r="Z299" s="55">
        <f t="shared" si="87"/>
        <v>9.6152707931174994</v>
      </c>
      <c r="AA299" s="27" t="s">
        <v>367</v>
      </c>
      <c r="AB299" s="27" t="s">
        <v>367</v>
      </c>
      <c r="AC299" s="27" t="s">
        <v>367</v>
      </c>
      <c r="AD299" s="27" t="s">
        <v>367</v>
      </c>
      <c r="AE299" s="27" t="s">
        <v>367</v>
      </c>
      <c r="AF299" s="27" t="s">
        <v>367</v>
      </c>
      <c r="AG299" s="54">
        <f t="shared" si="88"/>
        <v>-12.541642168180786</v>
      </c>
    </row>
    <row r="300" spans="1:33" ht="15" customHeight="1">
      <c r="A300" s="33" t="s">
        <v>293</v>
      </c>
      <c r="B300" s="52">
        <f>'Расчет субсидий'!AT300</f>
        <v>-23.854545454545416</v>
      </c>
      <c r="C300" s="54">
        <f>'Расчет субсидий'!D300-1</f>
        <v>-0.27894181985899713</v>
      </c>
      <c r="D300" s="54">
        <f>C300*'Расчет субсидий'!E300</f>
        <v>-2.7894181985899715</v>
      </c>
      <c r="E300" s="55">
        <f t="shared" si="97"/>
        <v>-9.0973529432579525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4">
        <f>'Расчет субсидий'!P300-1</f>
        <v>-0.59071772253408183</v>
      </c>
      <c r="M300" s="54">
        <f>L300*'Расчет субсидий'!Q300</f>
        <v>-11.814354450681638</v>
      </c>
      <c r="N300" s="55">
        <f t="shared" si="98"/>
        <v>-38.531100244822099</v>
      </c>
      <c r="O300" s="54">
        <f>'Расчет субсидий'!T300-1</f>
        <v>0.26923809523809528</v>
      </c>
      <c r="P300" s="54">
        <f>O300*'Расчет субсидий'!U300</f>
        <v>5.3847619047619055</v>
      </c>
      <c r="Q300" s="55">
        <f t="shared" si="99"/>
        <v>17.561755203214634</v>
      </c>
      <c r="R300" s="54">
        <f>'Расчет субсидий'!X300-1</f>
        <v>0</v>
      </c>
      <c r="S300" s="54">
        <f>R300*'Расчет субсидий'!Y300</f>
        <v>0</v>
      </c>
      <c r="T300" s="55">
        <f t="shared" si="100"/>
        <v>0</v>
      </c>
      <c r="U300" s="60" t="s">
        <v>385</v>
      </c>
      <c r="V300" s="60" t="s">
        <v>385</v>
      </c>
      <c r="W300" s="61" t="s">
        <v>385</v>
      </c>
      <c r="X300" s="73">
        <f>'Расчет субсидий'!AF300-1</f>
        <v>9.5238095238095344E-2</v>
      </c>
      <c r="Y300" s="73">
        <f>X300*'Расчет субсидий'!AG300</f>
        <v>1.9047619047619069</v>
      </c>
      <c r="Z300" s="55">
        <f t="shared" si="87"/>
        <v>6.2121525303200027</v>
      </c>
      <c r="AA300" s="27" t="s">
        <v>367</v>
      </c>
      <c r="AB300" s="27" t="s">
        <v>367</v>
      </c>
      <c r="AC300" s="27" t="s">
        <v>367</v>
      </c>
      <c r="AD300" s="27" t="s">
        <v>367</v>
      </c>
      <c r="AE300" s="27" t="s">
        <v>367</v>
      </c>
      <c r="AF300" s="27" t="s">
        <v>367</v>
      </c>
      <c r="AG300" s="54">
        <f t="shared" si="88"/>
        <v>-7.3142488397477958</v>
      </c>
    </row>
    <row r="301" spans="1:33" ht="15" customHeight="1">
      <c r="A301" s="33" t="s">
        <v>294</v>
      </c>
      <c r="B301" s="52">
        <f>'Расчет субсидий'!AT301</f>
        <v>-0.86363636363636331</v>
      </c>
      <c r="C301" s="54">
        <f>'Расчет субсидий'!D301-1</f>
        <v>0.25087420145991057</v>
      </c>
      <c r="D301" s="54">
        <f>C301*'Расчет субсидий'!E301</f>
        <v>2.5087420145991057</v>
      </c>
      <c r="E301" s="55">
        <f t="shared" si="97"/>
        <v>0.4188657237944482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4">
        <f>'Расчет субсидий'!P301-1</f>
        <v>-0.48210822489072003</v>
      </c>
      <c r="M301" s="54">
        <f>L301*'Расчет субсидий'!Q301</f>
        <v>-9.6421644978144005</v>
      </c>
      <c r="N301" s="55">
        <f t="shared" si="98"/>
        <v>-1.6098794486716297</v>
      </c>
      <c r="O301" s="54">
        <f>'Расчет субсидий'!T301-1</f>
        <v>0</v>
      </c>
      <c r="P301" s="54">
        <f>O301*'Расчет субсидий'!U301</f>
        <v>0</v>
      </c>
      <c r="Q301" s="55">
        <f t="shared" si="99"/>
        <v>0</v>
      </c>
      <c r="R301" s="54">
        <f>'Расчет субсидий'!X301-1</f>
        <v>0</v>
      </c>
      <c r="S301" s="54">
        <f>R301*'Расчет субсидий'!Y301</f>
        <v>0</v>
      </c>
      <c r="T301" s="55">
        <f t="shared" si="100"/>
        <v>0</v>
      </c>
      <c r="U301" s="60" t="s">
        <v>385</v>
      </c>
      <c r="V301" s="60" t="s">
        <v>385</v>
      </c>
      <c r="W301" s="61" t="s">
        <v>385</v>
      </c>
      <c r="X301" s="73">
        <f>'Расчет субсидий'!AF301-1</f>
        <v>9.8039215686274606E-2</v>
      </c>
      <c r="Y301" s="73">
        <f>X301*'Расчет субсидий'!AG301</f>
        <v>1.9607843137254921</v>
      </c>
      <c r="Z301" s="55">
        <f t="shared" si="87"/>
        <v>0.3273773612408179</v>
      </c>
      <c r="AA301" s="27" t="s">
        <v>367</v>
      </c>
      <c r="AB301" s="27" t="s">
        <v>367</v>
      </c>
      <c r="AC301" s="27" t="s">
        <v>367</v>
      </c>
      <c r="AD301" s="27" t="s">
        <v>367</v>
      </c>
      <c r="AE301" s="27" t="s">
        <v>367</v>
      </c>
      <c r="AF301" s="27" t="s">
        <v>367</v>
      </c>
      <c r="AG301" s="54">
        <f t="shared" si="88"/>
        <v>-5.1726381694898027</v>
      </c>
    </row>
    <row r="302" spans="1:33" ht="15" customHeight="1">
      <c r="A302" s="33" t="s">
        <v>295</v>
      </c>
      <c r="B302" s="52">
        <f>'Расчет субсидий'!AT302</f>
        <v>9.8818181818181756</v>
      </c>
      <c r="C302" s="54">
        <f>'Расчет субсидий'!D302-1</f>
        <v>0.16403419186054635</v>
      </c>
      <c r="D302" s="54">
        <f>C302*'Расчет субсидий'!E302</f>
        <v>1.6403419186054635</v>
      </c>
      <c r="E302" s="55">
        <f t="shared" si="97"/>
        <v>2.7801879398453062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4">
        <f>'Расчет субсидий'!P302-1</f>
        <v>-0.261344098078792</v>
      </c>
      <c r="M302" s="54">
        <f>L302*'Расчет субсидий'!Q302</f>
        <v>-5.22688196157584</v>
      </c>
      <c r="N302" s="55">
        <f t="shared" si="98"/>
        <v>-8.8589543605166536</v>
      </c>
      <c r="O302" s="54">
        <f>'Расчет субсидий'!T302-1</f>
        <v>0.23923076923076914</v>
      </c>
      <c r="P302" s="54">
        <f>O302*'Расчет субсидий'!U302</f>
        <v>7.1769230769230745</v>
      </c>
      <c r="Q302" s="55">
        <f t="shared" si="99"/>
        <v>12.164046262148933</v>
      </c>
      <c r="R302" s="54">
        <f>'Расчет субсидий'!X302-1</f>
        <v>0</v>
      </c>
      <c r="S302" s="54">
        <f>R302*'Расчет субсидий'!Y302</f>
        <v>0</v>
      </c>
      <c r="T302" s="55">
        <f t="shared" si="100"/>
        <v>0</v>
      </c>
      <c r="U302" s="60" t="s">
        <v>385</v>
      </c>
      <c r="V302" s="60" t="s">
        <v>385</v>
      </c>
      <c r="W302" s="61" t="s">
        <v>385</v>
      </c>
      <c r="X302" s="73">
        <f>'Расчет субсидий'!AF302-1</f>
        <v>0.1120000000000001</v>
      </c>
      <c r="Y302" s="73">
        <f>X302*'Расчет субсидий'!AG302</f>
        <v>2.240000000000002</v>
      </c>
      <c r="Z302" s="55">
        <f t="shared" si="87"/>
        <v>3.7965383403405926</v>
      </c>
      <c r="AA302" s="27" t="s">
        <v>367</v>
      </c>
      <c r="AB302" s="27" t="s">
        <v>367</v>
      </c>
      <c r="AC302" s="27" t="s">
        <v>367</v>
      </c>
      <c r="AD302" s="27" t="s">
        <v>367</v>
      </c>
      <c r="AE302" s="27" t="s">
        <v>367</v>
      </c>
      <c r="AF302" s="27" t="s">
        <v>367</v>
      </c>
      <c r="AG302" s="54">
        <f t="shared" si="88"/>
        <v>5.8303830339526996</v>
      </c>
    </row>
    <row r="303" spans="1:33" ht="15" customHeight="1">
      <c r="A303" s="33" t="s">
        <v>296</v>
      </c>
      <c r="B303" s="52">
        <f>'Расчет субсидий'!AT303</f>
        <v>-4.0545454545454618</v>
      </c>
      <c r="C303" s="54">
        <f>'Расчет субсидий'!D303-1</f>
        <v>8.5045445106464612E-2</v>
      </c>
      <c r="D303" s="54">
        <f>C303*'Расчет субсидий'!E303</f>
        <v>0.85045445106464612</v>
      </c>
      <c r="E303" s="55">
        <f t="shared" si="97"/>
        <v>1.0045000823172956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4">
        <f>'Расчет субсидий'!P303-1</f>
        <v>-0.24146273378617289</v>
      </c>
      <c r="M303" s="54">
        <f>L303*'Расчет субсидий'!Q303</f>
        <v>-4.8292546757234582</v>
      </c>
      <c r="N303" s="55">
        <f t="shared" si="98"/>
        <v>-5.7039935686416419</v>
      </c>
      <c r="O303" s="54">
        <f>'Расчет субсидий'!T303-1</f>
        <v>9.3023255813950989E-4</v>
      </c>
      <c r="P303" s="54">
        <f>O303*'Расчет субсидий'!U303</f>
        <v>2.7906976744185297E-2</v>
      </c>
      <c r="Q303" s="55">
        <f t="shared" si="99"/>
        <v>3.2961859864062415E-2</v>
      </c>
      <c r="R303" s="54">
        <f>'Расчет субсидий'!X303-1</f>
        <v>0</v>
      </c>
      <c r="S303" s="54">
        <f>R303*'Расчет субсидий'!Y303</f>
        <v>0</v>
      </c>
      <c r="T303" s="55">
        <f t="shared" si="100"/>
        <v>0</v>
      </c>
      <c r="U303" s="60" t="s">
        <v>385</v>
      </c>
      <c r="V303" s="60" t="s">
        <v>385</v>
      </c>
      <c r="W303" s="61" t="s">
        <v>385</v>
      </c>
      <c r="X303" s="73">
        <f>'Расчет субсидий'!AF303-1</f>
        <v>2.5906735751295429E-2</v>
      </c>
      <c r="Y303" s="73">
        <f>X303*'Расчет субсидий'!AG303</f>
        <v>0.51813471502590858</v>
      </c>
      <c r="Z303" s="55">
        <f t="shared" si="87"/>
        <v>0.61198617191482163</v>
      </c>
      <c r="AA303" s="27" t="s">
        <v>367</v>
      </c>
      <c r="AB303" s="27" t="s">
        <v>367</v>
      </c>
      <c r="AC303" s="27" t="s">
        <v>367</v>
      </c>
      <c r="AD303" s="27" t="s">
        <v>367</v>
      </c>
      <c r="AE303" s="27" t="s">
        <v>367</v>
      </c>
      <c r="AF303" s="27" t="s">
        <v>367</v>
      </c>
      <c r="AG303" s="54">
        <f t="shared" si="88"/>
        <v>-3.4327585328887182</v>
      </c>
    </row>
    <row r="304" spans="1:33" ht="15" customHeight="1">
      <c r="A304" s="33" t="s">
        <v>297</v>
      </c>
      <c r="B304" s="52">
        <f>'Расчет субсидий'!AT304</f>
        <v>-245.92727272727274</v>
      </c>
      <c r="C304" s="54">
        <f>'Расчет субсидий'!D304-1</f>
        <v>-0.87119664818295928</v>
      </c>
      <c r="D304" s="54">
        <f>C304*'Расчет субсидий'!E304</f>
        <v>-8.7119664818295934</v>
      </c>
      <c r="E304" s="55">
        <f t="shared" si="97"/>
        <v>-32.387929642033654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4">
        <f>'Расчет субсидий'!P304-1</f>
        <v>-0.4719767210685174</v>
      </c>
      <c r="M304" s="54">
        <f>L304*'Расчет субсидий'!Q304</f>
        <v>-9.4395344213703485</v>
      </c>
      <c r="N304" s="55">
        <f t="shared" si="98"/>
        <v>-35.092763193080167</v>
      </c>
      <c r="O304" s="54">
        <f>'Расчет субсидий'!T304-1</f>
        <v>-1</v>
      </c>
      <c r="P304" s="54">
        <f>O304*'Расчет субсидий'!U304</f>
        <v>-35</v>
      </c>
      <c r="Q304" s="55">
        <f t="shared" si="99"/>
        <v>-130.11729783803253</v>
      </c>
      <c r="R304" s="54">
        <f>'Расчет субсидий'!X304-1</f>
        <v>0</v>
      </c>
      <c r="S304" s="54">
        <f>R304*'Расчет субсидий'!Y304</f>
        <v>0</v>
      </c>
      <c r="T304" s="55">
        <f t="shared" si="100"/>
        <v>0</v>
      </c>
      <c r="U304" s="60" t="s">
        <v>385</v>
      </c>
      <c r="V304" s="60" t="s">
        <v>385</v>
      </c>
      <c r="W304" s="61" t="s">
        <v>385</v>
      </c>
      <c r="X304" s="73">
        <f>'Расчет субсидий'!AF304-1</f>
        <v>-0.65</v>
      </c>
      <c r="Y304" s="73">
        <f>X304*'Расчет субсидий'!AG304</f>
        <v>-13</v>
      </c>
      <c r="Z304" s="55">
        <f t="shared" ref="Z304:Z367" si="101">$B304*Y304/$AG304</f>
        <v>-48.329282054126367</v>
      </c>
      <c r="AA304" s="27" t="s">
        <v>367</v>
      </c>
      <c r="AB304" s="27" t="s">
        <v>367</v>
      </c>
      <c r="AC304" s="27" t="s">
        <v>367</v>
      </c>
      <c r="AD304" s="27" t="s">
        <v>367</v>
      </c>
      <c r="AE304" s="27" t="s">
        <v>367</v>
      </c>
      <c r="AF304" s="27" t="s">
        <v>367</v>
      </c>
      <c r="AG304" s="54">
        <f t="shared" ref="AG304:AG367" si="102">D304+M304+P304+S304+Y304</f>
        <v>-66.151500903199945</v>
      </c>
    </row>
    <row r="305" spans="1:33" ht="15" customHeight="1">
      <c r="A305" s="32" t="s">
        <v>298</v>
      </c>
      <c r="B305" s="56"/>
      <c r="C305" s="57"/>
      <c r="D305" s="57"/>
      <c r="E305" s="58"/>
      <c r="F305" s="57"/>
      <c r="G305" s="57"/>
      <c r="H305" s="58"/>
      <c r="I305" s="58"/>
      <c r="J305" s="58"/>
      <c r="K305" s="58"/>
      <c r="L305" s="57"/>
      <c r="M305" s="57"/>
      <c r="N305" s="58"/>
      <c r="O305" s="57"/>
      <c r="P305" s="57"/>
      <c r="Q305" s="58"/>
      <c r="R305" s="57"/>
      <c r="S305" s="57"/>
      <c r="T305" s="58"/>
      <c r="U305" s="58"/>
      <c r="V305" s="58"/>
      <c r="W305" s="58"/>
      <c r="X305" s="75"/>
      <c r="Y305" s="75"/>
      <c r="Z305" s="58"/>
      <c r="AA305" s="58"/>
      <c r="AB305" s="58"/>
      <c r="AC305" s="58"/>
      <c r="AD305" s="58"/>
      <c r="AE305" s="58"/>
      <c r="AF305" s="58"/>
      <c r="AG305" s="58"/>
    </row>
    <row r="306" spans="1:33" ht="15" customHeight="1">
      <c r="A306" s="33" t="s">
        <v>299</v>
      </c>
      <c r="B306" s="52">
        <f>'Расчет субсидий'!AT306</f>
        <v>-0.23636363636363633</v>
      </c>
      <c r="C306" s="54">
        <f>'Расчет субсидий'!D306-1</f>
        <v>-3.3483691880638489E-2</v>
      </c>
      <c r="D306" s="54">
        <f>C306*'Расчет субсидий'!E306</f>
        <v>-0.33483691880638489</v>
      </c>
      <c r="E306" s="55">
        <f t="shared" ref="E306:E320" si="103">$B306*D306/$AG306</f>
        <v>-2.593257492991478E-2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4">
        <f>'Расчет субсидий'!P306-1</f>
        <v>-0.17431401053970552</v>
      </c>
      <c r="M306" s="54">
        <f>L306*'Расчет субсидий'!Q306</f>
        <v>-3.4862802107941104</v>
      </c>
      <c r="N306" s="55">
        <f t="shared" ref="N306:N320" si="104">$B306*M306/$AG306</f>
        <v>-0.27000673377171636</v>
      </c>
      <c r="O306" s="54">
        <f>'Расчет субсидий'!T306-1</f>
        <v>0</v>
      </c>
      <c r="P306" s="54">
        <f>O306*'Расчет субсидий'!U306</f>
        <v>0</v>
      </c>
      <c r="Q306" s="55">
        <f t="shared" ref="Q306:Q320" si="105">$B306*P306/$AG306</f>
        <v>0</v>
      </c>
      <c r="R306" s="54">
        <f>'Расчет субсидий'!X306-1</f>
        <v>0</v>
      </c>
      <c r="S306" s="54">
        <f>R306*'Расчет субсидий'!Y306</f>
        <v>0</v>
      </c>
      <c r="T306" s="55">
        <f t="shared" ref="T306:T320" si="106">$B306*S306/$AG306</f>
        <v>0</v>
      </c>
      <c r="U306" s="60" t="s">
        <v>385</v>
      </c>
      <c r="V306" s="60" t="s">
        <v>385</v>
      </c>
      <c r="W306" s="61" t="s">
        <v>385</v>
      </c>
      <c r="X306" s="73">
        <f>'Расчет субсидий'!AF306-1</f>
        <v>3.8461538461538547E-2</v>
      </c>
      <c r="Y306" s="73">
        <f>X306*'Расчет субсидий'!AG306</f>
        <v>0.76923076923077094</v>
      </c>
      <c r="Z306" s="55">
        <f t="shared" si="101"/>
        <v>5.9575672337994788E-2</v>
      </c>
      <c r="AA306" s="27" t="s">
        <v>367</v>
      </c>
      <c r="AB306" s="27" t="s">
        <v>367</v>
      </c>
      <c r="AC306" s="27" t="s">
        <v>367</v>
      </c>
      <c r="AD306" s="27" t="s">
        <v>367</v>
      </c>
      <c r="AE306" s="27" t="s">
        <v>367</v>
      </c>
      <c r="AF306" s="27" t="s">
        <v>367</v>
      </c>
      <c r="AG306" s="54">
        <f t="shared" si="102"/>
        <v>-3.0518863603697244</v>
      </c>
    </row>
    <row r="307" spans="1:33" ht="15" customHeight="1">
      <c r="A307" s="33" t="s">
        <v>300</v>
      </c>
      <c r="B307" s="52">
        <f>'Расчет субсидий'!AT307</f>
        <v>-5.4545454545454675E-2</v>
      </c>
      <c r="C307" s="54">
        <f>'Расчет субсидий'!D307-1</f>
        <v>0.21995301969221304</v>
      </c>
      <c r="D307" s="54">
        <f>C307*'Расчет субсидий'!E307</f>
        <v>2.1995301969221304</v>
      </c>
      <c r="E307" s="55">
        <f t="shared" si="103"/>
        <v>0.77309446020383088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4">
        <f>'Расчет субсидий'!P307-1</f>
        <v>-0.26410350953641937</v>
      </c>
      <c r="M307" s="54">
        <f>L307*'Расчет субсидий'!Q307</f>
        <v>-5.2820701907283869</v>
      </c>
      <c r="N307" s="55">
        <f t="shared" si="104"/>
        <v>-1.8565506436666017</v>
      </c>
      <c r="O307" s="54">
        <f>'Расчет субсидий'!T307-1</f>
        <v>0.13500000000000001</v>
      </c>
      <c r="P307" s="54">
        <f>O307*'Расчет субсидий'!U307</f>
        <v>2.0250000000000004</v>
      </c>
      <c r="Q307" s="55">
        <f t="shared" si="105"/>
        <v>0.71175030199786871</v>
      </c>
      <c r="R307" s="54">
        <f>'Расчет субсидий'!X307-1</f>
        <v>0.16279069767441867</v>
      </c>
      <c r="S307" s="54">
        <f>R307*'Расчет субсидий'!Y307</f>
        <v>5.6976744186046533</v>
      </c>
      <c r="T307" s="55">
        <f t="shared" si="106"/>
        <v>2.0026278953715519</v>
      </c>
      <c r="U307" s="60" t="s">
        <v>385</v>
      </c>
      <c r="V307" s="60" t="s">
        <v>385</v>
      </c>
      <c r="W307" s="61" t="s">
        <v>385</v>
      </c>
      <c r="X307" s="73">
        <f>'Расчет субсидий'!AF307-1</f>
        <v>-0.23976608187134507</v>
      </c>
      <c r="Y307" s="73">
        <f>X307*'Расчет субсидий'!AG307</f>
        <v>-4.7953216374269019</v>
      </c>
      <c r="Z307" s="55">
        <f t="shared" si="101"/>
        <v>-1.6854674684521045</v>
      </c>
      <c r="AA307" s="27" t="s">
        <v>367</v>
      </c>
      <c r="AB307" s="27" t="s">
        <v>367</v>
      </c>
      <c r="AC307" s="27" t="s">
        <v>367</v>
      </c>
      <c r="AD307" s="27" t="s">
        <v>367</v>
      </c>
      <c r="AE307" s="27" t="s">
        <v>367</v>
      </c>
      <c r="AF307" s="27" t="s">
        <v>367</v>
      </c>
      <c r="AG307" s="54">
        <f t="shared" si="102"/>
        <v>-0.15518721262850477</v>
      </c>
    </row>
    <row r="308" spans="1:33" ht="15" customHeight="1">
      <c r="A308" s="33" t="s">
        <v>301</v>
      </c>
      <c r="B308" s="52">
        <f>'Расчет субсидий'!AT308</f>
        <v>-5.9818181818181984</v>
      </c>
      <c r="C308" s="54">
        <f>'Расчет субсидий'!D308-1</f>
        <v>-2.2160664819944609E-2</v>
      </c>
      <c r="D308" s="54">
        <f>C308*'Расчет субсидий'!E308</f>
        <v>-0.22160664819944609</v>
      </c>
      <c r="E308" s="55">
        <f t="shared" si="103"/>
        <v>-0.38516072351669328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4">
        <f>'Расчет субсидий'!P308-1</f>
        <v>-0.52900505902192241</v>
      </c>
      <c r="M308" s="54">
        <f>L308*'Расчет субсидий'!Q308</f>
        <v>-10.580101180438447</v>
      </c>
      <c r="N308" s="55">
        <f t="shared" si="104"/>
        <v>-18.38861540773793</v>
      </c>
      <c r="O308" s="54">
        <f>'Расчет субсидий'!T308-1</f>
        <v>0</v>
      </c>
      <c r="P308" s="54">
        <f>O308*'Расчет субсидий'!U308</f>
        <v>0</v>
      </c>
      <c r="Q308" s="55">
        <f t="shared" si="105"/>
        <v>0</v>
      </c>
      <c r="R308" s="54">
        <f>'Расчет субсидий'!X308-1</f>
        <v>0.18400000000000016</v>
      </c>
      <c r="S308" s="54">
        <f>R308*'Расчет субсидий'!Y308</f>
        <v>7.3600000000000065</v>
      </c>
      <c r="T308" s="55">
        <f t="shared" si="106"/>
        <v>12.791957949436423</v>
      </c>
      <c r="U308" s="60" t="s">
        <v>385</v>
      </c>
      <c r="V308" s="60" t="s">
        <v>385</v>
      </c>
      <c r="W308" s="61" t="s">
        <v>385</v>
      </c>
      <c r="X308" s="73">
        <f>'Расчет субсидий'!AF308-1</f>
        <v>0</v>
      </c>
      <c r="Y308" s="73">
        <f>X308*'Расчет субсидий'!AG308</f>
        <v>0</v>
      </c>
      <c r="Z308" s="55">
        <f t="shared" si="101"/>
        <v>0</v>
      </c>
      <c r="AA308" s="27" t="s">
        <v>367</v>
      </c>
      <c r="AB308" s="27" t="s">
        <v>367</v>
      </c>
      <c r="AC308" s="27" t="s">
        <v>367</v>
      </c>
      <c r="AD308" s="27" t="s">
        <v>367</v>
      </c>
      <c r="AE308" s="27" t="s">
        <v>367</v>
      </c>
      <c r="AF308" s="27" t="s">
        <v>367</v>
      </c>
      <c r="AG308" s="54">
        <f t="shared" si="102"/>
        <v>-3.4417078286378864</v>
      </c>
    </row>
    <row r="309" spans="1:33" ht="15" customHeight="1">
      <c r="A309" s="33" t="s">
        <v>302</v>
      </c>
      <c r="B309" s="52">
        <f>'Расчет субсидий'!AT309</f>
        <v>-9.2727272727272805</v>
      </c>
      <c r="C309" s="54">
        <f>'Расчет субсидий'!D309-1</f>
        <v>-0.13454449710373884</v>
      </c>
      <c r="D309" s="54">
        <f>C309*'Расчет субсидий'!E309</f>
        <v>-1.3454449710373884</v>
      </c>
      <c r="E309" s="55">
        <f t="shared" si="103"/>
        <v>-3.2624288905476089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4">
        <f>'Расчет субсидий'!P309-1</f>
        <v>-0.17814854682454262</v>
      </c>
      <c r="M309" s="54">
        <f>L309*'Расчет субсидий'!Q309</f>
        <v>-3.5629709364908524</v>
      </c>
      <c r="N309" s="55">
        <f t="shared" si="104"/>
        <v>-8.6394758385597399</v>
      </c>
      <c r="O309" s="54">
        <f>'Расчет субсидий'!T309-1</f>
        <v>6.7333333333333245E-2</v>
      </c>
      <c r="P309" s="54">
        <f>O309*'Расчет субсидий'!U309</f>
        <v>1.3466666666666649</v>
      </c>
      <c r="Q309" s="55">
        <f t="shared" si="105"/>
        <v>3.2653912525930324</v>
      </c>
      <c r="R309" s="54">
        <f>'Расчет субсидий'!X309-1</f>
        <v>3.9215686274509887E-2</v>
      </c>
      <c r="S309" s="54">
        <f>R309*'Расчет субсидий'!Y309</f>
        <v>1.1764705882352966</v>
      </c>
      <c r="T309" s="55">
        <f t="shared" si="106"/>
        <v>2.8527005701162294</v>
      </c>
      <c r="U309" s="60" t="s">
        <v>385</v>
      </c>
      <c r="V309" s="60" t="s">
        <v>385</v>
      </c>
      <c r="W309" s="61" t="s">
        <v>385</v>
      </c>
      <c r="X309" s="73">
        <f>'Расчет субсидий'!AF309-1</f>
        <v>-7.1942446043165464E-2</v>
      </c>
      <c r="Y309" s="73">
        <f>X309*'Расчет субсидий'!AG309</f>
        <v>-1.4388489208633093</v>
      </c>
      <c r="Z309" s="55">
        <f t="shared" si="101"/>
        <v>-3.4889143663291939</v>
      </c>
      <c r="AA309" s="27" t="s">
        <v>367</v>
      </c>
      <c r="AB309" s="27" t="s">
        <v>367</v>
      </c>
      <c r="AC309" s="27" t="s">
        <v>367</v>
      </c>
      <c r="AD309" s="27" t="s">
        <v>367</v>
      </c>
      <c r="AE309" s="27" t="s">
        <v>367</v>
      </c>
      <c r="AF309" s="27" t="s">
        <v>367</v>
      </c>
      <c r="AG309" s="54">
        <f t="shared" si="102"/>
        <v>-3.8241275734895885</v>
      </c>
    </row>
    <row r="310" spans="1:33" ht="15" customHeight="1">
      <c r="A310" s="33" t="s">
        <v>303</v>
      </c>
      <c r="B310" s="52">
        <f>'Расчет субсидий'!AT310</f>
        <v>12.336363636363615</v>
      </c>
      <c r="C310" s="54">
        <f>'Расчет субсидий'!D310-1</f>
        <v>-1</v>
      </c>
      <c r="D310" s="54">
        <f>C310*'Расчет субсидий'!E310</f>
        <v>0</v>
      </c>
      <c r="E310" s="55">
        <f t="shared" si="103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4">
        <f>'Расчет субсидий'!P310-1</f>
        <v>0.30000000000000004</v>
      </c>
      <c r="M310" s="54">
        <f>L310*'Расчет субсидий'!Q310</f>
        <v>6.0000000000000009</v>
      </c>
      <c r="N310" s="55">
        <f t="shared" si="104"/>
        <v>11.081545763342769</v>
      </c>
      <c r="O310" s="54">
        <f>'Расчет субсидий'!T310-1</f>
        <v>0.12923076923076926</v>
      </c>
      <c r="P310" s="54">
        <f>O310*'Расчет субсидий'!U310</f>
        <v>2.5846153846153852</v>
      </c>
      <c r="Q310" s="55">
        <f t="shared" si="105"/>
        <v>4.7735889442091937</v>
      </c>
      <c r="R310" s="54">
        <f>'Расчет субсидий'!X310-1</f>
        <v>3.0769230769230882E-2</v>
      </c>
      <c r="S310" s="54">
        <f>R310*'Расчет субсидий'!Y310</f>
        <v>0.92307692307692646</v>
      </c>
      <c r="T310" s="55">
        <f t="shared" si="106"/>
        <v>1.7048531943604319</v>
      </c>
      <c r="U310" s="60" t="s">
        <v>385</v>
      </c>
      <c r="V310" s="60" t="s">
        <v>385</v>
      </c>
      <c r="W310" s="61" t="s">
        <v>385</v>
      </c>
      <c r="X310" s="73">
        <f>'Расчет субсидий'!AF310-1</f>
        <v>-0.14141414141414144</v>
      </c>
      <c r="Y310" s="73">
        <f>X310*'Расчет субсидий'!AG310</f>
        <v>-2.8282828282828287</v>
      </c>
      <c r="Z310" s="55">
        <f t="shared" si="101"/>
        <v>-5.2236242655487803</v>
      </c>
      <c r="AA310" s="27" t="s">
        <v>367</v>
      </c>
      <c r="AB310" s="27" t="s">
        <v>367</v>
      </c>
      <c r="AC310" s="27" t="s">
        <v>367</v>
      </c>
      <c r="AD310" s="27" t="s">
        <v>367</v>
      </c>
      <c r="AE310" s="27" t="s">
        <v>367</v>
      </c>
      <c r="AF310" s="27" t="s">
        <v>367</v>
      </c>
      <c r="AG310" s="54">
        <f t="shared" si="102"/>
        <v>6.6794094794094843</v>
      </c>
    </row>
    <row r="311" spans="1:33" ht="15" customHeight="1">
      <c r="A311" s="33" t="s">
        <v>304</v>
      </c>
      <c r="B311" s="52">
        <f>'Расчет субсидий'!AT311</f>
        <v>5.9272727272727224</v>
      </c>
      <c r="C311" s="54">
        <f>'Расчет субсидий'!D311-1</f>
        <v>-0.10715426381347815</v>
      </c>
      <c r="D311" s="54">
        <f>C311*'Расчет субсидий'!E311</f>
        <v>-1.0715426381347815</v>
      </c>
      <c r="E311" s="55">
        <f t="shared" si="103"/>
        <v>-1.262204989012514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4">
        <f>'Расчет субсидий'!P311-1</f>
        <v>5.1735647530037898E-3</v>
      </c>
      <c r="M311" s="54">
        <f>L311*'Расчет субсидий'!Q311</f>
        <v>0.1034712950600758</v>
      </c>
      <c r="N311" s="55">
        <f t="shared" si="104"/>
        <v>0.12188220999936179</v>
      </c>
      <c r="O311" s="54">
        <f>'Расчет субсидий'!T311-1</f>
        <v>0.10000000000000009</v>
      </c>
      <c r="P311" s="54">
        <f>O311*'Расчет субсидий'!U311</f>
        <v>2.0000000000000018</v>
      </c>
      <c r="Q311" s="55">
        <f t="shared" si="105"/>
        <v>2.3558651687619578</v>
      </c>
      <c r="R311" s="54">
        <f>'Расчет субсидий'!X311-1</f>
        <v>0.18666666666666676</v>
      </c>
      <c r="S311" s="54">
        <f>R311*'Расчет субсидий'!Y311</f>
        <v>5.6000000000000032</v>
      </c>
      <c r="T311" s="55">
        <f t="shared" si="106"/>
        <v>6.5964224725334795</v>
      </c>
      <c r="U311" s="60" t="s">
        <v>385</v>
      </c>
      <c r="V311" s="60" t="s">
        <v>385</v>
      </c>
      <c r="W311" s="61" t="s">
        <v>385</v>
      </c>
      <c r="X311" s="73">
        <f>'Расчет субсидий'!AF311-1</f>
        <v>-7.999999999999996E-2</v>
      </c>
      <c r="Y311" s="73">
        <f>X311*'Расчет субсидий'!AG311</f>
        <v>-1.5999999999999992</v>
      </c>
      <c r="Z311" s="55">
        <f t="shared" si="101"/>
        <v>-1.8846921350095638</v>
      </c>
      <c r="AA311" s="27" t="s">
        <v>367</v>
      </c>
      <c r="AB311" s="27" t="s">
        <v>367</v>
      </c>
      <c r="AC311" s="27" t="s">
        <v>367</v>
      </c>
      <c r="AD311" s="27" t="s">
        <v>367</v>
      </c>
      <c r="AE311" s="27" t="s">
        <v>367</v>
      </c>
      <c r="AF311" s="27" t="s">
        <v>367</v>
      </c>
      <c r="AG311" s="54">
        <f t="shared" si="102"/>
        <v>5.0319286569253006</v>
      </c>
    </row>
    <row r="312" spans="1:33" ht="15" customHeight="1">
      <c r="A312" s="33" t="s">
        <v>305</v>
      </c>
      <c r="B312" s="52">
        <f>'Расчет субсидий'!AT312</f>
        <v>-10.818181818181813</v>
      </c>
      <c r="C312" s="54">
        <f>'Расчет субсидий'!D312-1</f>
        <v>-5.822377622377628E-2</v>
      </c>
      <c r="D312" s="54">
        <f>C312*'Расчет субсидий'!E312</f>
        <v>-0.5822377622377628</v>
      </c>
      <c r="E312" s="55">
        <f t="shared" si="103"/>
        <v>-1.10417102880127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4">
        <f>'Расчет субсидий'!P312-1</f>
        <v>-0.46111358009015302</v>
      </c>
      <c r="M312" s="54">
        <f>L312*'Расчет субсидий'!Q312</f>
        <v>-9.2222716018030599</v>
      </c>
      <c r="N312" s="55">
        <f t="shared" si="104"/>
        <v>-17.48935878585165</v>
      </c>
      <c r="O312" s="54">
        <f>'Расчет субсидий'!T312-1</f>
        <v>0</v>
      </c>
      <c r="P312" s="54">
        <f>O312*'Расчет субсидий'!U312</f>
        <v>0</v>
      </c>
      <c r="Q312" s="55">
        <f t="shared" si="105"/>
        <v>0</v>
      </c>
      <c r="R312" s="54">
        <f>'Расчет субсидий'!X312-1</f>
        <v>0</v>
      </c>
      <c r="S312" s="54">
        <f>R312*'Расчет субсидий'!Y312</f>
        <v>0</v>
      </c>
      <c r="T312" s="55">
        <f t="shared" si="106"/>
        <v>0</v>
      </c>
      <c r="U312" s="60" t="s">
        <v>385</v>
      </c>
      <c r="V312" s="60" t="s">
        <v>385</v>
      </c>
      <c r="W312" s="61" t="s">
        <v>385</v>
      </c>
      <c r="X312" s="73">
        <f>'Расчет субсидий'!AF312-1</f>
        <v>0.20500000000000007</v>
      </c>
      <c r="Y312" s="73">
        <f>X312*'Расчет субсидий'!AG312</f>
        <v>4.1000000000000014</v>
      </c>
      <c r="Z312" s="55">
        <f t="shared" si="101"/>
        <v>7.7753479964711056</v>
      </c>
      <c r="AA312" s="27" t="s">
        <v>367</v>
      </c>
      <c r="AB312" s="27" t="s">
        <v>367</v>
      </c>
      <c r="AC312" s="27" t="s">
        <v>367</v>
      </c>
      <c r="AD312" s="27" t="s">
        <v>367</v>
      </c>
      <c r="AE312" s="27" t="s">
        <v>367</v>
      </c>
      <c r="AF312" s="27" t="s">
        <v>367</v>
      </c>
      <c r="AG312" s="54">
        <f t="shared" si="102"/>
        <v>-5.7045093640408204</v>
      </c>
    </row>
    <row r="313" spans="1:33" ht="15" customHeight="1">
      <c r="A313" s="33" t="s">
        <v>306</v>
      </c>
      <c r="B313" s="52">
        <f>'Расчет субсидий'!AT313</f>
        <v>6.2272727272727195</v>
      </c>
      <c r="C313" s="54">
        <f>'Расчет субсидий'!D313-1</f>
        <v>0.26256410256410256</v>
      </c>
      <c r="D313" s="54">
        <f>C313*'Расчет субсидий'!E313</f>
        <v>2.6256410256410256</v>
      </c>
      <c r="E313" s="55">
        <f t="shared" si="103"/>
        <v>4.2715050541917865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4">
        <f>'Расчет субсидий'!P313-1</f>
        <v>-0.2661406969099277</v>
      </c>
      <c r="M313" s="54">
        <f>L313*'Расчет субсидий'!Q313</f>
        <v>-5.3228139381985535</v>
      </c>
      <c r="N313" s="55">
        <f t="shared" si="104"/>
        <v>-8.6593812396676419</v>
      </c>
      <c r="O313" s="54">
        <f>'Расчет субсидий'!T313-1</f>
        <v>0.19666666666666655</v>
      </c>
      <c r="P313" s="54">
        <f>O313*'Расчет субсидий'!U313</f>
        <v>5.8999999999999968</v>
      </c>
      <c r="Q313" s="55">
        <f t="shared" si="105"/>
        <v>9.5983721969680627</v>
      </c>
      <c r="R313" s="54">
        <f>'Расчет субсидий'!X313-1</f>
        <v>0</v>
      </c>
      <c r="S313" s="54">
        <f>R313*'Расчет субсидий'!Y313</f>
        <v>0</v>
      </c>
      <c r="T313" s="55">
        <f t="shared" si="106"/>
        <v>0</v>
      </c>
      <c r="U313" s="60" t="s">
        <v>385</v>
      </c>
      <c r="V313" s="60" t="s">
        <v>385</v>
      </c>
      <c r="W313" s="61" t="s">
        <v>385</v>
      </c>
      <c r="X313" s="73">
        <f>'Расчет субсидий'!AF313-1</f>
        <v>3.125E-2</v>
      </c>
      <c r="Y313" s="73">
        <f>X313*'Расчет субсидий'!AG313</f>
        <v>0.625</v>
      </c>
      <c r="Z313" s="55">
        <f t="shared" si="101"/>
        <v>1.0167767157805154</v>
      </c>
      <c r="AA313" s="27" t="s">
        <v>367</v>
      </c>
      <c r="AB313" s="27" t="s">
        <v>367</v>
      </c>
      <c r="AC313" s="27" t="s">
        <v>367</v>
      </c>
      <c r="AD313" s="27" t="s">
        <v>367</v>
      </c>
      <c r="AE313" s="27" t="s">
        <v>367</v>
      </c>
      <c r="AF313" s="27" t="s">
        <v>367</v>
      </c>
      <c r="AG313" s="54">
        <f t="shared" si="102"/>
        <v>3.8278270874424689</v>
      </c>
    </row>
    <row r="314" spans="1:33" ht="15" customHeight="1">
      <c r="A314" s="33" t="s">
        <v>307</v>
      </c>
      <c r="B314" s="52">
        <f>'Расчет субсидий'!AT314</f>
        <v>-8.363636363636374</v>
      </c>
      <c r="C314" s="54">
        <f>'Расчет субсидий'!D314-1</f>
        <v>-1</v>
      </c>
      <c r="D314" s="54">
        <f>C314*'Расчет субсидий'!E314</f>
        <v>0</v>
      </c>
      <c r="E314" s="55">
        <f t="shared" si="103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4">
        <f>'Расчет субсидий'!P314-1</f>
        <v>-0.36029715229054893</v>
      </c>
      <c r="M314" s="54">
        <f>L314*'Расчет субсидий'!Q314</f>
        <v>-7.2059430458109786</v>
      </c>
      <c r="N314" s="55">
        <f t="shared" si="104"/>
        <v>-20.062511900648435</v>
      </c>
      <c r="O314" s="54">
        <f>'Расчет субсидий'!T314-1</f>
        <v>0.17833333333333345</v>
      </c>
      <c r="P314" s="54">
        <f>O314*'Расчет субсидий'!U314</f>
        <v>1.7833333333333345</v>
      </c>
      <c r="Q314" s="55">
        <f t="shared" si="105"/>
        <v>4.9650886768556868</v>
      </c>
      <c r="R314" s="54">
        <f>'Расчет субсидий'!X314-1</f>
        <v>0</v>
      </c>
      <c r="S314" s="54">
        <f>R314*'Расчет субсидий'!Y314</f>
        <v>0</v>
      </c>
      <c r="T314" s="55">
        <f t="shared" si="106"/>
        <v>0</v>
      </c>
      <c r="U314" s="60" t="s">
        <v>385</v>
      </c>
      <c r="V314" s="60" t="s">
        <v>385</v>
      </c>
      <c r="W314" s="61" t="s">
        <v>385</v>
      </c>
      <c r="X314" s="73">
        <f>'Расчет субсидий'!AF314-1</f>
        <v>0.12093023255813962</v>
      </c>
      <c r="Y314" s="73">
        <f>X314*'Расчет субсидий'!AG314</f>
        <v>2.4186046511627923</v>
      </c>
      <c r="Z314" s="55">
        <f t="shared" si="101"/>
        <v>6.7337868601563748</v>
      </c>
      <c r="AA314" s="27" t="s">
        <v>367</v>
      </c>
      <c r="AB314" s="27" t="s">
        <v>367</v>
      </c>
      <c r="AC314" s="27" t="s">
        <v>367</v>
      </c>
      <c r="AD314" s="27" t="s">
        <v>367</v>
      </c>
      <c r="AE314" s="27" t="s">
        <v>367</v>
      </c>
      <c r="AF314" s="27" t="s">
        <v>367</v>
      </c>
      <c r="AG314" s="54">
        <f t="shared" si="102"/>
        <v>-3.0040050613148521</v>
      </c>
    </row>
    <row r="315" spans="1:33" ht="15" customHeight="1">
      <c r="A315" s="33" t="s">
        <v>308</v>
      </c>
      <c r="B315" s="52">
        <f>'Расчет субсидий'!AT315</f>
        <v>-6.3636363636363491E-2</v>
      </c>
      <c r="C315" s="54">
        <f>'Расчет субсидий'!D315-1</f>
        <v>-1</v>
      </c>
      <c r="D315" s="54">
        <f>C315*'Расчет субсидий'!E315</f>
        <v>0</v>
      </c>
      <c r="E315" s="55">
        <f t="shared" si="103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4">
        <f>'Расчет субсидий'!P315-1</f>
        <v>-0.57002087682672231</v>
      </c>
      <c r="M315" s="54">
        <f>L315*'Расчет субсидий'!Q315</f>
        <v>-11.400417536534446</v>
      </c>
      <c r="N315" s="55">
        <f t="shared" si="104"/>
        <v>-0.27926901130651133</v>
      </c>
      <c r="O315" s="54">
        <f>'Расчет субсидий'!T315-1</f>
        <v>0.14375000000000004</v>
      </c>
      <c r="P315" s="54">
        <f>O315*'Расчет субсидий'!U315</f>
        <v>5.7500000000000018</v>
      </c>
      <c r="Q315" s="55">
        <f t="shared" si="105"/>
        <v>0.14085421080994709</v>
      </c>
      <c r="R315" s="54">
        <f>'Расчет субсидий'!X315-1</f>
        <v>0</v>
      </c>
      <c r="S315" s="54">
        <f>R315*'Расчет субсидий'!Y315</f>
        <v>0</v>
      </c>
      <c r="T315" s="55">
        <f t="shared" si="106"/>
        <v>0</v>
      </c>
      <c r="U315" s="60" t="s">
        <v>385</v>
      </c>
      <c r="V315" s="60" t="s">
        <v>385</v>
      </c>
      <c r="W315" s="61" t="s">
        <v>385</v>
      </c>
      <c r="X315" s="73">
        <f>'Расчет субсидий'!AF315-1</f>
        <v>0.15263157894736845</v>
      </c>
      <c r="Y315" s="73">
        <f>X315*'Расчет субсидий'!AG315</f>
        <v>3.052631578947369</v>
      </c>
      <c r="Z315" s="55">
        <f t="shared" si="101"/>
        <v>7.4778436860200734E-2</v>
      </c>
      <c r="AA315" s="27" t="s">
        <v>367</v>
      </c>
      <c r="AB315" s="27" t="s">
        <v>367</v>
      </c>
      <c r="AC315" s="27" t="s">
        <v>367</v>
      </c>
      <c r="AD315" s="27" t="s">
        <v>367</v>
      </c>
      <c r="AE315" s="27" t="s">
        <v>367</v>
      </c>
      <c r="AF315" s="27" t="s">
        <v>367</v>
      </c>
      <c r="AG315" s="54">
        <f t="shared" si="102"/>
        <v>-2.5977859575870754</v>
      </c>
    </row>
    <row r="316" spans="1:33" ht="15" customHeight="1">
      <c r="A316" s="33" t="s">
        <v>309</v>
      </c>
      <c r="B316" s="52">
        <f>'Расчет субсидий'!AT316</f>
        <v>-0.14545454545452685</v>
      </c>
      <c r="C316" s="54">
        <f>'Расчет субсидий'!D316-1</f>
        <v>0.30000000000000004</v>
      </c>
      <c r="D316" s="54">
        <f>C316*'Расчет субсидий'!E316</f>
        <v>3.0000000000000004</v>
      </c>
      <c r="E316" s="55">
        <f t="shared" si="103"/>
        <v>4.9797321240092831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4">
        <f>'Расчет субсидий'!P316-1</f>
        <v>-0.67310688688064813</v>
      </c>
      <c r="M316" s="54">
        <f>L316*'Расчет субсидий'!Q316</f>
        <v>-13.462137737612963</v>
      </c>
      <c r="N316" s="55">
        <f t="shared" si="104"/>
        <v>-22.345946583276305</v>
      </c>
      <c r="O316" s="54">
        <f>'Расчет субсидий'!T316-1</f>
        <v>0</v>
      </c>
      <c r="P316" s="54">
        <f>O316*'Расчет субсидий'!U316</f>
        <v>0</v>
      </c>
      <c r="Q316" s="55">
        <f t="shared" si="105"/>
        <v>0</v>
      </c>
      <c r="R316" s="54">
        <f>'Расчет субсидий'!X316-1</f>
        <v>0.16666666666666674</v>
      </c>
      <c r="S316" s="54">
        <f>R316*'Расчет субсидий'!Y316</f>
        <v>5.8333333333333357</v>
      </c>
      <c r="T316" s="55">
        <f t="shared" si="106"/>
        <v>9.6828124633513859</v>
      </c>
      <c r="U316" s="60" t="s">
        <v>385</v>
      </c>
      <c r="V316" s="60" t="s">
        <v>385</v>
      </c>
      <c r="W316" s="61" t="s">
        <v>385</v>
      </c>
      <c r="X316" s="73">
        <f>'Расчет субсидий'!AF316-1</f>
        <v>0.22705882352941176</v>
      </c>
      <c r="Y316" s="73">
        <f>X316*'Расчет субсидий'!AG316</f>
        <v>4.5411764705882351</v>
      </c>
      <c r="Z316" s="55">
        <f t="shared" si="101"/>
        <v>7.5379474504611101</v>
      </c>
      <c r="AA316" s="27" t="s">
        <v>367</v>
      </c>
      <c r="AB316" s="27" t="s">
        <v>367</v>
      </c>
      <c r="AC316" s="27" t="s">
        <v>367</v>
      </c>
      <c r="AD316" s="27" t="s">
        <v>367</v>
      </c>
      <c r="AE316" s="27" t="s">
        <v>367</v>
      </c>
      <c r="AF316" s="27" t="s">
        <v>367</v>
      </c>
      <c r="AG316" s="54">
        <f t="shared" si="102"/>
        <v>-8.7627933691392101E-2</v>
      </c>
    </row>
    <row r="317" spans="1:33" ht="15" customHeight="1">
      <c r="A317" s="33" t="s">
        <v>310</v>
      </c>
      <c r="B317" s="52">
        <f>'Расчет субсидий'!AT317</f>
        <v>-25.081818181818164</v>
      </c>
      <c r="C317" s="54">
        <f>'Расчет субсидий'!D317-1</f>
        <v>-0.18939509954058187</v>
      </c>
      <c r="D317" s="54">
        <f>C317*'Расчет субсидий'!E317</f>
        <v>-1.8939509954058187</v>
      </c>
      <c r="E317" s="55">
        <f t="shared" si="103"/>
        <v>-5.7852512470477517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4">
        <f>'Расчет субсидий'!P317-1</f>
        <v>-0.43967093235831811</v>
      </c>
      <c r="M317" s="54">
        <f>L317*'Расчет субсидий'!Q317</f>
        <v>-8.7934186471663622</v>
      </c>
      <c r="N317" s="55">
        <f t="shared" si="104"/>
        <v>-26.860323375701562</v>
      </c>
      <c r="O317" s="54">
        <f>'Расчет субсидий'!T317-1</f>
        <v>0.12380952380952381</v>
      </c>
      <c r="P317" s="54">
        <f>O317*'Расчет субсидий'!U317</f>
        <v>2.4761904761904763</v>
      </c>
      <c r="Q317" s="55">
        <f t="shared" si="105"/>
        <v>7.5637564409311473</v>
      </c>
      <c r="R317" s="54">
        <f>'Расчет субсидий'!X317-1</f>
        <v>0</v>
      </c>
      <c r="S317" s="54">
        <f>R317*'Расчет субсидий'!Y317</f>
        <v>0</v>
      </c>
      <c r="T317" s="55">
        <f t="shared" si="106"/>
        <v>0</v>
      </c>
      <c r="U317" s="60" t="s">
        <v>385</v>
      </c>
      <c r="V317" s="60" t="s">
        <v>385</v>
      </c>
      <c r="W317" s="61" t="s">
        <v>385</v>
      </c>
      <c r="X317" s="73">
        <f>'Расчет субсидий'!AF317-1</f>
        <v>0</v>
      </c>
      <c r="Y317" s="73">
        <f>X317*'Расчет субсидий'!AG317</f>
        <v>0</v>
      </c>
      <c r="Z317" s="55">
        <f t="shared" si="101"/>
        <v>0</v>
      </c>
      <c r="AA317" s="27" t="s">
        <v>367</v>
      </c>
      <c r="AB317" s="27" t="s">
        <v>367</v>
      </c>
      <c r="AC317" s="27" t="s">
        <v>367</v>
      </c>
      <c r="AD317" s="27" t="s">
        <v>367</v>
      </c>
      <c r="AE317" s="27" t="s">
        <v>367</v>
      </c>
      <c r="AF317" s="27" t="s">
        <v>367</v>
      </c>
      <c r="AG317" s="54">
        <f t="shared" si="102"/>
        <v>-8.2111791663817044</v>
      </c>
    </row>
    <row r="318" spans="1:33" ht="15" customHeight="1">
      <c r="A318" s="33" t="s">
        <v>311</v>
      </c>
      <c r="B318" s="52">
        <f>'Расчет субсидий'!AT318</f>
        <v>-41.345454545454572</v>
      </c>
      <c r="C318" s="54">
        <f>'Расчет субсидий'!D318-1</f>
        <v>-1</v>
      </c>
      <c r="D318" s="54">
        <f>C318*'Расчет субсидий'!E318</f>
        <v>0</v>
      </c>
      <c r="E318" s="55">
        <f t="shared" si="103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4">
        <f>'Расчет субсидий'!P318-1</f>
        <v>-0.81503036437246967</v>
      </c>
      <c r="M318" s="54">
        <f>L318*'Расчет субсидий'!Q318</f>
        <v>-16.300607287449395</v>
      </c>
      <c r="N318" s="55">
        <f t="shared" si="104"/>
        <v>-41.345454545454572</v>
      </c>
      <c r="O318" s="54">
        <f>'Расчет субсидий'!T318-1</f>
        <v>0</v>
      </c>
      <c r="P318" s="54">
        <f>O318*'Расчет субсидий'!U318</f>
        <v>0</v>
      </c>
      <c r="Q318" s="55">
        <f t="shared" si="105"/>
        <v>0</v>
      </c>
      <c r="R318" s="54">
        <f>'Расчет субсидий'!X318-1</f>
        <v>0</v>
      </c>
      <c r="S318" s="54">
        <f>R318*'Расчет субсидий'!Y318</f>
        <v>0</v>
      </c>
      <c r="T318" s="55">
        <f t="shared" si="106"/>
        <v>0</v>
      </c>
      <c r="U318" s="60" t="s">
        <v>385</v>
      </c>
      <c r="V318" s="60" t="s">
        <v>385</v>
      </c>
      <c r="W318" s="61" t="s">
        <v>385</v>
      </c>
      <c r="X318" s="73">
        <f>'Расчет субсидий'!AF318-1</f>
        <v>0</v>
      </c>
      <c r="Y318" s="73">
        <f>X318*'Расчет субсидий'!AG318</f>
        <v>0</v>
      </c>
      <c r="Z318" s="55">
        <f t="shared" si="101"/>
        <v>0</v>
      </c>
      <c r="AA318" s="27" t="s">
        <v>367</v>
      </c>
      <c r="AB318" s="27" t="s">
        <v>367</v>
      </c>
      <c r="AC318" s="27" t="s">
        <v>367</v>
      </c>
      <c r="AD318" s="27" t="s">
        <v>367</v>
      </c>
      <c r="AE318" s="27" t="s">
        <v>367</v>
      </c>
      <c r="AF318" s="27" t="s">
        <v>367</v>
      </c>
      <c r="AG318" s="54">
        <f t="shared" si="102"/>
        <v>-16.300607287449395</v>
      </c>
    </row>
    <row r="319" spans="1:33" ht="15" customHeight="1">
      <c r="A319" s="33" t="s">
        <v>312</v>
      </c>
      <c r="B319" s="52">
        <f>'Расчет субсидий'!AT319</f>
        <v>-7.5181818181818016</v>
      </c>
      <c r="C319" s="54">
        <f>'Расчет субсидий'!D319-1</f>
        <v>-0.38767936665017322</v>
      </c>
      <c r="D319" s="54">
        <f>C319*'Расчет субсидий'!E319</f>
        <v>-3.8767936665017322</v>
      </c>
      <c r="E319" s="55">
        <f t="shared" si="103"/>
        <v>-10.009088012981437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4">
        <f>'Расчет субсидий'!P319-1</f>
        <v>-0.36205738412820265</v>
      </c>
      <c r="M319" s="54">
        <f>L319*'Расчет субсидий'!Q319</f>
        <v>-7.2411476825640531</v>
      </c>
      <c r="N319" s="55">
        <f t="shared" si="104"/>
        <v>-18.695161699224723</v>
      </c>
      <c r="O319" s="54">
        <f>'Расчет субсидий'!T319-1</f>
        <v>0.20059393939393932</v>
      </c>
      <c r="P319" s="54">
        <f>O319*'Расчет субсидий'!U319</f>
        <v>8.023757575757573</v>
      </c>
      <c r="Q319" s="55">
        <f t="shared" si="105"/>
        <v>20.71570031299942</v>
      </c>
      <c r="R319" s="54">
        <f>'Расчет субсидий'!X319-1</f>
        <v>0</v>
      </c>
      <c r="S319" s="54">
        <f>R319*'Расчет субсидий'!Y319</f>
        <v>0</v>
      </c>
      <c r="T319" s="55">
        <f t="shared" si="106"/>
        <v>0</v>
      </c>
      <c r="U319" s="60" t="s">
        <v>385</v>
      </c>
      <c r="V319" s="60" t="s">
        <v>385</v>
      </c>
      <c r="W319" s="61" t="s">
        <v>385</v>
      </c>
      <c r="X319" s="73">
        <f>'Расчет субсидий'!AF319-1</f>
        <v>9.109311740890691E-3</v>
      </c>
      <c r="Y319" s="73">
        <f>X319*'Расчет субсидий'!AG319</f>
        <v>0.18218623481781382</v>
      </c>
      <c r="Z319" s="55">
        <f t="shared" si="101"/>
        <v>0.47036758102493326</v>
      </c>
      <c r="AA319" s="27" t="s">
        <v>367</v>
      </c>
      <c r="AB319" s="27" t="s">
        <v>367</v>
      </c>
      <c r="AC319" s="27" t="s">
        <v>367</v>
      </c>
      <c r="AD319" s="27" t="s">
        <v>367</v>
      </c>
      <c r="AE319" s="27" t="s">
        <v>367</v>
      </c>
      <c r="AF319" s="27" t="s">
        <v>367</v>
      </c>
      <c r="AG319" s="54">
        <f t="shared" si="102"/>
        <v>-2.9119975384903976</v>
      </c>
    </row>
    <row r="320" spans="1:33" ht="15" customHeight="1">
      <c r="A320" s="33" t="s">
        <v>313</v>
      </c>
      <c r="B320" s="52">
        <f>'Расчет субсидий'!AT320</f>
        <v>-11.718181818181819</v>
      </c>
      <c r="C320" s="54">
        <f>'Расчет субсидий'!D320-1</f>
        <v>-1</v>
      </c>
      <c r="D320" s="54">
        <f>C320*'Расчет субсидий'!E320</f>
        <v>0</v>
      </c>
      <c r="E320" s="55">
        <f t="shared" si="103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4">
        <f>'Расчет субсидий'!P320-1</f>
        <v>-0.51348406428766014</v>
      </c>
      <c r="M320" s="54">
        <f>L320*'Расчет субсидий'!Q320</f>
        <v>-10.269681285753203</v>
      </c>
      <c r="N320" s="55">
        <f t="shared" si="104"/>
        <v>-11.718181818181819</v>
      </c>
      <c r="O320" s="54">
        <f>'Расчет субсидий'!T320-1</f>
        <v>0</v>
      </c>
      <c r="P320" s="54">
        <f>O320*'Расчет субсидий'!U320</f>
        <v>0</v>
      </c>
      <c r="Q320" s="55">
        <f t="shared" si="105"/>
        <v>0</v>
      </c>
      <c r="R320" s="54">
        <f>'Расчет субсидий'!X320-1</f>
        <v>0</v>
      </c>
      <c r="S320" s="54">
        <f>R320*'Расчет субсидий'!Y320</f>
        <v>0</v>
      </c>
      <c r="T320" s="55">
        <f t="shared" si="106"/>
        <v>0</v>
      </c>
      <c r="U320" s="60" t="s">
        <v>385</v>
      </c>
      <c r="V320" s="60" t="s">
        <v>385</v>
      </c>
      <c r="W320" s="61" t="s">
        <v>385</v>
      </c>
      <c r="X320" s="73">
        <f>'Расчет субсидий'!AF320-1</f>
        <v>0</v>
      </c>
      <c r="Y320" s="73">
        <f>X320*'Расчет субсидий'!AG320</f>
        <v>0</v>
      </c>
      <c r="Z320" s="55">
        <f t="shared" si="101"/>
        <v>0</v>
      </c>
      <c r="AA320" s="27" t="s">
        <v>367</v>
      </c>
      <c r="AB320" s="27" t="s">
        <v>367</v>
      </c>
      <c r="AC320" s="27" t="s">
        <v>367</v>
      </c>
      <c r="AD320" s="27" t="s">
        <v>367</v>
      </c>
      <c r="AE320" s="27" t="s">
        <v>367</v>
      </c>
      <c r="AF320" s="27" t="s">
        <v>367</v>
      </c>
      <c r="AG320" s="54">
        <f t="shared" si="102"/>
        <v>-10.269681285753203</v>
      </c>
    </row>
    <row r="321" spans="1:33" ht="15" customHeight="1">
      <c r="A321" s="32" t="s">
        <v>314</v>
      </c>
      <c r="B321" s="56"/>
      <c r="C321" s="57"/>
      <c r="D321" s="57"/>
      <c r="E321" s="58"/>
      <c r="F321" s="57"/>
      <c r="G321" s="57"/>
      <c r="H321" s="58"/>
      <c r="I321" s="58"/>
      <c r="J321" s="58"/>
      <c r="K321" s="58"/>
      <c r="L321" s="57"/>
      <c r="M321" s="57"/>
      <c r="N321" s="58"/>
      <c r="O321" s="57"/>
      <c r="P321" s="57"/>
      <c r="Q321" s="58"/>
      <c r="R321" s="57"/>
      <c r="S321" s="57"/>
      <c r="T321" s="58"/>
      <c r="U321" s="58"/>
      <c r="V321" s="58"/>
      <c r="W321" s="58"/>
      <c r="X321" s="75"/>
      <c r="Y321" s="75"/>
      <c r="Z321" s="58"/>
      <c r="AA321" s="58"/>
      <c r="AB321" s="58"/>
      <c r="AC321" s="58"/>
      <c r="AD321" s="58"/>
      <c r="AE321" s="58"/>
      <c r="AF321" s="58"/>
      <c r="AG321" s="58"/>
    </row>
    <row r="322" spans="1:33" ht="15" customHeight="1">
      <c r="A322" s="33" t="s">
        <v>315</v>
      </c>
      <c r="B322" s="52">
        <f>'Расчет субсидий'!AT322</f>
        <v>8.5636363636363626</v>
      </c>
      <c r="C322" s="54">
        <f>'Расчет субсидий'!D322-1</f>
        <v>0.26030927835051543</v>
      </c>
      <c r="D322" s="54">
        <f>C322*'Расчет субсидий'!E322</f>
        <v>2.6030927835051543</v>
      </c>
      <c r="E322" s="55">
        <f t="shared" ref="E322:E332" si="107">$B322*D322/$AG322</f>
        <v>11.789518781507097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4">
        <f>'Расчет субсидий'!P322-1</f>
        <v>-0.3109756097560975</v>
      </c>
      <c r="M322" s="54">
        <f>L322*'Расчет субсидий'!Q322</f>
        <v>-6.2195121951219505</v>
      </c>
      <c r="N322" s="55">
        <f t="shared" ref="N322:N332" si="108">$B322*M322/$AG322</f>
        <v>-28.168437291531326</v>
      </c>
      <c r="O322" s="54">
        <f>'Расчет субсидий'!T322-1</f>
        <v>6.6666666666666652E-2</v>
      </c>
      <c r="P322" s="54">
        <f>O322*'Расчет субсидий'!U322</f>
        <v>1.9999999999999996</v>
      </c>
      <c r="Q322" s="55">
        <f t="shared" ref="Q322:Q332" si="109">$B322*P322/$AG322</f>
        <v>9.0580857172767395</v>
      </c>
      <c r="R322" s="54">
        <f>'Расчет субсидий'!X322-1</f>
        <v>6.6666666666666652E-2</v>
      </c>
      <c r="S322" s="54">
        <f>R322*'Расчет субсидий'!Y322</f>
        <v>1.333333333333333</v>
      </c>
      <c r="T322" s="55">
        <f t="shared" ref="T322:T332" si="110">$B322*S322/$AG322</f>
        <v>6.0387238115178263</v>
      </c>
      <c r="U322" s="60" t="s">
        <v>385</v>
      </c>
      <c r="V322" s="60" t="s">
        <v>385</v>
      </c>
      <c r="W322" s="61" t="s">
        <v>385</v>
      </c>
      <c r="X322" s="73">
        <f>'Расчет субсидий'!AF322-1</f>
        <v>0.10869565217391308</v>
      </c>
      <c r="Y322" s="73">
        <f>X322*'Расчет субсидий'!AG322</f>
        <v>2.1739130434782616</v>
      </c>
      <c r="Z322" s="55">
        <f t="shared" si="101"/>
        <v>9.8457453448660264</v>
      </c>
      <c r="AA322" s="27" t="s">
        <v>367</v>
      </c>
      <c r="AB322" s="27" t="s">
        <v>367</v>
      </c>
      <c r="AC322" s="27" t="s">
        <v>367</v>
      </c>
      <c r="AD322" s="27" t="s">
        <v>367</v>
      </c>
      <c r="AE322" s="27" t="s">
        <v>367</v>
      </c>
      <c r="AF322" s="27" t="s">
        <v>367</v>
      </c>
      <c r="AG322" s="54">
        <f t="shared" si="102"/>
        <v>1.890826965194798</v>
      </c>
    </row>
    <row r="323" spans="1:33" ht="15" customHeight="1">
      <c r="A323" s="33" t="s">
        <v>316</v>
      </c>
      <c r="B323" s="52">
        <f>'Расчет субсидий'!AT323</f>
        <v>24.709090909090946</v>
      </c>
      <c r="C323" s="54">
        <f>'Расчет субсидий'!D323-1</f>
        <v>4.020100502512558E-2</v>
      </c>
      <c r="D323" s="54">
        <f>C323*'Расчет субсидий'!E323</f>
        <v>0.4020100502512558</v>
      </c>
      <c r="E323" s="55">
        <f t="shared" si="107"/>
        <v>1.4860676472195244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4">
        <f>'Расчет субсидий'!P323-1</f>
        <v>-7.5602457079855134E-2</v>
      </c>
      <c r="M323" s="54">
        <f>L323*'Расчет субсидий'!Q323</f>
        <v>-1.5120491415971027</v>
      </c>
      <c r="N323" s="55">
        <f t="shared" si="108"/>
        <v>-5.5894306844546078</v>
      </c>
      <c r="O323" s="54">
        <f>'Расчет субсидий'!T323-1</f>
        <v>0.15833333333333344</v>
      </c>
      <c r="P323" s="54">
        <f>O323*'Расчет субсидий'!U323</f>
        <v>3.1666666666666687</v>
      </c>
      <c r="Q323" s="55">
        <f t="shared" si="109"/>
        <v>11.705878696118818</v>
      </c>
      <c r="R323" s="54">
        <f>'Расчет субсидий'!X323-1</f>
        <v>8.3333333333333259E-2</v>
      </c>
      <c r="S323" s="54">
        <f>R323*'Расчет субсидий'!Y323</f>
        <v>2.4999999999999978</v>
      </c>
      <c r="T323" s="55">
        <f t="shared" si="110"/>
        <v>9.2414831811464193</v>
      </c>
      <c r="U323" s="60" t="s">
        <v>385</v>
      </c>
      <c r="V323" s="60" t="s">
        <v>385</v>
      </c>
      <c r="W323" s="61" t="s">
        <v>385</v>
      </c>
      <c r="X323" s="73">
        <f>'Расчет субсидий'!AF323-1</f>
        <v>0.1063829787234043</v>
      </c>
      <c r="Y323" s="73">
        <f>X323*'Расчет субсидий'!AG323</f>
        <v>2.127659574468086</v>
      </c>
      <c r="Z323" s="55">
        <f t="shared" si="101"/>
        <v>7.8650920690607933</v>
      </c>
      <c r="AA323" s="27" t="s">
        <v>367</v>
      </c>
      <c r="AB323" s="27" t="s">
        <v>367</v>
      </c>
      <c r="AC323" s="27" t="s">
        <v>367</v>
      </c>
      <c r="AD323" s="27" t="s">
        <v>367</v>
      </c>
      <c r="AE323" s="27" t="s">
        <v>367</v>
      </c>
      <c r="AF323" s="27" t="s">
        <v>367</v>
      </c>
      <c r="AG323" s="54">
        <f t="shared" si="102"/>
        <v>6.6842871497889051</v>
      </c>
    </row>
    <row r="324" spans="1:33" ht="15" customHeight="1">
      <c r="A324" s="33" t="s">
        <v>269</v>
      </c>
      <c r="B324" s="52">
        <f>'Расчет субсидий'!AT324</f>
        <v>-18.772727272727252</v>
      </c>
      <c r="C324" s="54">
        <f>'Расчет субсидий'!D324-1</f>
        <v>0.12075471698113205</v>
      </c>
      <c r="D324" s="54">
        <f>C324*'Расчет субсидий'!E324</f>
        <v>1.2075471698113205</v>
      </c>
      <c r="E324" s="55">
        <f t="shared" si="107"/>
        <v>3.8750337159784771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4">
        <f>'Расчет субсидий'!P324-1</f>
        <v>-0.6469780219780219</v>
      </c>
      <c r="M324" s="54">
        <f>L324*'Расчет субсидий'!Q324</f>
        <v>-12.939560439560438</v>
      </c>
      <c r="N324" s="55">
        <f t="shared" si="108"/>
        <v>-41.523208555962711</v>
      </c>
      <c r="O324" s="54">
        <f>'Расчет субсидий'!T324-1</f>
        <v>2.7272727272727337E-2</v>
      </c>
      <c r="P324" s="54">
        <f>O324*'Расчет субсидий'!U324</f>
        <v>0.81818181818182012</v>
      </c>
      <c r="Q324" s="55">
        <f t="shared" si="109"/>
        <v>2.6255555149456513</v>
      </c>
      <c r="R324" s="54">
        <f>'Расчет субсидий'!X324-1</f>
        <v>9.9999999999999867E-2</v>
      </c>
      <c r="S324" s="54">
        <f>R324*'Расчет субсидий'!Y324</f>
        <v>1.9999999999999973</v>
      </c>
      <c r="T324" s="55">
        <f t="shared" si="110"/>
        <v>6.4180245920893455</v>
      </c>
      <c r="U324" s="60" t="s">
        <v>385</v>
      </c>
      <c r="V324" s="60" t="s">
        <v>385</v>
      </c>
      <c r="W324" s="61" t="s">
        <v>385</v>
      </c>
      <c r="X324" s="73">
        <f>'Расчет субсидий'!AF324-1</f>
        <v>0.15319148936170213</v>
      </c>
      <c r="Y324" s="73">
        <f>X324*'Расчет субсидий'!AG324</f>
        <v>3.0638297872340425</v>
      </c>
      <c r="Z324" s="55">
        <f t="shared" si="101"/>
        <v>9.8318674602219893</v>
      </c>
      <c r="AA324" s="27" t="s">
        <v>367</v>
      </c>
      <c r="AB324" s="27" t="s">
        <v>367</v>
      </c>
      <c r="AC324" s="27" t="s">
        <v>367</v>
      </c>
      <c r="AD324" s="27" t="s">
        <v>367</v>
      </c>
      <c r="AE324" s="27" t="s">
        <v>367</v>
      </c>
      <c r="AF324" s="27" t="s">
        <v>367</v>
      </c>
      <c r="AG324" s="54">
        <f t="shared" si="102"/>
        <v>-5.8500016643332584</v>
      </c>
    </row>
    <row r="325" spans="1:33" ht="15" customHeight="1">
      <c r="A325" s="33" t="s">
        <v>317</v>
      </c>
      <c r="B325" s="52">
        <f>'Расчет субсидий'!AT325</f>
        <v>-29.336363636363672</v>
      </c>
      <c r="C325" s="54">
        <f>'Расчет субсидий'!D325-1</f>
        <v>7.3529411764705621E-3</v>
      </c>
      <c r="D325" s="54">
        <f>C325*'Расчет субсидий'!E325</f>
        <v>7.3529411764705621E-2</v>
      </c>
      <c r="E325" s="55">
        <f t="shared" si="107"/>
        <v>0.39985746727458915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4">
        <f>'Расчет субсидий'!P325-1</f>
        <v>-0.56174161313347604</v>
      </c>
      <c r="M325" s="54">
        <f>L325*'Расчет субсидий'!Q325</f>
        <v>-11.234832262669521</v>
      </c>
      <c r="N325" s="55">
        <f t="shared" si="108"/>
        <v>-61.095709403760139</v>
      </c>
      <c r="O325" s="54">
        <f>'Расчет субсидий'!T325-1</f>
        <v>9.9999999999999867E-2</v>
      </c>
      <c r="P325" s="54">
        <f>O325*'Расчет субсидий'!U325</f>
        <v>3.4999999999999956</v>
      </c>
      <c r="Q325" s="55">
        <f t="shared" si="109"/>
        <v>19.033215442270489</v>
      </c>
      <c r="R325" s="54">
        <f>'Расчет субсидий'!X325-1</f>
        <v>0.1333333333333333</v>
      </c>
      <c r="S325" s="54">
        <f>R325*'Расчет субсидий'!Y325</f>
        <v>1.9999999999999996</v>
      </c>
      <c r="T325" s="55">
        <f t="shared" si="110"/>
        <v>10.876123109868862</v>
      </c>
      <c r="U325" s="60" t="s">
        <v>385</v>
      </c>
      <c r="V325" s="60" t="s">
        <v>385</v>
      </c>
      <c r="W325" s="61" t="s">
        <v>385</v>
      </c>
      <c r="X325" s="73">
        <f>'Расчет субсидий'!AF325-1</f>
        <v>1.3333333333333419E-2</v>
      </c>
      <c r="Y325" s="73">
        <f>X325*'Расчет субсидий'!AG325</f>
        <v>0.26666666666666838</v>
      </c>
      <c r="Z325" s="55">
        <f t="shared" si="101"/>
        <v>1.4501497479825245</v>
      </c>
      <c r="AA325" s="27" t="s">
        <v>367</v>
      </c>
      <c r="AB325" s="27" t="s">
        <v>367</v>
      </c>
      <c r="AC325" s="27" t="s">
        <v>367</v>
      </c>
      <c r="AD325" s="27" t="s">
        <v>367</v>
      </c>
      <c r="AE325" s="27" t="s">
        <v>367</v>
      </c>
      <c r="AF325" s="27" t="s">
        <v>367</v>
      </c>
      <c r="AG325" s="54">
        <f t="shared" si="102"/>
        <v>-5.3946361842381512</v>
      </c>
    </row>
    <row r="326" spans="1:33" ht="15" customHeight="1">
      <c r="A326" s="33" t="s">
        <v>318</v>
      </c>
      <c r="B326" s="52">
        <f>'Расчет субсидий'!AT326</f>
        <v>-4.3818181818181756</v>
      </c>
      <c r="C326" s="54">
        <f>'Расчет субсидий'!D326-1</f>
        <v>-1</v>
      </c>
      <c r="D326" s="54">
        <f>C326*'Расчет субсидий'!E326</f>
        <v>0</v>
      </c>
      <c r="E326" s="55">
        <f t="shared" si="107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4">
        <f>'Расчет субсидий'!P326-1</f>
        <v>-0.31385244505026411</v>
      </c>
      <c r="M326" s="54">
        <f>L326*'Расчет субсидий'!Q326</f>
        <v>-6.2770489010052817</v>
      </c>
      <c r="N326" s="55">
        <f t="shared" si="108"/>
        <v>-41.686228329030428</v>
      </c>
      <c r="O326" s="54">
        <f>'Расчет субсидий'!T326-1</f>
        <v>8.7241379310344813E-2</v>
      </c>
      <c r="P326" s="54">
        <f>O326*'Расчет субсидий'!U326</f>
        <v>2.6172413793103444</v>
      </c>
      <c r="Q326" s="55">
        <f t="shared" si="109"/>
        <v>17.381244506896305</v>
      </c>
      <c r="R326" s="54">
        <f>'Расчет субсидий'!X326-1</f>
        <v>0.1166666666666667</v>
      </c>
      <c r="S326" s="54">
        <f>R326*'Расчет субсидий'!Y326</f>
        <v>2.3333333333333339</v>
      </c>
      <c r="T326" s="55">
        <f t="shared" si="110"/>
        <v>15.495795498023503</v>
      </c>
      <c r="U326" s="60" t="s">
        <v>385</v>
      </c>
      <c r="V326" s="60" t="s">
        <v>385</v>
      </c>
      <c r="W326" s="61" t="s">
        <v>385</v>
      </c>
      <c r="X326" s="73">
        <f>'Расчет субсидий'!AF326-1</f>
        <v>3.3333333333333437E-2</v>
      </c>
      <c r="Y326" s="73">
        <f>X326*'Расчет субсидий'!AG326</f>
        <v>0.66666666666666874</v>
      </c>
      <c r="Z326" s="55">
        <f t="shared" si="101"/>
        <v>4.4273701422924425</v>
      </c>
      <c r="AA326" s="27" t="s">
        <v>367</v>
      </c>
      <c r="AB326" s="27" t="s">
        <v>367</v>
      </c>
      <c r="AC326" s="27" t="s">
        <v>367</v>
      </c>
      <c r="AD326" s="27" t="s">
        <v>367</v>
      </c>
      <c r="AE326" s="27" t="s">
        <v>367</v>
      </c>
      <c r="AF326" s="27" t="s">
        <v>367</v>
      </c>
      <c r="AG326" s="54">
        <f t="shared" si="102"/>
        <v>-0.65980752169493462</v>
      </c>
    </row>
    <row r="327" spans="1:33" ht="15" customHeight="1">
      <c r="A327" s="33" t="s">
        <v>319</v>
      </c>
      <c r="B327" s="52">
        <f>'Расчет субсидий'!AT327</f>
        <v>9.1909090909091447</v>
      </c>
      <c r="C327" s="54">
        <f>'Расчет субсидий'!D327-1</f>
        <v>0</v>
      </c>
      <c r="D327" s="54">
        <f>C327*'Расчет субсидий'!E327</f>
        <v>0</v>
      </c>
      <c r="E327" s="55">
        <f t="shared" si="107"/>
        <v>0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4">
        <f>'Расчет субсидий'!P327-1</f>
        <v>-0.36071060762100915</v>
      </c>
      <c r="M327" s="54">
        <f>L327*'Расчет субсидий'!Q327</f>
        <v>-7.214212152420183</v>
      </c>
      <c r="N327" s="55">
        <f t="shared" si="108"/>
        <v>-33.389854881142242</v>
      </c>
      <c r="O327" s="54">
        <f>'Расчет субсидий'!T327-1</f>
        <v>0.1333333333333333</v>
      </c>
      <c r="P327" s="54">
        <f>O327*'Расчет субсидий'!U327</f>
        <v>3.9999999999999991</v>
      </c>
      <c r="Q327" s="55">
        <f t="shared" si="109"/>
        <v>18.513375640022343</v>
      </c>
      <c r="R327" s="54">
        <f>'Расчет субсидий'!X327-1</f>
        <v>0.26</v>
      </c>
      <c r="S327" s="54">
        <f>R327*'Расчет субсидий'!Y327</f>
        <v>5.2</v>
      </c>
      <c r="T327" s="55">
        <f t="shared" si="110"/>
        <v>24.067388332029051</v>
      </c>
      <c r="U327" s="60" t="s">
        <v>385</v>
      </c>
      <c r="V327" s="60" t="s">
        <v>385</v>
      </c>
      <c r="W327" s="61" t="s">
        <v>385</v>
      </c>
      <c r="X327" s="73">
        <f>'Расчет субсидий'!AF327-1</f>
        <v>0</v>
      </c>
      <c r="Y327" s="73">
        <f>X327*'Расчет субсидий'!AG327</f>
        <v>0</v>
      </c>
      <c r="Z327" s="55">
        <f t="shared" si="101"/>
        <v>0</v>
      </c>
      <c r="AA327" s="27" t="s">
        <v>367</v>
      </c>
      <c r="AB327" s="27" t="s">
        <v>367</v>
      </c>
      <c r="AC327" s="27" t="s">
        <v>367</v>
      </c>
      <c r="AD327" s="27" t="s">
        <v>367</v>
      </c>
      <c r="AE327" s="27" t="s">
        <v>367</v>
      </c>
      <c r="AF327" s="27" t="s">
        <v>367</v>
      </c>
      <c r="AG327" s="54">
        <f t="shared" si="102"/>
        <v>1.9857878475798163</v>
      </c>
    </row>
    <row r="328" spans="1:33" ht="15" customHeight="1">
      <c r="A328" s="33" t="s">
        <v>320</v>
      </c>
      <c r="B328" s="52">
        <f>'Расчет субсидий'!AT328</f>
        <v>45.300000000000011</v>
      </c>
      <c r="C328" s="54">
        <f>'Расчет субсидий'!D328-1</f>
        <v>3.6792452830188838E-2</v>
      </c>
      <c r="D328" s="54">
        <f>C328*'Расчет субсидий'!E328</f>
        <v>0.36792452830188838</v>
      </c>
      <c r="E328" s="55">
        <f t="shared" si="107"/>
        <v>1.4472816820426191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4">
        <f>'Расчет субсидий'!P328-1</f>
        <v>0.20558485750744371</v>
      </c>
      <c r="M328" s="54">
        <f>L328*'Расчет субсидий'!Q328</f>
        <v>4.1116971501488742</v>
      </c>
      <c r="N328" s="55">
        <f t="shared" si="108"/>
        <v>16.173925655303378</v>
      </c>
      <c r="O328" s="54">
        <f>'Расчет субсидий'!T328-1</f>
        <v>0.1210526315789473</v>
      </c>
      <c r="P328" s="54">
        <f>O328*'Расчет субсидий'!U328</f>
        <v>2.421052631578946</v>
      </c>
      <c r="Q328" s="55">
        <f t="shared" si="109"/>
        <v>9.5235431601076588</v>
      </c>
      <c r="R328" s="54">
        <f>'Расчет субсидий'!X328-1</f>
        <v>9.9999999999999867E-2</v>
      </c>
      <c r="S328" s="54">
        <f>R328*'Расчет субсидий'!Y328</f>
        <v>2.999999999999996</v>
      </c>
      <c r="T328" s="55">
        <f t="shared" si="110"/>
        <v>11.800912176655135</v>
      </c>
      <c r="U328" s="60" t="s">
        <v>385</v>
      </c>
      <c r="V328" s="60" t="s">
        <v>385</v>
      </c>
      <c r="W328" s="61" t="s">
        <v>385</v>
      </c>
      <c r="X328" s="73">
        <f>'Расчет субсидий'!AF328-1</f>
        <v>8.0769230769230704E-2</v>
      </c>
      <c r="Y328" s="73">
        <f>X328*'Расчет субсидий'!AG328</f>
        <v>1.6153846153846141</v>
      </c>
      <c r="Z328" s="55">
        <f t="shared" si="101"/>
        <v>6.3543373258912288</v>
      </c>
      <c r="AA328" s="27" t="s">
        <v>367</v>
      </c>
      <c r="AB328" s="27" t="s">
        <v>367</v>
      </c>
      <c r="AC328" s="27" t="s">
        <v>367</v>
      </c>
      <c r="AD328" s="27" t="s">
        <v>367</v>
      </c>
      <c r="AE328" s="27" t="s">
        <v>367</v>
      </c>
      <c r="AF328" s="27" t="s">
        <v>367</v>
      </c>
      <c r="AG328" s="54">
        <f t="shared" si="102"/>
        <v>11.516058925414317</v>
      </c>
    </row>
    <row r="329" spans="1:33" ht="15" customHeight="1">
      <c r="A329" s="33" t="s">
        <v>321</v>
      </c>
      <c r="B329" s="52">
        <f>'Расчет субсидий'!AT329</f>
        <v>4.5454545454560957E-2</v>
      </c>
      <c r="C329" s="54">
        <f>'Расчет субсидий'!D329-1</f>
        <v>5.311203319502078E-2</v>
      </c>
      <c r="D329" s="54">
        <f>C329*'Расчет субсидий'!E329</f>
        <v>0.5311203319502078</v>
      </c>
      <c r="E329" s="55">
        <f t="shared" si="107"/>
        <v>1.0265260946239061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4">
        <f>'Расчет субсидий'!P329-1</f>
        <v>-0.44371345029239773</v>
      </c>
      <c r="M329" s="54">
        <f>L329*'Расчет субсидий'!Q329</f>
        <v>-8.874269005847955</v>
      </c>
      <c r="N329" s="55">
        <f t="shared" si="108"/>
        <v>-17.151798109037745</v>
      </c>
      <c r="O329" s="54">
        <f>'Расчет субсидий'!T329-1</f>
        <v>5.0000000000000044E-2</v>
      </c>
      <c r="P329" s="54">
        <f>O329*'Расчет субсидий'!U329</f>
        <v>1.5000000000000013</v>
      </c>
      <c r="Q329" s="55">
        <f t="shared" si="109"/>
        <v>2.8991342438011101</v>
      </c>
      <c r="R329" s="54">
        <f>'Расчет субсидий'!X329-1</f>
        <v>0.1333333333333333</v>
      </c>
      <c r="S329" s="54">
        <f>R329*'Расчет субсидий'!Y329</f>
        <v>2.6666666666666661</v>
      </c>
      <c r="T329" s="55">
        <f t="shared" si="110"/>
        <v>5.1540164334241911</v>
      </c>
      <c r="U329" s="60" t="s">
        <v>385</v>
      </c>
      <c r="V329" s="60" t="s">
        <v>385</v>
      </c>
      <c r="W329" s="61" t="s">
        <v>385</v>
      </c>
      <c r="X329" s="73">
        <f>'Расчет субсидий'!AF329-1</f>
        <v>0.20999999999999996</v>
      </c>
      <c r="Y329" s="73">
        <f>X329*'Расчет субсидий'!AG329</f>
        <v>4.1999999999999993</v>
      </c>
      <c r="Z329" s="55">
        <f t="shared" si="101"/>
        <v>8.1175758826431004</v>
      </c>
      <c r="AA329" s="27" t="s">
        <v>367</v>
      </c>
      <c r="AB329" s="27" t="s">
        <v>367</v>
      </c>
      <c r="AC329" s="27" t="s">
        <v>367</v>
      </c>
      <c r="AD329" s="27" t="s">
        <v>367</v>
      </c>
      <c r="AE329" s="27" t="s">
        <v>367</v>
      </c>
      <c r="AF329" s="27" t="s">
        <v>367</v>
      </c>
      <c r="AG329" s="54">
        <f t="shared" si="102"/>
        <v>2.3517992768919527E-2</v>
      </c>
    </row>
    <row r="330" spans="1:33" ht="15" customHeight="1">
      <c r="A330" s="33" t="s">
        <v>322</v>
      </c>
      <c r="B330" s="52">
        <f>'Расчет субсидий'!AT330</f>
        <v>56.75454545454545</v>
      </c>
      <c r="C330" s="54">
        <f>'Расчет субсидий'!D330-1</f>
        <v>0.11206896551724133</v>
      </c>
      <c r="D330" s="54">
        <f>C330*'Расчет субсидий'!E330</f>
        <v>1.1206896551724133</v>
      </c>
      <c r="E330" s="55">
        <f t="shared" si="107"/>
        <v>3.7719658368590712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4">
        <f>'Расчет субсидий'!P330-1</f>
        <v>0.30000000000000004</v>
      </c>
      <c r="M330" s="54">
        <f>L330*'Расчет субсидий'!Q330</f>
        <v>6.0000000000000009</v>
      </c>
      <c r="N330" s="55">
        <f t="shared" si="108"/>
        <v>20.194524788107039</v>
      </c>
      <c r="O330" s="54">
        <f>'Расчет субсидий'!T330-1</f>
        <v>0.20166666666666666</v>
      </c>
      <c r="P330" s="54">
        <f>O330*'Расчет субсидий'!U330</f>
        <v>5.0416666666666661</v>
      </c>
      <c r="Q330" s="55">
        <f t="shared" si="109"/>
        <v>16.969010412228826</v>
      </c>
      <c r="R330" s="54">
        <f>'Расчет субсидий'!X330-1</f>
        <v>9.9999999999999867E-2</v>
      </c>
      <c r="S330" s="54">
        <f>R330*'Расчет субсидий'!Y330</f>
        <v>2.4999999999999964</v>
      </c>
      <c r="T330" s="55">
        <f t="shared" si="110"/>
        <v>8.4143853283779197</v>
      </c>
      <c r="U330" s="60" t="s">
        <v>385</v>
      </c>
      <c r="V330" s="60" t="s">
        <v>385</v>
      </c>
      <c r="W330" s="61" t="s">
        <v>385</v>
      </c>
      <c r="X330" s="73">
        <f>'Расчет субсидий'!AF330-1</f>
        <v>0.1100000000000001</v>
      </c>
      <c r="Y330" s="73">
        <f>X330*'Расчет субсидий'!AG330</f>
        <v>2.200000000000002</v>
      </c>
      <c r="Z330" s="55">
        <f t="shared" si="101"/>
        <v>7.4046590889725863</v>
      </c>
      <c r="AA330" s="27" t="s">
        <v>367</v>
      </c>
      <c r="AB330" s="27" t="s">
        <v>367</v>
      </c>
      <c r="AC330" s="27" t="s">
        <v>367</v>
      </c>
      <c r="AD330" s="27" t="s">
        <v>367</v>
      </c>
      <c r="AE330" s="27" t="s">
        <v>367</v>
      </c>
      <c r="AF330" s="27" t="s">
        <v>367</v>
      </c>
      <c r="AG330" s="54">
        <f t="shared" si="102"/>
        <v>16.86235632183908</v>
      </c>
    </row>
    <row r="331" spans="1:33" ht="15" customHeight="1">
      <c r="A331" s="33" t="s">
        <v>323</v>
      </c>
      <c r="B331" s="52">
        <f>'Расчет субсидий'!AT331</f>
        <v>-43.527272727272759</v>
      </c>
      <c r="C331" s="54">
        <f>'Расчет субсидий'!D331-1</f>
        <v>5.0228310502283158E-2</v>
      </c>
      <c r="D331" s="54">
        <f>C331*'Расчет субсидий'!E331</f>
        <v>0.50228310502283158</v>
      </c>
      <c r="E331" s="55">
        <f t="shared" si="107"/>
        <v>2.2266515766081674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4">
        <f>'Расчет субсидий'!P331-1</f>
        <v>-0.43888888888888888</v>
      </c>
      <c r="M331" s="54">
        <f>L331*'Расчет субсидий'!Q331</f>
        <v>-8.7777777777777786</v>
      </c>
      <c r="N331" s="55">
        <f t="shared" si="108"/>
        <v>-38.912423158482696</v>
      </c>
      <c r="O331" s="54">
        <f>'Расчет субсидий'!T331-1</f>
        <v>6.3636363636363491E-2</v>
      </c>
      <c r="P331" s="54">
        <f>O331*'Расчет субсидий'!U331</f>
        <v>1.2727272727272698</v>
      </c>
      <c r="Q331" s="55">
        <f t="shared" si="109"/>
        <v>5.6420774660170396</v>
      </c>
      <c r="R331" s="54">
        <f>'Расчет субсидий'!X331-1</f>
        <v>6.3333333333333242E-2</v>
      </c>
      <c r="S331" s="54">
        <f>R331*'Расчет субсидий'!Y331</f>
        <v>1.8999999999999972</v>
      </c>
      <c r="T331" s="55">
        <f t="shared" si="110"/>
        <v>8.4228156456968737</v>
      </c>
      <c r="U331" s="60" t="s">
        <v>385</v>
      </c>
      <c r="V331" s="60" t="s">
        <v>385</v>
      </c>
      <c r="W331" s="61" t="s">
        <v>385</v>
      </c>
      <c r="X331" s="73">
        <f>'Расчет субсидий'!AF331-1</f>
        <v>-0.23580089342693045</v>
      </c>
      <c r="Y331" s="73">
        <f>X331*'Расчет субсидий'!AG331</f>
        <v>-4.7160178685386089</v>
      </c>
      <c r="Z331" s="55">
        <f t="shared" si="101"/>
        <v>-20.906394257112147</v>
      </c>
      <c r="AA331" s="27" t="s">
        <v>367</v>
      </c>
      <c r="AB331" s="27" t="s">
        <v>367</v>
      </c>
      <c r="AC331" s="27" t="s">
        <v>367</v>
      </c>
      <c r="AD331" s="27" t="s">
        <v>367</v>
      </c>
      <c r="AE331" s="27" t="s">
        <v>367</v>
      </c>
      <c r="AF331" s="27" t="s">
        <v>367</v>
      </c>
      <c r="AG331" s="54">
        <f t="shared" si="102"/>
        <v>-9.8187852685662893</v>
      </c>
    </row>
    <row r="332" spans="1:33" ht="15" customHeight="1">
      <c r="A332" s="33" t="s">
        <v>324</v>
      </c>
      <c r="B332" s="52">
        <f>'Расчет субсидий'!AT332</f>
        <v>147.67272727272734</v>
      </c>
      <c r="C332" s="54">
        <f>'Расчет субсидий'!D332-1</f>
        <v>7.0141735239823699E-2</v>
      </c>
      <c r="D332" s="54">
        <f>C332*'Расчет субсидий'!E332</f>
        <v>0.70141735239823699</v>
      </c>
      <c r="E332" s="55">
        <f t="shared" si="107"/>
        <v>7.5095397935903074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4">
        <f>'Расчет субсидий'!P332-1</f>
        <v>0.21846944676476254</v>
      </c>
      <c r="M332" s="54">
        <f>L332*'Расчет субсидий'!Q332</f>
        <v>4.3693889352952509</v>
      </c>
      <c r="N332" s="55">
        <f t="shared" si="108"/>
        <v>46.779709642317862</v>
      </c>
      <c r="O332" s="54">
        <f>'Расчет субсидий'!T332-1</f>
        <v>0.23666666666666658</v>
      </c>
      <c r="P332" s="54">
        <f>O332*'Расчет субсидий'!U332</f>
        <v>4.7333333333333316</v>
      </c>
      <c r="Q332" s="55">
        <f t="shared" si="109"/>
        <v>50.676184302342413</v>
      </c>
      <c r="R332" s="54">
        <f>'Расчет субсидий'!X332-1</f>
        <v>7.1428571428571397E-2</v>
      </c>
      <c r="S332" s="54">
        <f>R332*'Расчет субсидий'!Y332</f>
        <v>2.1428571428571419</v>
      </c>
      <c r="T332" s="55">
        <f t="shared" si="110"/>
        <v>22.94193454331397</v>
      </c>
      <c r="U332" s="60" t="s">
        <v>385</v>
      </c>
      <c r="V332" s="60" t="s">
        <v>385</v>
      </c>
      <c r="W332" s="61" t="s">
        <v>385</v>
      </c>
      <c r="X332" s="73">
        <f>'Расчет субсидий'!AF332-1</f>
        <v>9.2307692307692202E-2</v>
      </c>
      <c r="Y332" s="73">
        <f>X332*'Расчет субсидий'!AG332</f>
        <v>1.846153846153844</v>
      </c>
      <c r="Z332" s="55">
        <f t="shared" si="101"/>
        <v>19.765358991162788</v>
      </c>
      <c r="AA332" s="27" t="s">
        <v>367</v>
      </c>
      <c r="AB332" s="27" t="s">
        <v>367</v>
      </c>
      <c r="AC332" s="27" t="s">
        <v>367</v>
      </c>
      <c r="AD332" s="27" t="s">
        <v>367</v>
      </c>
      <c r="AE332" s="27" t="s">
        <v>367</v>
      </c>
      <c r="AF332" s="27" t="s">
        <v>367</v>
      </c>
      <c r="AG332" s="54">
        <f t="shared" si="102"/>
        <v>13.793150610037806</v>
      </c>
    </row>
    <row r="333" spans="1:33" ht="15" customHeight="1">
      <c r="A333" s="32" t="s">
        <v>325</v>
      </c>
      <c r="B333" s="56"/>
      <c r="C333" s="57"/>
      <c r="D333" s="57"/>
      <c r="E333" s="58"/>
      <c r="F333" s="57"/>
      <c r="G333" s="57"/>
      <c r="H333" s="58"/>
      <c r="I333" s="58"/>
      <c r="J333" s="58"/>
      <c r="K333" s="58"/>
      <c r="L333" s="57"/>
      <c r="M333" s="57"/>
      <c r="N333" s="58"/>
      <c r="O333" s="57"/>
      <c r="P333" s="57"/>
      <c r="Q333" s="58"/>
      <c r="R333" s="57"/>
      <c r="S333" s="57"/>
      <c r="T333" s="58"/>
      <c r="U333" s="58"/>
      <c r="V333" s="58"/>
      <c r="W333" s="58"/>
      <c r="X333" s="75"/>
      <c r="Y333" s="75"/>
      <c r="Z333" s="58"/>
      <c r="AA333" s="58"/>
      <c r="AB333" s="58"/>
      <c r="AC333" s="58"/>
      <c r="AD333" s="58"/>
      <c r="AE333" s="58"/>
      <c r="AF333" s="58"/>
      <c r="AG333" s="58"/>
    </row>
    <row r="334" spans="1:33" ht="15" customHeight="1">
      <c r="A334" s="33" t="s">
        <v>326</v>
      </c>
      <c r="B334" s="52">
        <f>'Расчет субсидий'!AT334</f>
        <v>-21.172727272727229</v>
      </c>
      <c r="C334" s="54">
        <f>'Расчет субсидий'!D334-1</f>
        <v>3.5714285714285587E-3</v>
      </c>
      <c r="D334" s="54">
        <f>C334*'Расчет субсидий'!E334</f>
        <v>3.5714285714285587E-2</v>
      </c>
      <c r="E334" s="55">
        <f t="shared" ref="E334:E344" si="111">$B334*D334/$AG334</f>
        <v>0.11694946995097864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4">
        <f>'Расчет субсидий'!P334-1</f>
        <v>-0.36619283065512986</v>
      </c>
      <c r="M334" s="54">
        <f>L334*'Расчет субсидий'!Q334</f>
        <v>-7.3238566131025973</v>
      </c>
      <c r="N334" s="55">
        <f t="shared" ref="N334:N344" si="112">$B334*M334/$AG334</f>
        <v>-23.982592169181004</v>
      </c>
      <c r="O334" s="54">
        <f>'Расчет субсидий'!T334-1</f>
        <v>7.8947368421051767E-3</v>
      </c>
      <c r="P334" s="54">
        <f>O334*'Расчет субсидий'!U334</f>
        <v>0.19736842105262942</v>
      </c>
      <c r="Q334" s="55">
        <f t="shared" ref="Q334:Q344" si="113">$B334*P334/$AG334</f>
        <v>0.64629970236066669</v>
      </c>
      <c r="R334" s="54">
        <f>'Расчет субсидий'!X334-1</f>
        <v>2.4999999999999911E-2</v>
      </c>
      <c r="S334" s="54">
        <f>R334*'Расчет субсидий'!Y334</f>
        <v>0.62499999999999778</v>
      </c>
      <c r="T334" s="55">
        <f t="shared" ref="T334:T344" si="114">$B334*S334/$AG334</f>
        <v>2.0466157241421263</v>
      </c>
      <c r="U334" s="60" t="s">
        <v>385</v>
      </c>
      <c r="V334" s="60" t="s">
        <v>385</v>
      </c>
      <c r="W334" s="61" t="s">
        <v>385</v>
      </c>
      <c r="X334" s="73">
        <f>'Расчет субсидий'!AF334-1</f>
        <v>0</v>
      </c>
      <c r="Y334" s="73">
        <f>X334*'Расчет субсидий'!AG334</f>
        <v>0</v>
      </c>
      <c r="Z334" s="55">
        <f t="shared" si="101"/>
        <v>0</v>
      </c>
      <c r="AA334" s="27" t="s">
        <v>367</v>
      </c>
      <c r="AB334" s="27" t="s">
        <v>367</v>
      </c>
      <c r="AC334" s="27" t="s">
        <v>367</v>
      </c>
      <c r="AD334" s="27" t="s">
        <v>367</v>
      </c>
      <c r="AE334" s="27" t="s">
        <v>367</v>
      </c>
      <c r="AF334" s="27" t="s">
        <v>367</v>
      </c>
      <c r="AG334" s="54">
        <f t="shared" si="102"/>
        <v>-6.4657739063356843</v>
      </c>
    </row>
    <row r="335" spans="1:33" ht="15" customHeight="1">
      <c r="A335" s="33" t="s">
        <v>327</v>
      </c>
      <c r="B335" s="52">
        <f>'Расчет субсидий'!AT335</f>
        <v>-37.727272727272748</v>
      </c>
      <c r="C335" s="54">
        <f>'Расчет субсидий'!D335-1</f>
        <v>6.9047619047619024E-2</v>
      </c>
      <c r="D335" s="54">
        <f>C335*'Расчет субсидий'!E335</f>
        <v>0.69047619047619024</v>
      </c>
      <c r="E335" s="55">
        <f t="shared" si="111"/>
        <v>1.8201291212374202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4">
        <f>'Расчет субсидий'!P335-1</f>
        <v>-0.77912949445796165</v>
      </c>
      <c r="M335" s="54">
        <f>L335*'Расчет субсидий'!Q335</f>
        <v>-15.582589889159234</v>
      </c>
      <c r="N335" s="55">
        <f t="shared" si="112"/>
        <v>-41.076471618808881</v>
      </c>
      <c r="O335" s="54">
        <f>'Расчет субсидий'!T335-1</f>
        <v>6.7567567567567988E-3</v>
      </c>
      <c r="P335" s="54">
        <f>O335*'Расчет субсидий'!U335</f>
        <v>0.20270270270270396</v>
      </c>
      <c r="Q335" s="55">
        <f t="shared" si="113"/>
        <v>0.53433427137911571</v>
      </c>
      <c r="R335" s="54">
        <f>'Расчет субсидий'!X335-1</f>
        <v>1.8867924528301883E-2</v>
      </c>
      <c r="S335" s="54">
        <f>R335*'Расчет субсидий'!Y335</f>
        <v>0.37735849056603765</v>
      </c>
      <c r="T335" s="55">
        <f t="shared" si="114"/>
        <v>0.99473549891960522</v>
      </c>
      <c r="U335" s="60" t="s">
        <v>385</v>
      </c>
      <c r="V335" s="60" t="s">
        <v>385</v>
      </c>
      <c r="W335" s="61" t="s">
        <v>385</v>
      </c>
      <c r="X335" s="73">
        <f>'Расчет субсидий'!AF335-1</f>
        <v>0</v>
      </c>
      <c r="Y335" s="73">
        <f>X335*'Расчет субсидий'!AG335</f>
        <v>0</v>
      </c>
      <c r="Z335" s="55">
        <f t="shared" si="101"/>
        <v>0</v>
      </c>
      <c r="AA335" s="27" t="s">
        <v>367</v>
      </c>
      <c r="AB335" s="27" t="s">
        <v>367</v>
      </c>
      <c r="AC335" s="27" t="s">
        <v>367</v>
      </c>
      <c r="AD335" s="27" t="s">
        <v>367</v>
      </c>
      <c r="AE335" s="27" t="s">
        <v>367</v>
      </c>
      <c r="AF335" s="27" t="s">
        <v>367</v>
      </c>
      <c r="AG335" s="54">
        <f t="shared" si="102"/>
        <v>-14.312052505414304</v>
      </c>
    </row>
    <row r="336" spans="1:33" ht="15" customHeight="1">
      <c r="A336" s="33" t="s">
        <v>328</v>
      </c>
      <c r="B336" s="52">
        <f>'Расчет субсидий'!AT336</f>
        <v>22.672727272727229</v>
      </c>
      <c r="C336" s="54">
        <f>'Расчет субсидий'!D336-1</f>
        <v>0.12391304347826093</v>
      </c>
      <c r="D336" s="54">
        <f>C336*'Расчет субсидий'!E336</f>
        <v>1.2391304347826093</v>
      </c>
      <c r="E336" s="55">
        <f t="shared" si="111"/>
        <v>4.4167498633536875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4">
        <f>'Расчет субсидий'!P336-1</f>
        <v>0.25075471698113194</v>
      </c>
      <c r="M336" s="54">
        <f>L336*'Расчет субсидий'!Q336</f>
        <v>5.0150943396226388</v>
      </c>
      <c r="N336" s="55">
        <f t="shared" si="112"/>
        <v>17.875775315873156</v>
      </c>
      <c r="O336" s="54">
        <f>'Расчет субсидий'!T336-1</f>
        <v>-2.0000000000000018E-3</v>
      </c>
      <c r="P336" s="54">
        <f>O336*'Расчет субсидий'!U336</f>
        <v>-6.0000000000000053E-2</v>
      </c>
      <c r="Q336" s="55">
        <f t="shared" si="113"/>
        <v>-0.2138636775939681</v>
      </c>
      <c r="R336" s="54">
        <f>'Расчет субсидий'!X336-1</f>
        <v>8.3333333333333037E-3</v>
      </c>
      <c r="S336" s="54">
        <f>R336*'Расчет субсидий'!Y336</f>
        <v>0.16666666666666607</v>
      </c>
      <c r="T336" s="55">
        <f t="shared" si="114"/>
        <v>0.59406577109435321</v>
      </c>
      <c r="U336" s="60" t="s">
        <v>385</v>
      </c>
      <c r="V336" s="60" t="s">
        <v>385</v>
      </c>
      <c r="W336" s="61" t="s">
        <v>385</v>
      </c>
      <c r="X336" s="73">
        <f>'Расчет субсидий'!AF336-1</f>
        <v>0</v>
      </c>
      <c r="Y336" s="73">
        <f>X336*'Расчет субсидий'!AG336</f>
        <v>0</v>
      </c>
      <c r="Z336" s="55">
        <f t="shared" si="101"/>
        <v>0</v>
      </c>
      <c r="AA336" s="27" t="s">
        <v>367</v>
      </c>
      <c r="AB336" s="27" t="s">
        <v>367</v>
      </c>
      <c r="AC336" s="27" t="s">
        <v>367</v>
      </c>
      <c r="AD336" s="27" t="s">
        <v>367</v>
      </c>
      <c r="AE336" s="27" t="s">
        <v>367</v>
      </c>
      <c r="AF336" s="27" t="s">
        <v>367</v>
      </c>
      <c r="AG336" s="54">
        <f t="shared" si="102"/>
        <v>6.3608914410719137</v>
      </c>
    </row>
    <row r="337" spans="1:33" ht="15" customHeight="1">
      <c r="A337" s="33" t="s">
        <v>329</v>
      </c>
      <c r="B337" s="52">
        <f>'Расчет субсидий'!AT337</f>
        <v>24.554545454545462</v>
      </c>
      <c r="C337" s="54">
        <f>'Расчет субсидий'!D337-1</f>
        <v>0</v>
      </c>
      <c r="D337" s="54">
        <f>C337*'Расчет субсидий'!E337</f>
        <v>0</v>
      </c>
      <c r="E337" s="55">
        <f t="shared" si="111"/>
        <v>0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4">
        <f>'Расчет субсидий'!P337-1</f>
        <v>0.20505980861244022</v>
      </c>
      <c r="M337" s="54">
        <f>L337*'Расчет субсидий'!Q337</f>
        <v>4.1011961722488044</v>
      </c>
      <c r="N337" s="55">
        <f t="shared" si="112"/>
        <v>12.826454163180964</v>
      </c>
      <c r="O337" s="54">
        <f>'Расчет субсидий'!T337-1</f>
        <v>0</v>
      </c>
      <c r="P337" s="54">
        <f>O337*'Расчет субсидий'!U337</f>
        <v>0</v>
      </c>
      <c r="Q337" s="55">
        <f t="shared" si="113"/>
        <v>0</v>
      </c>
      <c r="R337" s="54">
        <f>'Расчет субсидий'!X337-1</f>
        <v>0.125</v>
      </c>
      <c r="S337" s="54">
        <f>R337*'Расчет субсидий'!Y337</f>
        <v>3.75</v>
      </c>
      <c r="T337" s="55">
        <f t="shared" si="114"/>
        <v>11.728091291364498</v>
      </c>
      <c r="U337" s="60" t="s">
        <v>385</v>
      </c>
      <c r="V337" s="60" t="s">
        <v>385</v>
      </c>
      <c r="W337" s="61" t="s">
        <v>385</v>
      </c>
      <c r="X337" s="73">
        <f>'Расчет субсидий'!AF337-1</f>
        <v>0</v>
      </c>
      <c r="Y337" s="73">
        <f>X337*'Расчет субсидий'!AG337</f>
        <v>0</v>
      </c>
      <c r="Z337" s="55">
        <f t="shared" si="101"/>
        <v>0</v>
      </c>
      <c r="AA337" s="27" t="s">
        <v>367</v>
      </c>
      <c r="AB337" s="27" t="s">
        <v>367</v>
      </c>
      <c r="AC337" s="27" t="s">
        <v>367</v>
      </c>
      <c r="AD337" s="27" t="s">
        <v>367</v>
      </c>
      <c r="AE337" s="27" t="s">
        <v>367</v>
      </c>
      <c r="AF337" s="27" t="s">
        <v>367</v>
      </c>
      <c r="AG337" s="54">
        <f t="shared" si="102"/>
        <v>7.8511961722488044</v>
      </c>
    </row>
    <row r="338" spans="1:33" ht="15" customHeight="1">
      <c r="A338" s="33" t="s">
        <v>330</v>
      </c>
      <c r="B338" s="52">
        <f>'Расчет субсидий'!AT338</f>
        <v>-0.40909090909090651</v>
      </c>
      <c r="C338" s="54">
        <f>'Расчет субсидий'!D338-1</f>
        <v>0</v>
      </c>
      <c r="D338" s="54">
        <f>C338*'Расчет субсидий'!E338</f>
        <v>0</v>
      </c>
      <c r="E338" s="55">
        <f t="shared" si="111"/>
        <v>0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4">
        <f>'Расчет субсидий'!P338-1</f>
        <v>-0.31290064102564097</v>
      </c>
      <c r="M338" s="54">
        <f>L338*'Расчет субсидий'!Q338</f>
        <v>-6.2580128205128194</v>
      </c>
      <c r="N338" s="55">
        <f t="shared" si="112"/>
        <v>-9.9223602484471343</v>
      </c>
      <c r="O338" s="54">
        <f>'Расчет субсидий'!T338-1</f>
        <v>0.19999999999999996</v>
      </c>
      <c r="P338" s="54">
        <f>O338*'Расчет субсидий'!U338</f>
        <v>3.9999999999999991</v>
      </c>
      <c r="Q338" s="55">
        <f t="shared" si="113"/>
        <v>6.342179559570817</v>
      </c>
      <c r="R338" s="54">
        <f>'Расчет субсидий'!X338-1</f>
        <v>6.6666666666666652E-2</v>
      </c>
      <c r="S338" s="54">
        <f>R338*'Расчет субсидий'!Y338</f>
        <v>1.9999999999999996</v>
      </c>
      <c r="T338" s="55">
        <f t="shared" si="114"/>
        <v>3.1710897797854085</v>
      </c>
      <c r="U338" s="60" t="s">
        <v>385</v>
      </c>
      <c r="V338" s="60" t="s">
        <v>385</v>
      </c>
      <c r="W338" s="61" t="s">
        <v>385</v>
      </c>
      <c r="X338" s="73">
        <f>'Расчет субсидий'!AF338-1</f>
        <v>0</v>
      </c>
      <c r="Y338" s="73">
        <f>X338*'Расчет субсидий'!AG338</f>
        <v>0</v>
      </c>
      <c r="Z338" s="55">
        <f t="shared" si="101"/>
        <v>0</v>
      </c>
      <c r="AA338" s="27" t="s">
        <v>367</v>
      </c>
      <c r="AB338" s="27" t="s">
        <v>367</v>
      </c>
      <c r="AC338" s="27" t="s">
        <v>367</v>
      </c>
      <c r="AD338" s="27" t="s">
        <v>367</v>
      </c>
      <c r="AE338" s="27" t="s">
        <v>367</v>
      </c>
      <c r="AF338" s="27" t="s">
        <v>367</v>
      </c>
      <c r="AG338" s="54">
        <f t="shared" si="102"/>
        <v>-0.25801282051282071</v>
      </c>
    </row>
    <row r="339" spans="1:33" ht="15" customHeight="1">
      <c r="A339" s="33" t="s">
        <v>331</v>
      </c>
      <c r="B339" s="52">
        <f>'Расчет субсидий'!AT339</f>
        <v>15.881818181818176</v>
      </c>
      <c r="C339" s="54">
        <f>'Расчет субсидий'!D339-1</f>
        <v>6.2433862433862508E-2</v>
      </c>
      <c r="D339" s="54">
        <f>C339*'Расчет субсидий'!E339</f>
        <v>0.62433862433862508</v>
      </c>
      <c r="E339" s="55">
        <f t="shared" si="111"/>
        <v>1.8604704904929763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4">
        <f>'Расчет субсидий'!P339-1</f>
        <v>0.23526492287055656</v>
      </c>
      <c r="M339" s="54">
        <f>L339*'Расчет субсидий'!Q339</f>
        <v>4.7052984574111312</v>
      </c>
      <c r="N339" s="55">
        <f t="shared" si="112"/>
        <v>14.021347691325198</v>
      </c>
      <c r="O339" s="54">
        <f>'Расчет субсидий'!T339-1</f>
        <v>0</v>
      </c>
      <c r="P339" s="54">
        <f>O339*'Расчет субсидий'!U339</f>
        <v>0</v>
      </c>
      <c r="Q339" s="55">
        <f t="shared" si="113"/>
        <v>0</v>
      </c>
      <c r="R339" s="54">
        <f>'Расчет субсидий'!X339-1</f>
        <v>0</v>
      </c>
      <c r="S339" s="54">
        <f>R339*'Расчет субсидий'!Y339</f>
        <v>0</v>
      </c>
      <c r="T339" s="55">
        <f t="shared" si="114"/>
        <v>0</v>
      </c>
      <c r="U339" s="60" t="s">
        <v>385</v>
      </c>
      <c r="V339" s="60" t="s">
        <v>385</v>
      </c>
      <c r="W339" s="61" t="s">
        <v>385</v>
      </c>
      <c r="X339" s="73">
        <f>'Расчет субсидий'!AF339-1</f>
        <v>0</v>
      </c>
      <c r="Y339" s="73">
        <f>X339*'Расчет субсидий'!AG339</f>
        <v>0</v>
      </c>
      <c r="Z339" s="55">
        <f t="shared" si="101"/>
        <v>0</v>
      </c>
      <c r="AA339" s="27" t="s">
        <v>367</v>
      </c>
      <c r="AB339" s="27" t="s">
        <v>367</v>
      </c>
      <c r="AC339" s="27" t="s">
        <v>367</v>
      </c>
      <c r="AD339" s="27" t="s">
        <v>367</v>
      </c>
      <c r="AE339" s="27" t="s">
        <v>367</v>
      </c>
      <c r="AF339" s="27" t="s">
        <v>367</v>
      </c>
      <c r="AG339" s="54">
        <f t="shared" si="102"/>
        <v>5.3296370817497563</v>
      </c>
    </row>
    <row r="340" spans="1:33" ht="15" customHeight="1">
      <c r="A340" s="33" t="s">
        <v>332</v>
      </c>
      <c r="B340" s="52">
        <f>'Расчет субсидий'!AT340</f>
        <v>-41.536363636363603</v>
      </c>
      <c r="C340" s="54">
        <f>'Расчет субсидий'!D340-1</f>
        <v>-1</v>
      </c>
      <c r="D340" s="54">
        <f>C340*'Расчет субсидий'!E340</f>
        <v>0</v>
      </c>
      <c r="E340" s="55">
        <f t="shared" si="111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4">
        <f>'Расчет субсидий'!P340-1</f>
        <v>-0.58180088776157257</v>
      </c>
      <c r="M340" s="54">
        <f>L340*'Расчет субсидий'!Q340</f>
        <v>-11.636017755231451</v>
      </c>
      <c r="N340" s="55">
        <f t="shared" si="112"/>
        <v>-46.386560991395811</v>
      </c>
      <c r="O340" s="54">
        <f>'Расчет субсидий'!T340-1</f>
        <v>-7.6666666666666661E-2</v>
      </c>
      <c r="P340" s="54">
        <f>O340*'Расчет субсидий'!U340</f>
        <v>-1.5333333333333332</v>
      </c>
      <c r="Q340" s="55">
        <f t="shared" si="113"/>
        <v>-6.11257748853376</v>
      </c>
      <c r="R340" s="54">
        <f>'Расчет субсидий'!X340-1</f>
        <v>9.1666666666666563E-2</v>
      </c>
      <c r="S340" s="54">
        <f>R340*'Расчет субсидий'!Y340</f>
        <v>2.7499999999999969</v>
      </c>
      <c r="T340" s="55">
        <f t="shared" si="114"/>
        <v>10.962774843565972</v>
      </c>
      <c r="U340" s="60" t="s">
        <v>385</v>
      </c>
      <c r="V340" s="60" t="s">
        <v>385</v>
      </c>
      <c r="W340" s="61" t="s">
        <v>385</v>
      </c>
      <c r="X340" s="73">
        <f>'Расчет субсидий'!AF340-1</f>
        <v>0</v>
      </c>
      <c r="Y340" s="73">
        <f>X340*'Расчет субсидий'!AG340</f>
        <v>0</v>
      </c>
      <c r="Z340" s="55">
        <f t="shared" si="101"/>
        <v>0</v>
      </c>
      <c r="AA340" s="27" t="s">
        <v>367</v>
      </c>
      <c r="AB340" s="27" t="s">
        <v>367</v>
      </c>
      <c r="AC340" s="27" t="s">
        <v>367</v>
      </c>
      <c r="AD340" s="27" t="s">
        <v>367</v>
      </c>
      <c r="AE340" s="27" t="s">
        <v>367</v>
      </c>
      <c r="AF340" s="27" t="s">
        <v>367</v>
      </c>
      <c r="AG340" s="54">
        <f t="shared" si="102"/>
        <v>-10.419351088564788</v>
      </c>
    </row>
    <row r="341" spans="1:33" ht="15" customHeight="1">
      <c r="A341" s="33" t="s">
        <v>333</v>
      </c>
      <c r="B341" s="52">
        <f>'Расчет субсидий'!AT341</f>
        <v>-4.3727272727272748</v>
      </c>
      <c r="C341" s="54">
        <f>'Расчет субсидий'!D341-1</f>
        <v>-8.5714285714285743E-2</v>
      </c>
      <c r="D341" s="54">
        <f>C341*'Расчет субсидий'!E341</f>
        <v>-0.85714285714285743</v>
      </c>
      <c r="E341" s="55">
        <f t="shared" si="111"/>
        <v>-1.2836798493002888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4">
        <f>'Расчет субсидий'!P341-1</f>
        <v>-0.46312178387650083</v>
      </c>
      <c r="M341" s="54">
        <f>L341*'Расчет субсидий'!Q341</f>
        <v>-9.2624356775300161</v>
      </c>
      <c r="N341" s="55">
        <f t="shared" si="112"/>
        <v>-13.871669040466237</v>
      </c>
      <c r="O341" s="54">
        <f>'Расчет субсидий'!T341-1</f>
        <v>0.22094594594594597</v>
      </c>
      <c r="P341" s="54">
        <f>O341*'Расчет субсидий'!U341</f>
        <v>6.628378378378379</v>
      </c>
      <c r="Q341" s="55">
        <f t="shared" si="113"/>
        <v>9.9268350508390562</v>
      </c>
      <c r="R341" s="54">
        <f>'Расчет субсидий'!X341-1</f>
        <v>2.8571428571428692E-2</v>
      </c>
      <c r="S341" s="54">
        <f>R341*'Расчет субсидий'!Y341</f>
        <v>0.57142857142857384</v>
      </c>
      <c r="T341" s="55">
        <f t="shared" si="114"/>
        <v>0.85578656620019589</v>
      </c>
      <c r="U341" s="60" t="s">
        <v>385</v>
      </c>
      <c r="V341" s="60" t="s">
        <v>385</v>
      </c>
      <c r="W341" s="61" t="s">
        <v>385</v>
      </c>
      <c r="X341" s="73">
        <f>'Расчет субсидий'!AF341-1</f>
        <v>0</v>
      </c>
      <c r="Y341" s="73">
        <f>X341*'Расчет субсидий'!AG341</f>
        <v>0</v>
      </c>
      <c r="Z341" s="55">
        <f t="shared" si="101"/>
        <v>0</v>
      </c>
      <c r="AA341" s="27" t="s">
        <v>367</v>
      </c>
      <c r="AB341" s="27" t="s">
        <v>367</v>
      </c>
      <c r="AC341" s="27" t="s">
        <v>367</v>
      </c>
      <c r="AD341" s="27" t="s">
        <v>367</v>
      </c>
      <c r="AE341" s="27" t="s">
        <v>367</v>
      </c>
      <c r="AF341" s="27" t="s">
        <v>367</v>
      </c>
      <c r="AG341" s="54">
        <f t="shared" si="102"/>
        <v>-2.9197715848659209</v>
      </c>
    </row>
    <row r="342" spans="1:33" ht="15" customHeight="1">
      <c r="A342" s="33" t="s">
        <v>334</v>
      </c>
      <c r="B342" s="52">
        <f>'Расчет субсидий'!AT342</f>
        <v>-14.127272727272725</v>
      </c>
      <c r="C342" s="54">
        <f>'Расчет субсидий'!D342-1</f>
        <v>-0.13528228264845754</v>
      </c>
      <c r="D342" s="54">
        <f>C342*'Расчет субсидий'!E342</f>
        <v>-1.3528228264845754</v>
      </c>
      <c r="E342" s="55">
        <f t="shared" si="111"/>
        <v>-6.3719492529556998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4">
        <f>'Расчет субсидий'!P342-1</f>
        <v>-0.13280475718533202</v>
      </c>
      <c r="M342" s="54">
        <f>L342*'Расчет субсидий'!Q342</f>
        <v>-2.6560951437066405</v>
      </c>
      <c r="N342" s="55">
        <f t="shared" si="112"/>
        <v>-12.510509976166311</v>
      </c>
      <c r="O342" s="54">
        <f>'Расчет субсидий'!T342-1</f>
        <v>3.6842105263157787E-2</v>
      </c>
      <c r="P342" s="54">
        <f>O342*'Расчет субсидий'!U342</f>
        <v>0.73684210526315574</v>
      </c>
      <c r="Q342" s="55">
        <f t="shared" si="113"/>
        <v>3.4706100534824196</v>
      </c>
      <c r="R342" s="54">
        <f>'Расчет субсидий'!X342-1</f>
        <v>9.0909090909090384E-3</v>
      </c>
      <c r="S342" s="54">
        <f>R342*'Расчет субсидий'!Y342</f>
        <v>0.27272727272727115</v>
      </c>
      <c r="T342" s="55">
        <f t="shared" si="114"/>
        <v>1.2845764483668658</v>
      </c>
      <c r="U342" s="60" t="s">
        <v>385</v>
      </c>
      <c r="V342" s="60" t="s">
        <v>385</v>
      </c>
      <c r="W342" s="61" t="s">
        <v>385</v>
      </c>
      <c r="X342" s="73">
        <f>'Расчет субсидий'!AF342-1</f>
        <v>0</v>
      </c>
      <c r="Y342" s="73">
        <f>X342*'Расчет субсидий'!AG342</f>
        <v>0</v>
      </c>
      <c r="Z342" s="55">
        <f t="shared" si="101"/>
        <v>0</v>
      </c>
      <c r="AA342" s="27" t="s">
        <v>367</v>
      </c>
      <c r="AB342" s="27" t="s">
        <v>367</v>
      </c>
      <c r="AC342" s="27" t="s">
        <v>367</v>
      </c>
      <c r="AD342" s="27" t="s">
        <v>367</v>
      </c>
      <c r="AE342" s="27" t="s">
        <v>367</v>
      </c>
      <c r="AF342" s="27" t="s">
        <v>367</v>
      </c>
      <c r="AG342" s="54">
        <f t="shared" si="102"/>
        <v>-2.9993485922007888</v>
      </c>
    </row>
    <row r="343" spans="1:33" ht="15" customHeight="1">
      <c r="A343" s="33" t="s">
        <v>335</v>
      </c>
      <c r="B343" s="52">
        <f>'Расчет субсидий'!AT343</f>
        <v>-11.427272727272708</v>
      </c>
      <c r="C343" s="54">
        <f>'Расчет субсидий'!D343-1</f>
        <v>-2.1818181818181848E-2</v>
      </c>
      <c r="D343" s="54">
        <f>C343*'Расчет субсидий'!E343</f>
        <v>-0.21818181818181848</v>
      </c>
      <c r="E343" s="55">
        <f t="shared" si="111"/>
        <v>-0.32104431407956219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4">
        <f>'Расчет субсидий'!P343-1</f>
        <v>-0.39099526066350709</v>
      </c>
      <c r="M343" s="54">
        <f>L343*'Расчет субсидий'!Q343</f>
        <v>-7.8199052132701414</v>
      </c>
      <c r="N343" s="55">
        <f t="shared" si="112"/>
        <v>-11.506623816240216</v>
      </c>
      <c r="O343" s="54">
        <f>'Расчет субсидий'!T343-1</f>
        <v>-2.0408163265306367E-3</v>
      </c>
      <c r="P343" s="54">
        <f>O343*'Расчет субсидий'!U343</f>
        <v>-6.1224489795919101E-2</v>
      </c>
      <c r="Q343" s="55">
        <f t="shared" si="113"/>
        <v>-9.0088965685592381E-2</v>
      </c>
      <c r="R343" s="54">
        <f>'Расчет субсидий'!X343-1</f>
        <v>1.6666666666666607E-2</v>
      </c>
      <c r="S343" s="54">
        <f>R343*'Расчет субсидий'!Y343</f>
        <v>0.33333333333333215</v>
      </c>
      <c r="T343" s="55">
        <f t="shared" si="114"/>
        <v>0.49048436873266205</v>
      </c>
      <c r="U343" s="60" t="s">
        <v>385</v>
      </c>
      <c r="V343" s="60" t="s">
        <v>385</v>
      </c>
      <c r="W343" s="61" t="s">
        <v>385</v>
      </c>
      <c r="X343" s="73">
        <f>'Расчет субсидий'!AF343-1</f>
        <v>0</v>
      </c>
      <c r="Y343" s="73">
        <f>X343*'Расчет субсидий'!AG343</f>
        <v>0</v>
      </c>
      <c r="Z343" s="55">
        <f t="shared" si="101"/>
        <v>0</v>
      </c>
      <c r="AA343" s="27" t="s">
        <v>367</v>
      </c>
      <c r="AB343" s="27" t="s">
        <v>367</v>
      </c>
      <c r="AC343" s="27" t="s">
        <v>367</v>
      </c>
      <c r="AD343" s="27" t="s">
        <v>367</v>
      </c>
      <c r="AE343" s="27" t="s">
        <v>367</v>
      </c>
      <c r="AF343" s="27" t="s">
        <v>367</v>
      </c>
      <c r="AG343" s="54">
        <f t="shared" si="102"/>
        <v>-7.7659781879145466</v>
      </c>
    </row>
    <row r="344" spans="1:33" ht="15" customHeight="1">
      <c r="A344" s="33" t="s">
        <v>336</v>
      </c>
      <c r="B344" s="52">
        <f>'Расчет субсидий'!AT344</f>
        <v>30.609090909090924</v>
      </c>
      <c r="C344" s="54">
        <f>'Расчет субсидий'!D344-1</f>
        <v>8.9855072463768115E-2</v>
      </c>
      <c r="D344" s="54">
        <f>C344*'Расчет субсидий'!E344</f>
        <v>0.89855072463768115</v>
      </c>
      <c r="E344" s="55">
        <f t="shared" si="111"/>
        <v>3.2669575456403281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4">
        <f>'Расчет субсидий'!P344-1</f>
        <v>-2.7397260273972712E-2</v>
      </c>
      <c r="M344" s="54">
        <f>L344*'Расчет субсидий'!Q344</f>
        <v>-0.54794520547945424</v>
      </c>
      <c r="N344" s="55">
        <f t="shared" si="112"/>
        <v>-1.9922233375977336</v>
      </c>
      <c r="O344" s="54">
        <f>'Расчет субсидий'!T344-1</f>
        <v>0.30000000000000004</v>
      </c>
      <c r="P344" s="54">
        <f>O344*'Расчет субсидий'!U344</f>
        <v>7.5000000000000009</v>
      </c>
      <c r="Q344" s="55">
        <f t="shared" si="113"/>
        <v>27.26855693336887</v>
      </c>
      <c r="R344" s="54">
        <f>'Расчет субсидий'!X344-1</f>
        <v>2.2727272727272707E-2</v>
      </c>
      <c r="S344" s="54">
        <f>R344*'Расчет субсидий'!Y344</f>
        <v>0.56818181818181768</v>
      </c>
      <c r="T344" s="55">
        <f t="shared" si="114"/>
        <v>2.0657997676794579</v>
      </c>
      <c r="U344" s="60" t="s">
        <v>385</v>
      </c>
      <c r="V344" s="60" t="s">
        <v>385</v>
      </c>
      <c r="W344" s="61" t="s">
        <v>385</v>
      </c>
      <c r="X344" s="73">
        <f>'Расчет субсидий'!AF344-1</f>
        <v>0</v>
      </c>
      <c r="Y344" s="73">
        <f>X344*'Расчет субсидий'!AG344</f>
        <v>0</v>
      </c>
      <c r="Z344" s="55">
        <f t="shared" si="101"/>
        <v>0</v>
      </c>
      <c r="AA344" s="27" t="s">
        <v>367</v>
      </c>
      <c r="AB344" s="27" t="s">
        <v>367</v>
      </c>
      <c r="AC344" s="27" t="s">
        <v>367</v>
      </c>
      <c r="AD344" s="27" t="s">
        <v>367</v>
      </c>
      <c r="AE344" s="27" t="s">
        <v>367</v>
      </c>
      <c r="AF344" s="27" t="s">
        <v>367</v>
      </c>
      <c r="AG344" s="54">
        <f t="shared" si="102"/>
        <v>8.4187873373400457</v>
      </c>
    </row>
    <row r="345" spans="1:33" ht="15" customHeight="1">
      <c r="A345" s="32" t="s">
        <v>337</v>
      </c>
      <c r="B345" s="56"/>
      <c r="C345" s="57"/>
      <c r="D345" s="57"/>
      <c r="E345" s="58"/>
      <c r="F345" s="57"/>
      <c r="G345" s="57"/>
      <c r="H345" s="58"/>
      <c r="I345" s="58"/>
      <c r="J345" s="58"/>
      <c r="K345" s="58"/>
      <c r="L345" s="57"/>
      <c r="M345" s="57"/>
      <c r="N345" s="58"/>
      <c r="O345" s="57"/>
      <c r="P345" s="57"/>
      <c r="Q345" s="58"/>
      <c r="R345" s="57"/>
      <c r="S345" s="57"/>
      <c r="T345" s="58"/>
      <c r="U345" s="58"/>
      <c r="V345" s="58"/>
      <c r="W345" s="58"/>
      <c r="X345" s="75"/>
      <c r="Y345" s="75"/>
      <c r="Z345" s="58"/>
      <c r="AA345" s="58"/>
      <c r="AB345" s="58"/>
      <c r="AC345" s="58"/>
      <c r="AD345" s="58"/>
      <c r="AE345" s="58"/>
      <c r="AF345" s="58"/>
      <c r="AG345" s="58"/>
    </row>
    <row r="346" spans="1:33" ht="15" customHeight="1">
      <c r="A346" s="33" t="s">
        <v>338</v>
      </c>
      <c r="B346" s="52">
        <f>'Расчет субсидий'!AT346</f>
        <v>-17.827272727272714</v>
      </c>
      <c r="C346" s="54">
        <f>'Расчет субсидий'!D346-1</f>
        <v>9.4736842105263008E-3</v>
      </c>
      <c r="D346" s="54">
        <f>C346*'Расчет субсидий'!E346</f>
        <v>9.4736842105263008E-2</v>
      </c>
      <c r="E346" s="55">
        <f t="shared" ref="E346:E355" si="115">$B346*D346/$AG346</f>
        <v>0.19835583136075699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4">
        <f>'Расчет субсидий'!P346-1</f>
        <v>-0.47846153846153849</v>
      </c>
      <c r="M346" s="54">
        <f>L346*'Расчет субсидий'!Q346</f>
        <v>-9.5692307692307708</v>
      </c>
      <c r="N346" s="55">
        <f t="shared" ref="N346:N355" si="116">$B346*M346/$AG346</f>
        <v>-20.035634316422477</v>
      </c>
      <c r="O346" s="54">
        <f>'Расчет субсидий'!T346-1</f>
        <v>6.4000000000000057E-2</v>
      </c>
      <c r="P346" s="54">
        <f>O346*'Расчет субсидий'!U346</f>
        <v>0.96000000000000085</v>
      </c>
      <c r="Q346" s="55">
        <f t="shared" ref="Q346:Q355" si="117">$B346*P346/$AG346</f>
        <v>2.0100057577890089</v>
      </c>
      <c r="R346" s="54">
        <f>'Расчет субсидий'!X346-1</f>
        <v>0</v>
      </c>
      <c r="S346" s="54">
        <f>R346*'Расчет субсидий'!Y346</f>
        <v>0</v>
      </c>
      <c r="T346" s="55">
        <f t="shared" ref="T346:T355" si="118">$B346*S346/$AG346</f>
        <v>0</v>
      </c>
      <c r="U346" s="60" t="s">
        <v>385</v>
      </c>
      <c r="V346" s="60" t="s">
        <v>385</v>
      </c>
      <c r="W346" s="61" t="s">
        <v>385</v>
      </c>
      <c r="X346" s="73">
        <f>'Расчет субсидий'!AF346-1</f>
        <v>0</v>
      </c>
      <c r="Y346" s="73">
        <f>X346*'Расчет субсидий'!AG346</f>
        <v>0</v>
      </c>
      <c r="Z346" s="55">
        <f t="shared" si="101"/>
        <v>0</v>
      </c>
      <c r="AA346" s="27" t="s">
        <v>367</v>
      </c>
      <c r="AB346" s="27" t="s">
        <v>367</v>
      </c>
      <c r="AC346" s="27" t="s">
        <v>367</v>
      </c>
      <c r="AD346" s="27" t="s">
        <v>367</v>
      </c>
      <c r="AE346" s="27" t="s">
        <v>367</v>
      </c>
      <c r="AF346" s="27" t="s">
        <v>367</v>
      </c>
      <c r="AG346" s="54">
        <f t="shared" si="102"/>
        <v>-8.5144939271255069</v>
      </c>
    </row>
    <row r="347" spans="1:33" ht="15" customHeight="1">
      <c r="A347" s="33" t="s">
        <v>53</v>
      </c>
      <c r="B347" s="52">
        <f>'Расчет субсидий'!AT347</f>
        <v>-38.354545454545473</v>
      </c>
      <c r="C347" s="54">
        <f>'Расчет субсидий'!D347-1</f>
        <v>2.3943661971830954E-2</v>
      </c>
      <c r="D347" s="54">
        <f>C347*'Расчет субсидий'!E347</f>
        <v>0.23943661971830954</v>
      </c>
      <c r="E347" s="55">
        <f t="shared" si="115"/>
        <v>1.7994352391170323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4">
        <f>'Расчет субсидий'!P347-1</f>
        <v>-0.34519350811485638</v>
      </c>
      <c r="M347" s="54">
        <f>L347*'Расчет субсидий'!Q347</f>
        <v>-6.9038701622971281</v>
      </c>
      <c r="N347" s="55">
        <f t="shared" si="116"/>
        <v>-51.884575011714865</v>
      </c>
      <c r="O347" s="54">
        <f>'Расчет субсидий'!T347-1</f>
        <v>2.9807692307692202E-2</v>
      </c>
      <c r="P347" s="54">
        <f>O347*'Расчет субсидий'!U347</f>
        <v>0.89423076923076605</v>
      </c>
      <c r="Q347" s="55">
        <f t="shared" si="117"/>
        <v>6.7204020836480414</v>
      </c>
      <c r="R347" s="54">
        <f>'Расчет субсидий'!X347-1</f>
        <v>3.3333333333333437E-2</v>
      </c>
      <c r="S347" s="54">
        <f>R347*'Расчет субсидий'!Y347</f>
        <v>0.66666666666666874</v>
      </c>
      <c r="T347" s="55">
        <f t="shared" si="118"/>
        <v>5.0101922344043084</v>
      </c>
      <c r="U347" s="60" t="s">
        <v>385</v>
      </c>
      <c r="V347" s="60" t="s">
        <v>385</v>
      </c>
      <c r="W347" s="61" t="s">
        <v>385</v>
      </c>
      <c r="X347" s="73">
        <f>'Расчет субсидий'!AF347-1</f>
        <v>0</v>
      </c>
      <c r="Y347" s="73">
        <f>X347*'Расчет субсидий'!AG347</f>
        <v>0</v>
      </c>
      <c r="Z347" s="55">
        <f t="shared" si="101"/>
        <v>0</v>
      </c>
      <c r="AA347" s="27" t="s">
        <v>367</v>
      </c>
      <c r="AB347" s="27" t="s">
        <v>367</v>
      </c>
      <c r="AC347" s="27" t="s">
        <v>367</v>
      </c>
      <c r="AD347" s="27" t="s">
        <v>367</v>
      </c>
      <c r="AE347" s="27" t="s">
        <v>367</v>
      </c>
      <c r="AF347" s="27" t="s">
        <v>367</v>
      </c>
      <c r="AG347" s="54">
        <f t="shared" si="102"/>
        <v>-5.1035361066813829</v>
      </c>
    </row>
    <row r="348" spans="1:33" ht="15" customHeight="1">
      <c r="A348" s="33" t="s">
        <v>339</v>
      </c>
      <c r="B348" s="52">
        <f>'Расчет субсидий'!AT348</f>
        <v>19.845454545454572</v>
      </c>
      <c r="C348" s="54">
        <f>'Расчет субсидий'!D348-1</f>
        <v>0</v>
      </c>
      <c r="D348" s="54">
        <f>C348*'Расчет субсидий'!E348</f>
        <v>0</v>
      </c>
      <c r="E348" s="55">
        <f t="shared" si="115"/>
        <v>0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4">
        <f>'Расчет субсидий'!P348-1</f>
        <v>0.21388671874999998</v>
      </c>
      <c r="M348" s="54">
        <f>L348*'Расчет субсидий'!Q348</f>
        <v>4.2777343749999996</v>
      </c>
      <c r="N348" s="55">
        <f t="shared" si="116"/>
        <v>9.0703374551245535</v>
      </c>
      <c r="O348" s="54">
        <f>'Расчет субсидий'!T348-1</f>
        <v>3.2000000000000028E-2</v>
      </c>
      <c r="P348" s="54">
        <f>O348*'Расчет субсидий'!U348</f>
        <v>0.96000000000000085</v>
      </c>
      <c r="Q348" s="55">
        <f t="shared" si="117"/>
        <v>2.0355457336968423</v>
      </c>
      <c r="R348" s="54">
        <f>'Расчет субсидий'!X348-1</f>
        <v>0.20608695652173914</v>
      </c>
      <c r="S348" s="54">
        <f>R348*'Расчет субсидий'!Y348</f>
        <v>4.1217391304347828</v>
      </c>
      <c r="T348" s="55">
        <f t="shared" si="118"/>
        <v>8.7395713566331761</v>
      </c>
      <c r="U348" s="60" t="s">
        <v>385</v>
      </c>
      <c r="V348" s="60" t="s">
        <v>385</v>
      </c>
      <c r="W348" s="61" t="s">
        <v>385</v>
      </c>
      <c r="X348" s="73">
        <f>'Расчет субсидий'!AF348-1</f>
        <v>0</v>
      </c>
      <c r="Y348" s="73">
        <f>X348*'Расчет субсидий'!AG348</f>
        <v>0</v>
      </c>
      <c r="Z348" s="55">
        <f t="shared" si="101"/>
        <v>0</v>
      </c>
      <c r="AA348" s="27" t="s">
        <v>367</v>
      </c>
      <c r="AB348" s="27" t="s">
        <v>367</v>
      </c>
      <c r="AC348" s="27" t="s">
        <v>367</v>
      </c>
      <c r="AD348" s="27" t="s">
        <v>367</v>
      </c>
      <c r="AE348" s="27" t="s">
        <v>367</v>
      </c>
      <c r="AF348" s="27" t="s">
        <v>367</v>
      </c>
      <c r="AG348" s="54">
        <f t="shared" si="102"/>
        <v>9.3594735054347833</v>
      </c>
    </row>
    <row r="349" spans="1:33" ht="15" customHeight="1">
      <c r="A349" s="33" t="s">
        <v>340</v>
      </c>
      <c r="B349" s="52">
        <f>'Расчет субсидий'!AT349</f>
        <v>-3.2272727272727479</v>
      </c>
      <c r="C349" s="54">
        <f>'Расчет субсидий'!D349-1</f>
        <v>0.30000000000000004</v>
      </c>
      <c r="D349" s="54">
        <f>C349*'Расчет субсидий'!E349</f>
        <v>3.0000000000000004</v>
      </c>
      <c r="E349" s="55">
        <f t="shared" si="115"/>
        <v>8.6441720168472713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4">
        <f>'Расчет субсидий'!P349-1</f>
        <v>-0.58131335390039673</v>
      </c>
      <c r="M349" s="54">
        <f>L349*'Расчет субсидий'!Q349</f>
        <v>-11.626267078007935</v>
      </c>
      <c r="N349" s="55">
        <f t="shared" si="116"/>
        <v>-33.499817512036287</v>
      </c>
      <c r="O349" s="54">
        <f>'Расчет субсидий'!T349-1</f>
        <v>0.16131868131868132</v>
      </c>
      <c r="P349" s="54">
        <f>O349*'Расчет субсидий'!U349</f>
        <v>4.8395604395604401</v>
      </c>
      <c r="Q349" s="55">
        <f t="shared" si="117"/>
        <v>13.944664308496478</v>
      </c>
      <c r="R349" s="54">
        <f>'Расчет субсидий'!X349-1</f>
        <v>0.1333333333333333</v>
      </c>
      <c r="S349" s="54">
        <f>R349*'Расчет субсидий'!Y349</f>
        <v>2.6666666666666661</v>
      </c>
      <c r="T349" s="55">
        <f t="shared" si="118"/>
        <v>7.683708459419794</v>
      </c>
      <c r="U349" s="60" t="s">
        <v>385</v>
      </c>
      <c r="V349" s="60" t="s">
        <v>385</v>
      </c>
      <c r="W349" s="61" t="s">
        <v>385</v>
      </c>
      <c r="X349" s="73">
        <f>'Расчет субсидий'!AF349-1</f>
        <v>0</v>
      </c>
      <c r="Y349" s="73">
        <f>X349*'Расчет субсидий'!AG349</f>
        <v>0</v>
      </c>
      <c r="Z349" s="55">
        <f t="shared" si="101"/>
        <v>0</v>
      </c>
      <c r="AA349" s="27" t="s">
        <v>367</v>
      </c>
      <c r="AB349" s="27" t="s">
        <v>367</v>
      </c>
      <c r="AC349" s="27" t="s">
        <v>367</v>
      </c>
      <c r="AD349" s="27" t="s">
        <v>367</v>
      </c>
      <c r="AE349" s="27" t="s">
        <v>367</v>
      </c>
      <c r="AF349" s="27" t="s">
        <v>367</v>
      </c>
      <c r="AG349" s="54">
        <f t="shared" si="102"/>
        <v>-1.1200399717808285</v>
      </c>
    </row>
    <row r="350" spans="1:33" ht="15" customHeight="1">
      <c r="A350" s="33" t="s">
        <v>341</v>
      </c>
      <c r="B350" s="52">
        <f>'Расчет субсидий'!AT350</f>
        <v>-8.9545454545454675</v>
      </c>
      <c r="C350" s="54">
        <f>'Расчет субсидий'!D350-1</f>
        <v>-0.18134531831131484</v>
      </c>
      <c r="D350" s="54">
        <f>C350*'Расчет субсидий'!E350</f>
        <v>-1.8134531831131484</v>
      </c>
      <c r="E350" s="55">
        <f t="shared" si="115"/>
        <v>-2.8051104552245922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4">
        <f>'Расчет субсидий'!P350-1</f>
        <v>-0.28956439987464755</v>
      </c>
      <c r="M350" s="54">
        <f>L350*'Расчет субсидий'!Q350</f>
        <v>-5.791287997492951</v>
      </c>
      <c r="N350" s="55">
        <f t="shared" si="116"/>
        <v>-8.9581593074799368</v>
      </c>
      <c r="O350" s="54">
        <f>'Расчет субсидий'!T350-1</f>
        <v>0</v>
      </c>
      <c r="P350" s="54">
        <f>O350*'Расчет субсидий'!U350</f>
        <v>0</v>
      </c>
      <c r="Q350" s="55">
        <f t="shared" si="117"/>
        <v>0</v>
      </c>
      <c r="R350" s="54">
        <f>'Расчет субсидий'!X350-1</f>
        <v>5.2631578947368363E-2</v>
      </c>
      <c r="S350" s="54">
        <f>R350*'Расчет субсидий'!Y350</f>
        <v>1.3157894736842091</v>
      </c>
      <c r="T350" s="55">
        <f t="shared" si="118"/>
        <v>2.0353074696804825</v>
      </c>
      <c r="U350" s="60" t="s">
        <v>385</v>
      </c>
      <c r="V350" s="60" t="s">
        <v>385</v>
      </c>
      <c r="W350" s="61" t="s">
        <v>385</v>
      </c>
      <c r="X350" s="73">
        <f>'Расчет субсидий'!AF350-1</f>
        <v>2.4999999999999911E-2</v>
      </c>
      <c r="Y350" s="73">
        <f>X350*'Расчет субсидий'!AG350</f>
        <v>0.49999999999999822</v>
      </c>
      <c r="Z350" s="55">
        <f t="shared" si="101"/>
        <v>0.77341683847858145</v>
      </c>
      <c r="AA350" s="27" t="s">
        <v>367</v>
      </c>
      <c r="AB350" s="27" t="s">
        <v>367</v>
      </c>
      <c r="AC350" s="27" t="s">
        <v>367</v>
      </c>
      <c r="AD350" s="27" t="s">
        <v>367</v>
      </c>
      <c r="AE350" s="27" t="s">
        <v>367</v>
      </c>
      <c r="AF350" s="27" t="s">
        <v>367</v>
      </c>
      <c r="AG350" s="54">
        <f t="shared" si="102"/>
        <v>-5.7889517069218925</v>
      </c>
    </row>
    <row r="351" spans="1:33" ht="15" customHeight="1">
      <c r="A351" s="33" t="s">
        <v>342</v>
      </c>
      <c r="B351" s="52">
        <f>'Расчет субсидий'!AT351</f>
        <v>-1.5090909090909008</v>
      </c>
      <c r="C351" s="54">
        <f>'Расчет субсидий'!D351-1</f>
        <v>7.4468085106383031E-2</v>
      </c>
      <c r="D351" s="54">
        <f>C351*'Расчет субсидий'!E351</f>
        <v>0.74468085106383031</v>
      </c>
      <c r="E351" s="55">
        <f t="shared" si="115"/>
        <v>0.53555166811315713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4">
        <f>'Расчет субсидий'!P351-1</f>
        <v>-0.13781154204984669</v>
      </c>
      <c r="M351" s="54">
        <f>L351*'Расчет субсидий'!Q351</f>
        <v>-2.7562308409969338</v>
      </c>
      <c r="N351" s="55">
        <f t="shared" si="116"/>
        <v>-1.9821968330354096</v>
      </c>
      <c r="O351" s="54">
        <f>'Расчет субсидий'!T351-1</f>
        <v>-0.13317757009345799</v>
      </c>
      <c r="P351" s="54">
        <f>O351*'Расчет субсидий'!U351</f>
        <v>-3.9953271028037394</v>
      </c>
      <c r="Q351" s="55">
        <f t="shared" si="117"/>
        <v>-2.8733169269862762</v>
      </c>
      <c r="R351" s="54">
        <f>'Расчет субсидий'!X351-1</f>
        <v>3.3333333333333437E-2</v>
      </c>
      <c r="S351" s="54">
        <f>R351*'Расчет субсидий'!Y351</f>
        <v>0.66666666666666874</v>
      </c>
      <c r="T351" s="55">
        <f t="shared" si="118"/>
        <v>0.47944625526320844</v>
      </c>
      <c r="U351" s="60" t="s">
        <v>385</v>
      </c>
      <c r="V351" s="60" t="s">
        <v>385</v>
      </c>
      <c r="W351" s="61" t="s">
        <v>385</v>
      </c>
      <c r="X351" s="73">
        <f>'Расчет субсидий'!AF351-1</f>
        <v>0.16209150326797395</v>
      </c>
      <c r="Y351" s="73">
        <f>X351*'Расчет субсидий'!AG351</f>
        <v>3.2418300653594789</v>
      </c>
      <c r="Z351" s="55">
        <f t="shared" si="101"/>
        <v>2.3314249275544197</v>
      </c>
      <c r="AA351" s="27" t="s">
        <v>367</v>
      </c>
      <c r="AB351" s="27" t="s">
        <v>367</v>
      </c>
      <c r="AC351" s="27" t="s">
        <v>367</v>
      </c>
      <c r="AD351" s="27" t="s">
        <v>367</v>
      </c>
      <c r="AE351" s="27" t="s">
        <v>367</v>
      </c>
      <c r="AF351" s="27" t="s">
        <v>367</v>
      </c>
      <c r="AG351" s="54">
        <f t="shared" si="102"/>
        <v>-2.0983803607106957</v>
      </c>
    </row>
    <row r="352" spans="1:33" ht="15" customHeight="1">
      <c r="A352" s="33" t="s">
        <v>343</v>
      </c>
      <c r="B352" s="52">
        <f>'Расчет субсидий'!AT352</f>
        <v>3.818181818181813</v>
      </c>
      <c r="C352" s="54">
        <f>'Расчет субсидий'!D352-1</f>
        <v>-4.6511627906976716E-2</v>
      </c>
      <c r="D352" s="54">
        <f>C352*'Расчет субсидий'!E352</f>
        <v>-0.46511627906976716</v>
      </c>
      <c r="E352" s="55">
        <f t="shared" si="115"/>
        <v>-1.6996875529596098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4">
        <f>'Расчет субсидий'!P352-1</f>
        <v>-0.40402608449106892</v>
      </c>
      <c r="M352" s="54">
        <f>L352*'Расчет субсидий'!Q352</f>
        <v>-8.0805216898213779</v>
      </c>
      <c r="N352" s="55">
        <f t="shared" si="116"/>
        <v>-29.528878595860551</v>
      </c>
      <c r="O352" s="54">
        <f>'Расчет субсидий'!T352-1</f>
        <v>0.16666666666666674</v>
      </c>
      <c r="P352" s="54">
        <f>O352*'Расчет субсидий'!U352</f>
        <v>3.3333333333333348</v>
      </c>
      <c r="Q352" s="55">
        <f t="shared" si="117"/>
        <v>12.181094129543883</v>
      </c>
      <c r="R352" s="54">
        <f>'Расчет субсидий'!X352-1</f>
        <v>0.20857142857142863</v>
      </c>
      <c r="S352" s="54">
        <f>R352*'Расчет субсидий'!Y352</f>
        <v>6.2571428571428589</v>
      </c>
      <c r="T352" s="55">
        <f t="shared" si="118"/>
        <v>22.865653837458087</v>
      </c>
      <c r="U352" s="60" t="s">
        <v>385</v>
      </c>
      <c r="V352" s="60" t="s">
        <v>385</v>
      </c>
      <c r="W352" s="61" t="s">
        <v>385</v>
      </c>
      <c r="X352" s="73">
        <f>'Расчет субсидий'!AF352-1</f>
        <v>0</v>
      </c>
      <c r="Y352" s="73">
        <f>X352*'Расчет субсидий'!AG352</f>
        <v>0</v>
      </c>
      <c r="Z352" s="55">
        <f t="shared" si="101"/>
        <v>0</v>
      </c>
      <c r="AA352" s="27" t="s">
        <v>367</v>
      </c>
      <c r="AB352" s="27" t="s">
        <v>367</v>
      </c>
      <c r="AC352" s="27" t="s">
        <v>367</v>
      </c>
      <c r="AD352" s="27" t="s">
        <v>367</v>
      </c>
      <c r="AE352" s="27" t="s">
        <v>367</v>
      </c>
      <c r="AF352" s="27" t="s">
        <v>367</v>
      </c>
      <c r="AG352" s="54">
        <f t="shared" si="102"/>
        <v>1.0448382215850494</v>
      </c>
    </row>
    <row r="353" spans="1:33" ht="15" customHeight="1">
      <c r="A353" s="33" t="s">
        <v>344</v>
      </c>
      <c r="B353" s="52">
        <f>'Расчет субсидий'!AT353</f>
        <v>-12.263636363636351</v>
      </c>
      <c r="C353" s="54">
        <f>'Расчет субсидий'!D353-1</f>
        <v>5.6451612903225534E-3</v>
      </c>
      <c r="D353" s="54">
        <f>C353*'Расчет субсидий'!E353</f>
        <v>5.6451612903225534E-2</v>
      </c>
      <c r="E353" s="55">
        <f t="shared" si="115"/>
        <v>0.15609976723025659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4">
        <f>'Расчет субсидий'!P353-1</f>
        <v>-0.65619924201407687</v>
      </c>
      <c r="M353" s="54">
        <f>L353*'Расчет субсидий'!Q353</f>
        <v>-13.123984840281537</v>
      </c>
      <c r="N353" s="55">
        <f t="shared" si="116"/>
        <v>-36.290388765567194</v>
      </c>
      <c r="O353" s="54">
        <f>'Расчет субсидий'!T353-1</f>
        <v>8.181818181818179E-2</v>
      </c>
      <c r="P353" s="54">
        <f>O353*'Расчет субсидий'!U353</f>
        <v>1.2272727272727268</v>
      </c>
      <c r="Q353" s="55">
        <f t="shared" si="117"/>
        <v>3.3936494849798793</v>
      </c>
      <c r="R353" s="54">
        <f>'Расчет субсидий'!X353-1</f>
        <v>0.21157894736842109</v>
      </c>
      <c r="S353" s="54">
        <f>R353*'Расчет субсидий'!Y353</f>
        <v>7.4052631578947379</v>
      </c>
      <c r="T353" s="55">
        <f t="shared" si="118"/>
        <v>20.477003149720709</v>
      </c>
      <c r="U353" s="60" t="s">
        <v>385</v>
      </c>
      <c r="V353" s="60" t="s">
        <v>385</v>
      </c>
      <c r="W353" s="61" t="s">
        <v>385</v>
      </c>
      <c r="X353" s="73">
        <f>'Расчет субсидий'!AF353-1</f>
        <v>0</v>
      </c>
      <c r="Y353" s="73">
        <f>X353*'Расчет субсидий'!AG353</f>
        <v>0</v>
      </c>
      <c r="Z353" s="55">
        <f t="shared" si="101"/>
        <v>0</v>
      </c>
      <c r="AA353" s="27" t="s">
        <v>367</v>
      </c>
      <c r="AB353" s="27" t="s">
        <v>367</v>
      </c>
      <c r="AC353" s="27" t="s">
        <v>367</v>
      </c>
      <c r="AD353" s="27" t="s">
        <v>367</v>
      </c>
      <c r="AE353" s="27" t="s">
        <v>367</v>
      </c>
      <c r="AF353" s="27" t="s">
        <v>367</v>
      </c>
      <c r="AG353" s="54">
        <f t="shared" si="102"/>
        <v>-4.4349973422108464</v>
      </c>
    </row>
    <row r="354" spans="1:33" ht="15" customHeight="1">
      <c r="A354" s="33" t="s">
        <v>345</v>
      </c>
      <c r="B354" s="52">
        <f>'Расчет субсидий'!AT354</f>
        <v>-21.154545454545428</v>
      </c>
      <c r="C354" s="54">
        <f>'Расчет субсидий'!D354-1</f>
        <v>3.3333333333334103E-3</v>
      </c>
      <c r="D354" s="54">
        <f>C354*'Расчет субсидий'!E354</f>
        <v>3.3333333333334103E-2</v>
      </c>
      <c r="E354" s="55">
        <f t="shared" si="115"/>
        <v>7.3972173642681632E-2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4">
        <f>'Расчет субсидий'!P354-1</f>
        <v>-0.58920187793427226</v>
      </c>
      <c r="M354" s="54">
        <f>L354*'Расчет субсидий'!Q354</f>
        <v>-11.784037558685444</v>
      </c>
      <c r="N354" s="55">
        <f t="shared" si="116"/>
        <v>-26.150726175088252</v>
      </c>
      <c r="O354" s="54">
        <f>'Расчет субсидий'!T354-1</f>
        <v>7.8947368421052655E-2</v>
      </c>
      <c r="P354" s="54">
        <f>O354*'Расчет субсидий'!U354</f>
        <v>0.78947368421052655</v>
      </c>
      <c r="Q354" s="55">
        <f t="shared" si="117"/>
        <v>1.7519725336424199</v>
      </c>
      <c r="R354" s="54">
        <f>'Расчет субсидий'!X354-1</f>
        <v>3.5714285714285809E-2</v>
      </c>
      <c r="S354" s="54">
        <f>R354*'Расчет субсидий'!Y354</f>
        <v>1.4285714285714324</v>
      </c>
      <c r="T354" s="55">
        <f t="shared" si="118"/>
        <v>3.1702360132577199</v>
      </c>
      <c r="U354" s="60" t="s">
        <v>385</v>
      </c>
      <c r="V354" s="60" t="s">
        <v>385</v>
      </c>
      <c r="W354" s="61" t="s">
        <v>385</v>
      </c>
      <c r="X354" s="73">
        <f>'Расчет субсидий'!AF354-1</f>
        <v>0</v>
      </c>
      <c r="Y354" s="73">
        <f>X354*'Расчет субсидий'!AG354</f>
        <v>0</v>
      </c>
      <c r="Z354" s="55">
        <f t="shared" si="101"/>
        <v>0</v>
      </c>
      <c r="AA354" s="27" t="s">
        <v>367</v>
      </c>
      <c r="AB354" s="27" t="s">
        <v>367</v>
      </c>
      <c r="AC354" s="27" t="s">
        <v>367</v>
      </c>
      <c r="AD354" s="27" t="s">
        <v>367</v>
      </c>
      <c r="AE354" s="27" t="s">
        <v>367</v>
      </c>
      <c r="AF354" s="27" t="s">
        <v>367</v>
      </c>
      <c r="AG354" s="54">
        <f t="shared" si="102"/>
        <v>-9.5326591125701494</v>
      </c>
    </row>
    <row r="355" spans="1:33" ht="15" customHeight="1">
      <c r="A355" s="33" t="s">
        <v>346</v>
      </c>
      <c r="B355" s="52">
        <f>'Расчет субсидий'!AT355</f>
        <v>-17.300000000000011</v>
      </c>
      <c r="C355" s="54">
        <f>'Расчет субсидий'!D355-1</f>
        <v>-1.9953859230177673E-2</v>
      </c>
      <c r="D355" s="54">
        <f>C355*'Расчет субсидий'!E355</f>
        <v>-0.19953859230177673</v>
      </c>
      <c r="E355" s="55">
        <f t="shared" si="115"/>
        <v>-0.83419357114383352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4">
        <f>'Расчет субсидий'!P355-1</f>
        <v>-0.1969305416380992</v>
      </c>
      <c r="M355" s="54">
        <f>L355*'Расчет субсидий'!Q355</f>
        <v>-3.938610832761984</v>
      </c>
      <c r="N355" s="55">
        <f t="shared" si="116"/>
        <v>-16.46580642885618</v>
      </c>
      <c r="O355" s="54">
        <f>'Расчет субсидий'!T355-1</f>
        <v>0</v>
      </c>
      <c r="P355" s="54">
        <f>O355*'Расчет субсидий'!U355</f>
        <v>0</v>
      </c>
      <c r="Q355" s="55">
        <f t="shared" si="117"/>
        <v>0</v>
      </c>
      <c r="R355" s="54">
        <f>'Расчет субсидий'!X355-1</f>
        <v>0</v>
      </c>
      <c r="S355" s="54">
        <f>R355*'Расчет субсидий'!Y355</f>
        <v>0</v>
      </c>
      <c r="T355" s="55">
        <f t="shared" si="118"/>
        <v>0</v>
      </c>
      <c r="U355" s="60" t="s">
        <v>385</v>
      </c>
      <c r="V355" s="60" t="s">
        <v>385</v>
      </c>
      <c r="W355" s="61" t="s">
        <v>385</v>
      </c>
      <c r="X355" s="73">
        <f>'Расчет субсидий'!AF355-1</f>
        <v>0</v>
      </c>
      <c r="Y355" s="73">
        <f>X355*'Расчет субсидий'!AG355</f>
        <v>0</v>
      </c>
      <c r="Z355" s="55">
        <f t="shared" si="101"/>
        <v>0</v>
      </c>
      <c r="AA355" s="27" t="s">
        <v>367</v>
      </c>
      <c r="AB355" s="27" t="s">
        <v>367</v>
      </c>
      <c r="AC355" s="27" t="s">
        <v>367</v>
      </c>
      <c r="AD355" s="27" t="s">
        <v>367</v>
      </c>
      <c r="AE355" s="27" t="s">
        <v>367</v>
      </c>
      <c r="AF355" s="27" t="s">
        <v>367</v>
      </c>
      <c r="AG355" s="54">
        <f t="shared" si="102"/>
        <v>-4.1381494250637605</v>
      </c>
    </row>
    <row r="356" spans="1:33" ht="15" customHeight="1">
      <c r="A356" s="32" t="s">
        <v>347</v>
      </c>
      <c r="B356" s="56"/>
      <c r="C356" s="57"/>
      <c r="D356" s="57"/>
      <c r="E356" s="58"/>
      <c r="F356" s="57"/>
      <c r="G356" s="57"/>
      <c r="H356" s="58"/>
      <c r="I356" s="58"/>
      <c r="J356" s="58"/>
      <c r="K356" s="58"/>
      <c r="L356" s="57"/>
      <c r="M356" s="57"/>
      <c r="N356" s="58"/>
      <c r="O356" s="57"/>
      <c r="P356" s="57"/>
      <c r="Q356" s="58"/>
      <c r="R356" s="57"/>
      <c r="S356" s="57"/>
      <c r="T356" s="58"/>
      <c r="U356" s="58"/>
      <c r="V356" s="58"/>
      <c r="W356" s="58"/>
      <c r="X356" s="75"/>
      <c r="Y356" s="75"/>
      <c r="Z356" s="58"/>
      <c r="AA356" s="58"/>
      <c r="AB356" s="58"/>
      <c r="AC356" s="58"/>
      <c r="AD356" s="58"/>
      <c r="AE356" s="58"/>
      <c r="AF356" s="58"/>
      <c r="AG356" s="58"/>
    </row>
    <row r="357" spans="1:33" ht="15" customHeight="1">
      <c r="A357" s="33" t="s">
        <v>348</v>
      </c>
      <c r="B357" s="52">
        <f>'Расчет субсидий'!AT357</f>
        <v>6.6636363636363853</v>
      </c>
      <c r="C357" s="54">
        <f>'Расчет субсидий'!D357-1</f>
        <v>-0.1392592592592593</v>
      </c>
      <c r="D357" s="54">
        <f>C357*'Расчет субсидий'!E357</f>
        <v>-1.392592592592593</v>
      </c>
      <c r="E357" s="55">
        <f t="shared" ref="E357:E368" si="119">$B357*D357/$AG357</f>
        <v>-6.9563697454725544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4">
        <f>'Расчет субсидий'!P357-1</f>
        <v>-0.23222477064220182</v>
      </c>
      <c r="M357" s="54">
        <f>L357*'Расчет субсидий'!Q357</f>
        <v>-4.6444954128440363</v>
      </c>
      <c r="N357" s="55">
        <f t="shared" ref="N357:N368" si="120">$B357*M357/$AG357</f>
        <v>-23.200487741174101</v>
      </c>
      <c r="O357" s="54">
        <f>'Расчет субсидий'!T357-1</f>
        <v>0.21333333333333337</v>
      </c>
      <c r="P357" s="54">
        <f>O357*'Расчет субсидий'!U357</f>
        <v>3.2000000000000006</v>
      </c>
      <c r="Q357" s="55">
        <f t="shared" ref="Q357:Q368" si="121">$B357*P357/$AG357</f>
        <v>15.984849627894379</v>
      </c>
      <c r="R357" s="54">
        <f>'Расчет субсидий'!X357-1</f>
        <v>0</v>
      </c>
      <c r="S357" s="54">
        <f>R357*'Расчет субсидий'!Y357</f>
        <v>0</v>
      </c>
      <c r="T357" s="55">
        <f t="shared" ref="T357:T368" si="122">$B357*S357/$AG357</f>
        <v>0</v>
      </c>
      <c r="U357" s="60" t="s">
        <v>385</v>
      </c>
      <c r="V357" s="60" t="s">
        <v>385</v>
      </c>
      <c r="W357" s="61" t="s">
        <v>385</v>
      </c>
      <c r="X357" s="73">
        <f>'Расчет субсидий'!AF357-1</f>
        <v>0.2085539215686274</v>
      </c>
      <c r="Y357" s="73">
        <f>X357*'Расчет субсидий'!AG357</f>
        <v>4.171078431372548</v>
      </c>
      <c r="Z357" s="55">
        <f t="shared" si="101"/>
        <v>20.835644222388666</v>
      </c>
      <c r="AA357" s="27" t="s">
        <v>367</v>
      </c>
      <c r="AB357" s="27" t="s">
        <v>367</v>
      </c>
      <c r="AC357" s="27" t="s">
        <v>367</v>
      </c>
      <c r="AD357" s="27" t="s">
        <v>367</v>
      </c>
      <c r="AE357" s="27" t="s">
        <v>367</v>
      </c>
      <c r="AF357" s="27" t="s">
        <v>367</v>
      </c>
      <c r="AG357" s="54">
        <f t="shared" si="102"/>
        <v>1.333990425935919</v>
      </c>
    </row>
    <row r="358" spans="1:33" ht="15" customHeight="1">
      <c r="A358" s="33" t="s">
        <v>349</v>
      </c>
      <c r="B358" s="52">
        <f>'Расчет субсидий'!AT358</f>
        <v>-11.154545454545428</v>
      </c>
      <c r="C358" s="54">
        <f>'Расчет субсидий'!D358-1</f>
        <v>-1</v>
      </c>
      <c r="D358" s="54">
        <f>C358*'Расчет субсидий'!E358</f>
        <v>0</v>
      </c>
      <c r="E358" s="55">
        <f t="shared" si="119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4">
        <f>'Расчет субсидий'!P358-1</f>
        <v>-0.32378725891291638</v>
      </c>
      <c r="M358" s="54">
        <f>L358*'Расчет субсидий'!Q358</f>
        <v>-6.4757451782583271</v>
      </c>
      <c r="N358" s="55">
        <f t="shared" si="120"/>
        <v>-28.55141406761485</v>
      </c>
      <c r="O358" s="54">
        <f>'Расчет субсидий'!T358-1</f>
        <v>0.10000000000000009</v>
      </c>
      <c r="P358" s="54">
        <f>O358*'Расчет субсидий'!U358</f>
        <v>2.5000000000000022</v>
      </c>
      <c r="Q358" s="55">
        <f t="shared" si="121"/>
        <v>11.022443472402767</v>
      </c>
      <c r="R358" s="54">
        <f>'Расчет субсидий'!X358-1</f>
        <v>0</v>
      </c>
      <c r="S358" s="54">
        <f>R358*'Расчет субсидий'!Y358</f>
        <v>0</v>
      </c>
      <c r="T358" s="55">
        <f t="shared" si="122"/>
        <v>0</v>
      </c>
      <c r="U358" s="60" t="s">
        <v>385</v>
      </c>
      <c r="V358" s="60" t="s">
        <v>385</v>
      </c>
      <c r="W358" s="61" t="s">
        <v>385</v>
      </c>
      <c r="X358" s="73">
        <f>'Расчет субсидий'!AF358-1</f>
        <v>7.2289156626506035E-2</v>
      </c>
      <c r="Y358" s="73">
        <f>X358*'Расчет субсидий'!AG358</f>
        <v>1.4457831325301207</v>
      </c>
      <c r="Z358" s="55">
        <f t="shared" si="101"/>
        <v>6.3744251406666548</v>
      </c>
      <c r="AA358" s="27" t="s">
        <v>367</v>
      </c>
      <c r="AB358" s="27" t="s">
        <v>367</v>
      </c>
      <c r="AC358" s="27" t="s">
        <v>367</v>
      </c>
      <c r="AD358" s="27" t="s">
        <v>367</v>
      </c>
      <c r="AE358" s="27" t="s">
        <v>367</v>
      </c>
      <c r="AF358" s="27" t="s">
        <v>367</v>
      </c>
      <c r="AG358" s="54">
        <f t="shared" si="102"/>
        <v>-2.5299620457282042</v>
      </c>
    </row>
    <row r="359" spans="1:33" ht="15" customHeight="1">
      <c r="A359" s="33" t="s">
        <v>350</v>
      </c>
      <c r="B359" s="52">
        <f>'Расчет субсидий'!AT359</f>
        <v>-0.29090909090909101</v>
      </c>
      <c r="C359" s="54">
        <f>'Расчет субсидий'!D359-1</f>
        <v>-1.1458333333333348E-2</v>
      </c>
      <c r="D359" s="54">
        <f>C359*'Расчет субсидий'!E359</f>
        <v>-0.11458333333333348</v>
      </c>
      <c r="E359" s="55">
        <f t="shared" si="119"/>
        <v>-4.1467688164157166E-3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4">
        <f>'Расчет субсидий'!P359-1</f>
        <v>-0.46761876425666971</v>
      </c>
      <c r="M359" s="54">
        <f>L359*'Расчет субсидий'!Q359</f>
        <v>-9.3523752851333946</v>
      </c>
      <c r="N359" s="55">
        <f t="shared" si="120"/>
        <v>-0.33846229694668933</v>
      </c>
      <c r="O359" s="54">
        <f>'Расчет субсидий'!T359-1</f>
        <v>0</v>
      </c>
      <c r="P359" s="54">
        <f>O359*'Расчет субсидий'!U359</f>
        <v>0</v>
      </c>
      <c r="Q359" s="55">
        <f t="shared" si="121"/>
        <v>0</v>
      </c>
      <c r="R359" s="54">
        <f>'Расчет субсидий'!X359-1</f>
        <v>0</v>
      </c>
      <c r="S359" s="54">
        <f>R359*'Расчет субсидий'!Y359</f>
        <v>0</v>
      </c>
      <c r="T359" s="55">
        <f t="shared" si="122"/>
        <v>0</v>
      </c>
      <c r="U359" s="60" t="s">
        <v>385</v>
      </c>
      <c r="V359" s="60" t="s">
        <v>385</v>
      </c>
      <c r="W359" s="61" t="s">
        <v>385</v>
      </c>
      <c r="X359" s="73">
        <f>'Расчет субсидий'!AF359-1</f>
        <v>7.1428571428571397E-2</v>
      </c>
      <c r="Y359" s="73">
        <f>X359*'Расчет субсидий'!AG359</f>
        <v>1.4285714285714279</v>
      </c>
      <c r="Z359" s="55">
        <f t="shared" si="101"/>
        <v>5.1699974854014036E-2</v>
      </c>
      <c r="AA359" s="27" t="s">
        <v>367</v>
      </c>
      <c r="AB359" s="27" t="s">
        <v>367</v>
      </c>
      <c r="AC359" s="27" t="s">
        <v>367</v>
      </c>
      <c r="AD359" s="27" t="s">
        <v>367</v>
      </c>
      <c r="AE359" s="27" t="s">
        <v>367</v>
      </c>
      <c r="AF359" s="27" t="s">
        <v>367</v>
      </c>
      <c r="AG359" s="54">
        <f t="shared" si="102"/>
        <v>-8.0383871898952997</v>
      </c>
    </row>
    <row r="360" spans="1:33" ht="15" customHeight="1">
      <c r="A360" s="33" t="s">
        <v>351</v>
      </c>
      <c r="B360" s="52">
        <f>'Расчет субсидий'!AT360</f>
        <v>-10.590909090909065</v>
      </c>
      <c r="C360" s="54">
        <f>'Расчет субсидий'!D360-1</f>
        <v>-1</v>
      </c>
      <c r="D360" s="54">
        <f>C360*'Расчет субсидий'!E360</f>
        <v>0</v>
      </c>
      <c r="E360" s="55">
        <f t="shared" si="119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4">
        <f>'Расчет субсидий'!P360-1</f>
        <v>-0.18360071301247782</v>
      </c>
      <c r="M360" s="54">
        <f>L360*'Расчет субсидий'!Q360</f>
        <v>-3.6720142602495565</v>
      </c>
      <c r="N360" s="55">
        <f t="shared" si="120"/>
        <v>-10.590909090909065</v>
      </c>
      <c r="O360" s="54">
        <f>'Расчет субсидий'!T360-1</f>
        <v>0</v>
      </c>
      <c r="P360" s="54">
        <f>O360*'Расчет субсидий'!U360</f>
        <v>0</v>
      </c>
      <c r="Q360" s="55">
        <f t="shared" si="121"/>
        <v>0</v>
      </c>
      <c r="R360" s="54">
        <f>'Расчет субсидий'!X360-1</f>
        <v>0</v>
      </c>
      <c r="S360" s="54">
        <f>R360*'Расчет субсидий'!Y360</f>
        <v>0</v>
      </c>
      <c r="T360" s="55">
        <f t="shared" si="122"/>
        <v>0</v>
      </c>
      <c r="U360" s="60" t="s">
        <v>385</v>
      </c>
      <c r="V360" s="60" t="s">
        <v>385</v>
      </c>
      <c r="W360" s="61" t="s">
        <v>385</v>
      </c>
      <c r="X360" s="73">
        <f>'Расчет субсидий'!AF360-1</f>
        <v>0</v>
      </c>
      <c r="Y360" s="73">
        <f>X360*'Расчет субсидий'!AG360</f>
        <v>0</v>
      </c>
      <c r="Z360" s="55">
        <f t="shared" si="101"/>
        <v>0</v>
      </c>
      <c r="AA360" s="27" t="s">
        <v>367</v>
      </c>
      <c r="AB360" s="27" t="s">
        <v>367</v>
      </c>
      <c r="AC360" s="27" t="s">
        <v>367</v>
      </c>
      <c r="AD360" s="27" t="s">
        <v>367</v>
      </c>
      <c r="AE360" s="27" t="s">
        <v>367</v>
      </c>
      <c r="AF360" s="27" t="s">
        <v>367</v>
      </c>
      <c r="AG360" s="54">
        <f t="shared" si="102"/>
        <v>-3.6720142602495565</v>
      </c>
    </row>
    <row r="361" spans="1:33" ht="15" customHeight="1">
      <c r="A361" s="33" t="s">
        <v>352</v>
      </c>
      <c r="B361" s="52">
        <f>'Расчет субсидий'!AT361</f>
        <v>-27.072727272727263</v>
      </c>
      <c r="C361" s="54">
        <f>'Расчет субсидий'!D361-1</f>
        <v>-8.0471910112359546E-2</v>
      </c>
      <c r="D361" s="54">
        <f>C361*'Расчет субсидий'!E361</f>
        <v>-0.80471910112359546</v>
      </c>
      <c r="E361" s="55">
        <f t="shared" si="119"/>
        <v>-3.8421110178462556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4">
        <f>'Расчет субсидий'!P361-1</f>
        <v>-0.3652754116978989</v>
      </c>
      <c r="M361" s="54">
        <f>L361*'Расчет субсидий'!Q361</f>
        <v>-7.305508233957978</v>
      </c>
      <c r="N361" s="55">
        <f t="shared" si="120"/>
        <v>-34.879964496264002</v>
      </c>
      <c r="O361" s="54">
        <f>'Расчет субсидий'!T361-1</f>
        <v>0.10000000000000009</v>
      </c>
      <c r="P361" s="54">
        <f>O361*'Расчет субсидий'!U361</f>
        <v>2.0000000000000018</v>
      </c>
      <c r="Q361" s="55">
        <f t="shared" si="121"/>
        <v>9.5489494718882195</v>
      </c>
      <c r="R361" s="54">
        <f>'Расчет субсидий'!X361-1</f>
        <v>2.4999999999999911E-2</v>
      </c>
      <c r="S361" s="54">
        <f>R361*'Расчет субсидий'!Y361</f>
        <v>0.74999999999999734</v>
      </c>
      <c r="T361" s="55">
        <f t="shared" si="122"/>
        <v>3.5808560519580661</v>
      </c>
      <c r="U361" s="60" t="s">
        <v>385</v>
      </c>
      <c r="V361" s="60" t="s">
        <v>385</v>
      </c>
      <c r="W361" s="61" t="s">
        <v>385</v>
      </c>
      <c r="X361" s="73">
        <f>'Расчет субсидий'!AF361-1</f>
        <v>-1.5503875968992276E-2</v>
      </c>
      <c r="Y361" s="73">
        <f>X361*'Расчет субсидий'!AG361</f>
        <v>-0.31007751937984551</v>
      </c>
      <c r="Z361" s="55">
        <f t="shared" si="101"/>
        <v>-1.4804572824632911</v>
      </c>
      <c r="AA361" s="27" t="s">
        <v>367</v>
      </c>
      <c r="AB361" s="27" t="s">
        <v>367</v>
      </c>
      <c r="AC361" s="27" t="s">
        <v>367</v>
      </c>
      <c r="AD361" s="27" t="s">
        <v>367</v>
      </c>
      <c r="AE361" s="27" t="s">
        <v>367</v>
      </c>
      <c r="AF361" s="27" t="s">
        <v>367</v>
      </c>
      <c r="AG361" s="54">
        <f t="shared" si="102"/>
        <v>-5.6703048544614196</v>
      </c>
    </row>
    <row r="362" spans="1:33" ht="15" customHeight="1">
      <c r="A362" s="33" t="s">
        <v>353</v>
      </c>
      <c r="B362" s="52">
        <f>'Расчет субсидий'!AT362</f>
        <v>-21.31818181818187</v>
      </c>
      <c r="C362" s="54">
        <f>'Расчет субсидий'!D362-1</f>
        <v>0.20649999999999991</v>
      </c>
      <c r="D362" s="54">
        <f>C362*'Расчет субсидий'!E362</f>
        <v>2.0649999999999991</v>
      </c>
      <c r="E362" s="55">
        <f t="shared" si="119"/>
        <v>14.193320576170199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4">
        <f>'Расчет субсидий'!P362-1</f>
        <v>-0.48064653339004682</v>
      </c>
      <c r="M362" s="54">
        <f>L362*'Расчет субсидий'!Q362</f>
        <v>-9.6129306678009367</v>
      </c>
      <c r="N362" s="55">
        <f t="shared" si="120"/>
        <v>-66.072351886003204</v>
      </c>
      <c r="O362" s="54">
        <f>'Расчет субсидий'!T362-1</f>
        <v>0.1333333333333333</v>
      </c>
      <c r="P362" s="54">
        <f>O362*'Расчет субсидий'!U362</f>
        <v>2.6666666666666661</v>
      </c>
      <c r="Q362" s="55">
        <f t="shared" si="121"/>
        <v>18.328743278347314</v>
      </c>
      <c r="R362" s="54">
        <f>'Расчет субсидий'!X362-1</f>
        <v>0</v>
      </c>
      <c r="S362" s="54">
        <f>R362*'Расчет субсидий'!Y362</f>
        <v>0</v>
      </c>
      <c r="T362" s="55">
        <f t="shared" si="122"/>
        <v>0</v>
      </c>
      <c r="U362" s="60" t="s">
        <v>385</v>
      </c>
      <c r="V362" s="60" t="s">
        <v>385</v>
      </c>
      <c r="W362" s="61" t="s">
        <v>385</v>
      </c>
      <c r="X362" s="73">
        <f>'Расчет субсидий'!AF362-1</f>
        <v>8.8983050847457612E-2</v>
      </c>
      <c r="Y362" s="73">
        <f>X362*'Расчет субсидий'!AG362</f>
        <v>1.7796610169491522</v>
      </c>
      <c r="Z362" s="55">
        <f t="shared" si="101"/>
        <v>12.232106213303823</v>
      </c>
      <c r="AA362" s="27" t="s">
        <v>367</v>
      </c>
      <c r="AB362" s="27" t="s">
        <v>367</v>
      </c>
      <c r="AC362" s="27" t="s">
        <v>367</v>
      </c>
      <c r="AD362" s="27" t="s">
        <v>367</v>
      </c>
      <c r="AE362" s="27" t="s">
        <v>367</v>
      </c>
      <c r="AF362" s="27" t="s">
        <v>367</v>
      </c>
      <c r="AG362" s="54">
        <f t="shared" si="102"/>
        <v>-3.1016029841851189</v>
      </c>
    </row>
    <row r="363" spans="1:33" ht="15" customHeight="1">
      <c r="A363" s="33" t="s">
        <v>354</v>
      </c>
      <c r="B363" s="52">
        <f>'Расчет субсидий'!AT363</f>
        <v>4.1909090909090878</v>
      </c>
      <c r="C363" s="54">
        <f>'Расчет субсидий'!D363-1</f>
        <v>-0.49018518518518517</v>
      </c>
      <c r="D363" s="54">
        <f>C363*'Расчет субсидий'!E363</f>
        <v>-4.9018518518518519</v>
      </c>
      <c r="E363" s="55">
        <f t="shared" si="119"/>
        <v>-13.784571170368988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4">
        <f>'Расчет субсидий'!P363-1</f>
        <v>0.30000000000000004</v>
      </c>
      <c r="M363" s="54">
        <f>L363*'Расчет субсидий'!Q363</f>
        <v>6.0000000000000009</v>
      </c>
      <c r="N363" s="55">
        <f t="shared" si="120"/>
        <v>16.87269006119967</v>
      </c>
      <c r="O363" s="54">
        <f>'Расчет субсидий'!T363-1</f>
        <v>0</v>
      </c>
      <c r="P363" s="54">
        <f>O363*'Расчет субсидий'!U363</f>
        <v>0</v>
      </c>
      <c r="Q363" s="55">
        <f t="shared" si="121"/>
        <v>0</v>
      </c>
      <c r="R363" s="54">
        <f>'Расчет субсидий'!X363-1</f>
        <v>0</v>
      </c>
      <c r="S363" s="54">
        <f>R363*'Расчет субсидий'!Y363</f>
        <v>0</v>
      </c>
      <c r="T363" s="55">
        <f t="shared" si="122"/>
        <v>0</v>
      </c>
      <c r="U363" s="60" t="s">
        <v>385</v>
      </c>
      <c r="V363" s="60" t="s">
        <v>385</v>
      </c>
      <c r="W363" s="61" t="s">
        <v>385</v>
      </c>
      <c r="X363" s="73">
        <f>'Расчет субсидий'!AF363-1</f>
        <v>1.9607843137254832E-2</v>
      </c>
      <c r="Y363" s="73">
        <f>X363*'Расчет субсидий'!AG363</f>
        <v>0.39215686274509665</v>
      </c>
      <c r="Z363" s="55">
        <f t="shared" si="101"/>
        <v>1.1027902000784058</v>
      </c>
      <c r="AA363" s="27" t="s">
        <v>367</v>
      </c>
      <c r="AB363" s="27" t="s">
        <v>367</v>
      </c>
      <c r="AC363" s="27" t="s">
        <v>367</v>
      </c>
      <c r="AD363" s="27" t="s">
        <v>367</v>
      </c>
      <c r="AE363" s="27" t="s">
        <v>367</v>
      </c>
      <c r="AF363" s="27" t="s">
        <v>367</v>
      </c>
      <c r="AG363" s="54">
        <f t="shared" si="102"/>
        <v>1.4903050108932456</v>
      </c>
    </row>
    <row r="364" spans="1:33" ht="15" customHeight="1">
      <c r="A364" s="33" t="s">
        <v>355</v>
      </c>
      <c r="B364" s="52">
        <f>'Расчет субсидий'!AT364</f>
        <v>-83.727272727272748</v>
      </c>
      <c r="C364" s="54">
        <f>'Расчет субсидий'!D364-1</f>
        <v>-1</v>
      </c>
      <c r="D364" s="54">
        <f>C364*'Расчет субсидий'!E364</f>
        <v>0</v>
      </c>
      <c r="E364" s="55">
        <f t="shared" si="119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4">
        <f>'Расчет субсидий'!P364-1</f>
        <v>0.22424083769633496</v>
      </c>
      <c r="M364" s="54">
        <f>L364*'Расчет субсидий'!Q364</f>
        <v>4.4848167539266992</v>
      </c>
      <c r="N364" s="55">
        <f t="shared" si="120"/>
        <v>17.186589035604943</v>
      </c>
      <c r="O364" s="54">
        <f>'Расчет субсидий'!T364-1</f>
        <v>0</v>
      </c>
      <c r="P364" s="54">
        <f>O364*'Расчет субсидий'!U364</f>
        <v>0</v>
      </c>
      <c r="Q364" s="55">
        <f t="shared" si="121"/>
        <v>0</v>
      </c>
      <c r="R364" s="54">
        <f>'Расчет субсидий'!X364-1</f>
        <v>-1</v>
      </c>
      <c r="S364" s="54">
        <f>R364*'Расчет субсидий'!Y364</f>
        <v>-25</v>
      </c>
      <c r="T364" s="55">
        <f t="shared" si="122"/>
        <v>-95.804299141972507</v>
      </c>
      <c r="U364" s="60" t="s">
        <v>385</v>
      </c>
      <c r="V364" s="60" t="s">
        <v>385</v>
      </c>
      <c r="W364" s="61" t="s">
        <v>385</v>
      </c>
      <c r="X364" s="73">
        <f>'Расчет субсидий'!AF364-1</f>
        <v>-6.6666666666666652E-2</v>
      </c>
      <c r="Y364" s="73">
        <f>X364*'Расчет субсидий'!AG364</f>
        <v>-1.333333333333333</v>
      </c>
      <c r="Z364" s="55">
        <f t="shared" si="101"/>
        <v>-5.1095626209051987</v>
      </c>
      <c r="AA364" s="27" t="s">
        <v>367</v>
      </c>
      <c r="AB364" s="27" t="s">
        <v>367</v>
      </c>
      <c r="AC364" s="27" t="s">
        <v>367</v>
      </c>
      <c r="AD364" s="27" t="s">
        <v>367</v>
      </c>
      <c r="AE364" s="27" t="s">
        <v>367</v>
      </c>
      <c r="AF364" s="27" t="s">
        <v>367</v>
      </c>
      <c r="AG364" s="54">
        <f t="shared" si="102"/>
        <v>-21.848516579406631</v>
      </c>
    </row>
    <row r="365" spans="1:33" ht="15" customHeight="1">
      <c r="A365" s="33" t="s">
        <v>356</v>
      </c>
      <c r="B365" s="52">
        <f>'Расчет субсидий'!AT365</f>
        <v>79.24545454545455</v>
      </c>
      <c r="C365" s="54">
        <f>'Расчет субсидий'!D365-1</f>
        <v>-1</v>
      </c>
      <c r="D365" s="54">
        <f>C365*'Расчет субсидий'!E365</f>
        <v>0</v>
      </c>
      <c r="E365" s="55">
        <f t="shared" si="119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4">
        <f>'Расчет субсидий'!P365-1</f>
        <v>0.22409937888198761</v>
      </c>
      <c r="M365" s="54">
        <f>L365*'Расчет субсидий'!Q365</f>
        <v>4.4819875776397522</v>
      </c>
      <c r="N365" s="55">
        <f t="shared" si="120"/>
        <v>25.826823986660514</v>
      </c>
      <c r="O365" s="54">
        <f>'Расчет субсидий'!T365-1</f>
        <v>0</v>
      </c>
      <c r="P365" s="54">
        <f>O365*'Расчет субсидий'!U365</f>
        <v>0</v>
      </c>
      <c r="Q365" s="55">
        <f t="shared" si="121"/>
        <v>0</v>
      </c>
      <c r="R365" s="54">
        <f>'Расчет субсидий'!X365-1</f>
        <v>0.30000000000000004</v>
      </c>
      <c r="S365" s="54">
        <f>R365*'Расчет субсидий'!Y365</f>
        <v>9.0000000000000018</v>
      </c>
      <c r="T365" s="55">
        <f t="shared" si="122"/>
        <v>51.861236081861257</v>
      </c>
      <c r="U365" s="60" t="s">
        <v>385</v>
      </c>
      <c r="V365" s="60" t="s">
        <v>385</v>
      </c>
      <c r="W365" s="61" t="s">
        <v>385</v>
      </c>
      <c r="X365" s="73">
        <f>'Расчет субсидий'!AF365-1</f>
        <v>1.3513513513513598E-2</v>
      </c>
      <c r="Y365" s="73">
        <f>X365*'Расчет субсидий'!AG365</f>
        <v>0.27027027027027195</v>
      </c>
      <c r="Z365" s="55">
        <f t="shared" si="101"/>
        <v>1.5573944769327799</v>
      </c>
      <c r="AA365" s="27" t="s">
        <v>367</v>
      </c>
      <c r="AB365" s="27" t="s">
        <v>367</v>
      </c>
      <c r="AC365" s="27" t="s">
        <v>367</v>
      </c>
      <c r="AD365" s="27" t="s">
        <v>367</v>
      </c>
      <c r="AE365" s="27" t="s">
        <v>367</v>
      </c>
      <c r="AF365" s="27" t="s">
        <v>367</v>
      </c>
      <c r="AG365" s="54">
        <f t="shared" si="102"/>
        <v>13.752257847910025</v>
      </c>
    </row>
    <row r="366" spans="1:33" ht="15" customHeight="1">
      <c r="A366" s="33" t="s">
        <v>357</v>
      </c>
      <c r="B366" s="52">
        <f>'Расчет субсидий'!AT366</f>
        <v>46.300000000000011</v>
      </c>
      <c r="C366" s="54">
        <f>'Расчет субсидий'!D366-1</f>
        <v>-1</v>
      </c>
      <c r="D366" s="54">
        <f>C366*'Расчет субсидий'!E366</f>
        <v>0</v>
      </c>
      <c r="E366" s="55">
        <f t="shared" si="119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4">
        <f>'Расчет субсидий'!P366-1</f>
        <v>0.28397111913357387</v>
      </c>
      <c r="M366" s="54">
        <f>L366*'Расчет субсидий'!Q366</f>
        <v>5.6794223826714774</v>
      </c>
      <c r="N366" s="55">
        <f t="shared" si="120"/>
        <v>28.010662428016104</v>
      </c>
      <c r="O366" s="54">
        <f>'Расчет субсидий'!T366-1</f>
        <v>0.17500000000000004</v>
      </c>
      <c r="P366" s="54">
        <f>O366*'Расчет субсидий'!U366</f>
        <v>3.5000000000000009</v>
      </c>
      <c r="Q366" s="55">
        <f t="shared" si="121"/>
        <v>17.261846697153338</v>
      </c>
      <c r="R366" s="54">
        <f>'Расчет субсидий'!X366-1</f>
        <v>0</v>
      </c>
      <c r="S366" s="54">
        <f>R366*'Расчет субсидий'!Y366</f>
        <v>0</v>
      </c>
      <c r="T366" s="55">
        <f t="shared" si="122"/>
        <v>0</v>
      </c>
      <c r="U366" s="60" t="s">
        <v>385</v>
      </c>
      <c r="V366" s="60" t="s">
        <v>385</v>
      </c>
      <c r="W366" s="61" t="s">
        <v>385</v>
      </c>
      <c r="X366" s="73">
        <f>'Расчет субсидий'!AF366-1</f>
        <v>1.0416666666666741E-2</v>
      </c>
      <c r="Y366" s="73">
        <f>X366*'Расчет субсидий'!AG366</f>
        <v>0.20833333333333481</v>
      </c>
      <c r="Z366" s="55">
        <f t="shared" si="101"/>
        <v>1.0274908748305629</v>
      </c>
      <c r="AA366" s="27" t="s">
        <v>367</v>
      </c>
      <c r="AB366" s="27" t="s">
        <v>367</v>
      </c>
      <c r="AC366" s="27" t="s">
        <v>367</v>
      </c>
      <c r="AD366" s="27" t="s">
        <v>367</v>
      </c>
      <c r="AE366" s="27" t="s">
        <v>367</v>
      </c>
      <c r="AF366" s="27" t="s">
        <v>367</v>
      </c>
      <c r="AG366" s="54">
        <f t="shared" si="102"/>
        <v>9.3877557160048148</v>
      </c>
    </row>
    <row r="367" spans="1:33" ht="15" customHeight="1">
      <c r="A367" s="33" t="s">
        <v>358</v>
      </c>
      <c r="B367" s="52">
        <f>'Расчет субсидий'!AT367</f>
        <v>33.336363636363615</v>
      </c>
      <c r="C367" s="54">
        <f>'Расчет субсидий'!D367-1</f>
        <v>0.15754385964912276</v>
      </c>
      <c r="D367" s="54">
        <f>C367*'Расчет субсидий'!E367</f>
        <v>1.5754385964912276</v>
      </c>
      <c r="E367" s="55">
        <f t="shared" si="119"/>
        <v>5.3655321303147545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4">
        <f>'Расчет субсидий'!P367-1</f>
        <v>0.20278551532033418</v>
      </c>
      <c r="M367" s="54">
        <f>L367*'Расчет субсидий'!Q367</f>
        <v>4.0557103064066835</v>
      </c>
      <c r="N367" s="55">
        <f t="shared" si="120"/>
        <v>13.812689373447711</v>
      </c>
      <c r="O367" s="54">
        <f>'Расчет субсидий'!T367-1</f>
        <v>0.2649999999999999</v>
      </c>
      <c r="P367" s="54">
        <f>O367*'Расчет субсидий'!U367</f>
        <v>5.299999999999998</v>
      </c>
      <c r="Q367" s="55">
        <f t="shared" si="121"/>
        <v>18.050414883831706</v>
      </c>
      <c r="R367" s="54">
        <f>'Расчет субсидий'!X367-1</f>
        <v>0</v>
      </c>
      <c r="S367" s="54">
        <f>R367*'Расчет субсидий'!Y367</f>
        <v>0</v>
      </c>
      <c r="T367" s="55">
        <f t="shared" si="122"/>
        <v>0</v>
      </c>
      <c r="U367" s="60" t="s">
        <v>385</v>
      </c>
      <c r="V367" s="60" t="s">
        <v>385</v>
      </c>
      <c r="W367" s="61" t="s">
        <v>385</v>
      </c>
      <c r="X367" s="73">
        <f>'Расчет субсидий'!AF367-1</f>
        <v>-5.7142857142857162E-2</v>
      </c>
      <c r="Y367" s="73">
        <f>X367*'Расчет субсидий'!AG367</f>
        <v>-1.1428571428571432</v>
      </c>
      <c r="Z367" s="55">
        <f t="shared" si="101"/>
        <v>-3.8922727512305588</v>
      </c>
      <c r="AA367" s="27" t="s">
        <v>367</v>
      </c>
      <c r="AB367" s="27" t="s">
        <v>367</v>
      </c>
      <c r="AC367" s="27" t="s">
        <v>367</v>
      </c>
      <c r="AD367" s="27" t="s">
        <v>367</v>
      </c>
      <c r="AE367" s="27" t="s">
        <v>367</v>
      </c>
      <c r="AF367" s="27" t="s">
        <v>367</v>
      </c>
      <c r="AG367" s="54">
        <f t="shared" si="102"/>
        <v>9.7882917600407673</v>
      </c>
    </row>
    <row r="368" spans="1:33" ht="15" customHeight="1">
      <c r="A368" s="33" t="s">
        <v>359</v>
      </c>
      <c r="B368" s="52">
        <f>'Расчет субсидий'!AT368</f>
        <v>-80.981818181818198</v>
      </c>
      <c r="C368" s="54">
        <f>'Расчет субсидий'!D368-1</f>
        <v>-6.4261838440110575E-3</v>
      </c>
      <c r="D368" s="54">
        <f>C368*'Расчет субсидий'!E368</f>
        <v>-6.4261838440110575E-2</v>
      </c>
      <c r="E368" s="55">
        <f t="shared" si="119"/>
        <v>-0.22684690974843263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4">
        <f>'Расчет субсидий'!P368-1</f>
        <v>-0.1438249088066702</v>
      </c>
      <c r="M368" s="54">
        <f>L368*'Расчет субсидий'!Q368</f>
        <v>-2.8764981761334041</v>
      </c>
      <c r="N368" s="55">
        <f t="shared" si="120"/>
        <v>-10.154155841043856</v>
      </c>
      <c r="O368" s="54">
        <f>'Расчет субсидий'!T368-1</f>
        <v>-1</v>
      </c>
      <c r="P368" s="54">
        <f>O368*'Расчет субсидий'!U368</f>
        <v>-20</v>
      </c>
      <c r="Q368" s="55">
        <f t="shared" si="121"/>
        <v>-70.600815431025921</v>
      </c>
      <c r="R368" s="54">
        <f>'Расчет субсидий'!X368-1</f>
        <v>0</v>
      </c>
      <c r="S368" s="54">
        <f>R368*'Расчет субсидий'!Y368</f>
        <v>0</v>
      </c>
      <c r="T368" s="55">
        <f t="shared" si="122"/>
        <v>0</v>
      </c>
      <c r="U368" s="60" t="s">
        <v>385</v>
      </c>
      <c r="V368" s="60" t="s">
        <v>385</v>
      </c>
      <c r="W368" s="61" t="s">
        <v>385</v>
      </c>
      <c r="X368" s="73">
        <f>'Расчет субсидий'!AF368-1</f>
        <v>0</v>
      </c>
      <c r="Y368" s="73">
        <f>X368*'Расчет субсидий'!AG368</f>
        <v>0</v>
      </c>
      <c r="Z368" s="55">
        <f t="shared" ref="Z368" si="123">$B368*Y368/$AG368</f>
        <v>0</v>
      </c>
      <c r="AA368" s="27" t="s">
        <v>367</v>
      </c>
      <c r="AB368" s="27" t="s">
        <v>367</v>
      </c>
      <c r="AC368" s="27" t="s">
        <v>367</v>
      </c>
      <c r="AD368" s="27" t="s">
        <v>367</v>
      </c>
      <c r="AE368" s="27" t="s">
        <v>367</v>
      </c>
      <c r="AF368" s="27" t="s">
        <v>367</v>
      </c>
      <c r="AG368" s="54">
        <f t="shared" ref="AG368" si="124">D368+M368+P368+S368+Y368</f>
        <v>-22.940760014573513</v>
      </c>
    </row>
    <row r="369" spans="1:34" s="50" customFormat="1" ht="15" customHeight="1">
      <c r="A369" s="49" t="s">
        <v>369</v>
      </c>
      <c r="B369" s="53">
        <f>'Расчет субсидий'!AT369</f>
        <v>-20756.672727272715</v>
      </c>
      <c r="C369" s="53"/>
      <c r="D369" s="53"/>
      <c r="E369" s="53">
        <f>E6+E17+E45</f>
        <v>-12506.983874904941</v>
      </c>
      <c r="F369" s="53"/>
      <c r="G369" s="53"/>
      <c r="H369" s="53">
        <f>H6+H17</f>
        <v>0</v>
      </c>
      <c r="I369" s="53"/>
      <c r="J369" s="53"/>
      <c r="K369" s="53">
        <f>K6+K17</f>
        <v>-15738.704010489526</v>
      </c>
      <c r="L369" s="53"/>
      <c r="M369" s="53"/>
      <c r="N369" s="53">
        <f>N6+N17+N45</f>
        <v>-3813.0801229108993</v>
      </c>
      <c r="O369" s="53"/>
      <c r="P369" s="53"/>
      <c r="Q369" s="53">
        <f>Q17+Q45</f>
        <v>2676.4172319597828</v>
      </c>
      <c r="R369" s="53"/>
      <c r="S369" s="53"/>
      <c r="T369" s="53">
        <f>T17+T45</f>
        <v>5246.9895370190061</v>
      </c>
      <c r="U369" s="53"/>
      <c r="V369" s="53"/>
      <c r="W369" s="53"/>
      <c r="X369" s="53"/>
      <c r="Y369" s="53"/>
      <c r="Z369" s="53">
        <f>Z17+Z45</f>
        <v>983.97106034051956</v>
      </c>
      <c r="AA369" s="53"/>
      <c r="AB369" s="53"/>
      <c r="AC369" s="53">
        <f>AC17</f>
        <v>853.3092182017208</v>
      </c>
      <c r="AD369" s="53"/>
      <c r="AE369" s="53"/>
      <c r="AF369" s="53">
        <f>AF17</f>
        <v>1541.4082335116179</v>
      </c>
      <c r="AG369" s="53"/>
      <c r="AH369" s="23"/>
    </row>
  </sheetData>
  <mergeCells count="14">
    <mergeCell ref="A1:AG1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2016-04-22T06:48:27Z</cp:lastPrinted>
  <dcterms:created xsi:type="dcterms:W3CDTF">2010-02-05T14:48:49Z</dcterms:created>
  <dcterms:modified xsi:type="dcterms:W3CDTF">2016-05-04T05:42:55Z</dcterms:modified>
</cp:coreProperties>
</file>