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codeName="ЭтаКнига" defaultThemeVersion="124226"/>
  <bookViews>
    <workbookView xWindow="-35" yWindow="311" windowWidth="13018" windowHeight="8283"/>
  </bookViews>
  <sheets>
    <sheet name="Расчет субсидий" sheetId="7" r:id="rId1"/>
    <sheet name="Плюсы и минусы" sheetId="8" r:id="rId2"/>
  </sheets>
  <definedNames>
    <definedName name="_xlnm._FilterDatabase" localSheetId="0" hidden="1">'Расчет субсидий'!$A$1:$Y$343</definedName>
    <definedName name="_xlnm.Print_Titles" localSheetId="1">'Плюсы и минусы'!$3:$4</definedName>
    <definedName name="_xlnm.Print_Titles" localSheetId="0">'Расчет субсидий'!$A:$A,'Расчет субсидий'!$3:$5</definedName>
    <definedName name="_xlnm.Print_Area" localSheetId="0">'Расчет субсидий'!$A$1:$BE$369</definedName>
  </definedNames>
  <calcPr calcId="125725"/>
</workbook>
</file>

<file path=xl/calcChain.xml><?xml version="1.0" encoding="utf-8"?>
<calcChain xmlns="http://schemas.openxmlformats.org/spreadsheetml/2006/main">
  <c r="W6" i="8"/>
  <c r="AG48"/>
  <c r="AG49"/>
  <c r="AG50"/>
  <c r="AG51"/>
  <c r="AG53"/>
  <c r="AG54"/>
  <c r="AG55"/>
  <c r="AG56"/>
  <c r="AG57"/>
  <c r="AG58"/>
  <c r="AG59"/>
  <c r="AG60"/>
  <c r="AG61"/>
  <c r="AG62"/>
  <c r="AG63"/>
  <c r="AG64"/>
  <c r="AG66"/>
  <c r="AG67"/>
  <c r="AG68"/>
  <c r="AG69"/>
  <c r="AG70"/>
  <c r="AG72"/>
  <c r="AG73"/>
  <c r="AG74"/>
  <c r="AG75"/>
  <c r="AG76"/>
  <c r="AG77"/>
  <c r="AG78"/>
  <c r="AG79"/>
  <c r="AG81"/>
  <c r="AG82"/>
  <c r="AG83"/>
  <c r="AG84"/>
  <c r="AG85"/>
  <c r="AG86"/>
  <c r="AG87"/>
  <c r="AG88"/>
  <c r="AG89"/>
  <c r="AG91"/>
  <c r="AG92"/>
  <c r="AG93"/>
  <c r="AG94"/>
  <c r="AG95"/>
  <c r="AG96"/>
  <c r="AG97"/>
  <c r="AG98"/>
  <c r="AG99"/>
  <c r="AG100"/>
  <c r="AG101"/>
  <c r="AG102"/>
  <c r="AG103"/>
  <c r="AG105"/>
  <c r="AG106"/>
  <c r="AG107"/>
  <c r="AG108"/>
  <c r="AG109"/>
  <c r="AG110"/>
  <c r="AG111"/>
  <c r="AG112"/>
  <c r="AG113"/>
  <c r="AG114"/>
  <c r="AG115"/>
  <c r="AG116"/>
  <c r="AG117"/>
  <c r="AG118"/>
  <c r="AG119"/>
  <c r="AG121"/>
  <c r="AG122"/>
  <c r="AG123"/>
  <c r="AG124"/>
  <c r="AG125"/>
  <c r="AG126"/>
  <c r="AG127"/>
  <c r="AG129"/>
  <c r="AG130"/>
  <c r="AG131"/>
  <c r="AG132"/>
  <c r="AG133"/>
  <c r="AG134"/>
  <c r="AG135"/>
  <c r="AG136"/>
  <c r="AG138"/>
  <c r="AG139"/>
  <c r="AG140"/>
  <c r="AG141"/>
  <c r="AG142"/>
  <c r="AG143"/>
  <c r="AG145"/>
  <c r="AG146"/>
  <c r="AG147"/>
  <c r="AG148"/>
  <c r="AG149"/>
  <c r="AG150"/>
  <c r="AG151"/>
  <c r="AG152"/>
  <c r="AG153"/>
  <c r="AG154"/>
  <c r="AG155"/>
  <c r="AG156"/>
  <c r="AG158"/>
  <c r="AG159"/>
  <c r="AG160"/>
  <c r="AG161"/>
  <c r="AG162"/>
  <c r="AG163"/>
  <c r="AG164"/>
  <c r="AG165"/>
  <c r="AG166"/>
  <c r="AG167"/>
  <c r="AG168"/>
  <c r="AG169"/>
  <c r="AG170"/>
  <c r="AG172"/>
  <c r="AG173"/>
  <c r="AG174"/>
  <c r="AG175"/>
  <c r="AG176"/>
  <c r="AG177"/>
  <c r="AG179"/>
  <c r="AG180"/>
  <c r="AG181"/>
  <c r="AG182"/>
  <c r="AG183"/>
  <c r="AG184"/>
  <c r="AG185"/>
  <c r="AG186"/>
  <c r="AG187"/>
  <c r="AG188"/>
  <c r="AG189"/>
  <c r="AG190"/>
  <c r="AG191"/>
  <c r="AG193"/>
  <c r="AG194"/>
  <c r="AG195"/>
  <c r="AG196"/>
  <c r="AG197"/>
  <c r="AG198"/>
  <c r="AG199"/>
  <c r="AG200"/>
  <c r="AG201"/>
  <c r="AG202"/>
  <c r="AG203"/>
  <c r="AG204"/>
  <c r="AG206"/>
  <c r="AG207"/>
  <c r="AG208"/>
  <c r="AG209"/>
  <c r="AG210"/>
  <c r="AG211"/>
  <c r="AG212"/>
  <c r="AG213"/>
  <c r="AG214"/>
  <c r="AG215"/>
  <c r="AG216"/>
  <c r="AG217"/>
  <c r="AG218"/>
  <c r="AG220"/>
  <c r="AG221"/>
  <c r="AG222"/>
  <c r="AG223"/>
  <c r="AG224"/>
  <c r="AG225"/>
  <c r="AG226"/>
  <c r="AG227"/>
  <c r="AG228"/>
  <c r="AG230"/>
  <c r="AG231"/>
  <c r="AG232"/>
  <c r="AG233"/>
  <c r="AG234"/>
  <c r="AG235"/>
  <c r="AG236"/>
  <c r="AG239"/>
  <c r="AG240"/>
  <c r="AG241"/>
  <c r="AG242"/>
  <c r="AG243"/>
  <c r="AG244"/>
  <c r="AG245"/>
  <c r="AG246"/>
  <c r="AG247"/>
  <c r="AG248"/>
  <c r="AG249"/>
  <c r="AG250"/>
  <c r="AG251"/>
  <c r="AG252"/>
  <c r="AG253"/>
  <c r="AG255"/>
  <c r="AG256"/>
  <c r="AG257"/>
  <c r="AG258"/>
  <c r="AG259"/>
  <c r="AG260"/>
  <c r="AG261"/>
  <c r="AG263"/>
  <c r="AG264"/>
  <c r="AG265"/>
  <c r="AG266"/>
  <c r="AG267"/>
  <c r="AG268"/>
  <c r="AG269"/>
  <c r="AG270"/>
  <c r="AG271"/>
  <c r="AG272"/>
  <c r="AG273"/>
  <c r="AG274"/>
  <c r="AG275"/>
  <c r="AG276"/>
  <c r="AG277"/>
  <c r="AG278"/>
  <c r="AG279"/>
  <c r="AG281"/>
  <c r="AG282"/>
  <c r="AG283"/>
  <c r="AG284"/>
  <c r="AG285"/>
  <c r="AG286"/>
  <c r="AG287"/>
  <c r="AG288"/>
  <c r="AG289"/>
  <c r="AG290"/>
  <c r="AG291"/>
  <c r="AG292"/>
  <c r="AG293"/>
  <c r="AG294"/>
  <c r="AG295"/>
  <c r="AG296"/>
  <c r="AG297"/>
  <c r="AG298"/>
  <c r="AG299"/>
  <c r="AG300"/>
  <c r="AG301"/>
  <c r="AG302"/>
  <c r="AG303"/>
  <c r="AG304"/>
  <c r="AG306"/>
  <c r="AG307"/>
  <c r="AG308"/>
  <c r="AG309"/>
  <c r="AG310"/>
  <c r="AG311"/>
  <c r="AG312"/>
  <c r="AG313"/>
  <c r="AG314"/>
  <c r="AG315"/>
  <c r="AG316"/>
  <c r="AG317"/>
  <c r="AG318"/>
  <c r="AG319"/>
  <c r="AG320"/>
  <c r="AG322"/>
  <c r="AG323"/>
  <c r="AG324"/>
  <c r="AG325"/>
  <c r="AG326"/>
  <c r="AG327"/>
  <c r="AG328"/>
  <c r="AG329"/>
  <c r="AG330"/>
  <c r="AG331"/>
  <c r="AG332"/>
  <c r="AG334"/>
  <c r="AG335"/>
  <c r="AG336"/>
  <c r="AG337"/>
  <c r="AG338"/>
  <c r="AG339"/>
  <c r="AG340"/>
  <c r="AG341"/>
  <c r="AG342"/>
  <c r="AG343"/>
  <c r="AG344"/>
  <c r="AG346"/>
  <c r="AG347"/>
  <c r="AG348"/>
  <c r="AG349"/>
  <c r="AG350"/>
  <c r="AG351"/>
  <c r="AG352"/>
  <c r="AG353"/>
  <c r="AG354"/>
  <c r="AG355"/>
  <c r="AG357"/>
  <c r="AG358"/>
  <c r="AG359"/>
  <c r="AG360"/>
  <c r="AG361"/>
  <c r="AG362"/>
  <c r="AG363"/>
  <c r="AG364"/>
  <c r="AG365"/>
  <c r="AG366"/>
  <c r="AG367"/>
  <c r="AG368"/>
  <c r="AG47"/>
  <c r="AG19"/>
  <c r="AG20"/>
  <c r="AG21"/>
  <c r="AG22"/>
  <c r="AG23"/>
  <c r="AG24"/>
  <c r="AG25"/>
  <c r="AG26"/>
  <c r="AG27"/>
  <c r="AG28"/>
  <c r="AG29"/>
  <c r="AG30"/>
  <c r="AG31"/>
  <c r="AG32"/>
  <c r="AG33"/>
  <c r="AG34"/>
  <c r="AG36"/>
  <c r="AG37"/>
  <c r="AG38"/>
  <c r="AG39"/>
  <c r="AG40"/>
  <c r="AG41"/>
  <c r="AG42"/>
  <c r="AG43"/>
  <c r="AG44"/>
  <c r="AG18"/>
  <c r="AG8"/>
  <c r="AG9"/>
  <c r="AG10"/>
  <c r="AG11"/>
  <c r="AG12"/>
  <c r="AG13"/>
  <c r="AG14"/>
  <c r="AG15"/>
  <c r="AG16"/>
  <c r="AG7"/>
  <c r="W48"/>
  <c r="W49"/>
  <c r="W50"/>
  <c r="W51"/>
  <c r="W53"/>
  <c r="W54"/>
  <c r="W55"/>
  <c r="W56"/>
  <c r="W57"/>
  <c r="W58"/>
  <c r="W59"/>
  <c r="W60"/>
  <c r="W61"/>
  <c r="W62"/>
  <c r="W63"/>
  <c r="W64"/>
  <c r="W66"/>
  <c r="W67"/>
  <c r="W68"/>
  <c r="W69"/>
  <c r="W70"/>
  <c r="W72"/>
  <c r="W73"/>
  <c r="W74"/>
  <c r="W75"/>
  <c r="W76"/>
  <c r="W77"/>
  <c r="W78"/>
  <c r="W79"/>
  <c r="W81"/>
  <c r="W82"/>
  <c r="W83"/>
  <c r="W84"/>
  <c r="W85"/>
  <c r="W86"/>
  <c r="W87"/>
  <c r="W88"/>
  <c r="W89"/>
  <c r="W91"/>
  <c r="W92"/>
  <c r="W93"/>
  <c r="W94"/>
  <c r="W95"/>
  <c r="W96"/>
  <c r="W97"/>
  <c r="W98"/>
  <c r="W99"/>
  <c r="W100"/>
  <c r="W101"/>
  <c r="W102"/>
  <c r="W103"/>
  <c r="W105"/>
  <c r="W106"/>
  <c r="W107"/>
  <c r="W108"/>
  <c r="W109"/>
  <c r="W110"/>
  <c r="W111"/>
  <c r="W112"/>
  <c r="W113"/>
  <c r="W114"/>
  <c r="W115"/>
  <c r="W116"/>
  <c r="W117"/>
  <c r="W118"/>
  <c r="W119"/>
  <c r="W121"/>
  <c r="W122"/>
  <c r="W123"/>
  <c r="W124"/>
  <c r="W125"/>
  <c r="W126"/>
  <c r="W127"/>
  <c r="W129"/>
  <c r="W130"/>
  <c r="W131"/>
  <c r="W132"/>
  <c r="W133"/>
  <c r="W134"/>
  <c r="W135"/>
  <c r="W136"/>
  <c r="W138"/>
  <c r="W139"/>
  <c r="W140"/>
  <c r="W141"/>
  <c r="W142"/>
  <c r="W143"/>
  <c r="W145"/>
  <c r="W146"/>
  <c r="W147"/>
  <c r="W148"/>
  <c r="W149"/>
  <c r="W150"/>
  <c r="W151"/>
  <c r="W152"/>
  <c r="W153"/>
  <c r="W154"/>
  <c r="W155"/>
  <c r="W156"/>
  <c r="W158"/>
  <c r="W159"/>
  <c r="W160"/>
  <c r="W161"/>
  <c r="W162"/>
  <c r="W163"/>
  <c r="W164"/>
  <c r="W165"/>
  <c r="W166"/>
  <c r="W167"/>
  <c r="W168"/>
  <c r="W169"/>
  <c r="W170"/>
  <c r="W172"/>
  <c r="W173"/>
  <c r="W174"/>
  <c r="W175"/>
  <c r="W176"/>
  <c r="W177"/>
  <c r="W179"/>
  <c r="W180"/>
  <c r="W181"/>
  <c r="W182"/>
  <c r="W183"/>
  <c r="W184"/>
  <c r="W185"/>
  <c r="W186"/>
  <c r="W187"/>
  <c r="W188"/>
  <c r="W189"/>
  <c r="W190"/>
  <c r="W191"/>
  <c r="W193"/>
  <c r="W194"/>
  <c r="W195"/>
  <c r="W196"/>
  <c r="W197"/>
  <c r="W198"/>
  <c r="W199"/>
  <c r="W200"/>
  <c r="W201"/>
  <c r="W202"/>
  <c r="W203"/>
  <c r="W204"/>
  <c r="W206"/>
  <c r="W207"/>
  <c r="W208"/>
  <c r="W209"/>
  <c r="W210"/>
  <c r="W211"/>
  <c r="W212"/>
  <c r="W213"/>
  <c r="W214"/>
  <c r="W215"/>
  <c r="W216"/>
  <c r="W217"/>
  <c r="W218"/>
  <c r="W220"/>
  <c r="W221"/>
  <c r="W222"/>
  <c r="W223"/>
  <c r="W224"/>
  <c r="W225"/>
  <c r="W226"/>
  <c r="W227"/>
  <c r="W228"/>
  <c r="W230"/>
  <c r="W231"/>
  <c r="W232"/>
  <c r="W233"/>
  <c r="W234"/>
  <c r="W235"/>
  <c r="W236"/>
  <c r="W239"/>
  <c r="W240"/>
  <c r="W241"/>
  <c r="W242"/>
  <c r="W243"/>
  <c r="W244"/>
  <c r="W245"/>
  <c r="W246"/>
  <c r="W247"/>
  <c r="W248"/>
  <c r="W249"/>
  <c r="W250"/>
  <c r="W251"/>
  <c r="W252"/>
  <c r="W253"/>
  <c r="W255"/>
  <c r="W256"/>
  <c r="W257"/>
  <c r="W258"/>
  <c r="W259"/>
  <c r="W260"/>
  <c r="W261"/>
  <c r="W263"/>
  <c r="W264"/>
  <c r="W265"/>
  <c r="W266"/>
  <c r="W267"/>
  <c r="W268"/>
  <c r="W269"/>
  <c r="W270"/>
  <c r="W271"/>
  <c r="W272"/>
  <c r="W273"/>
  <c r="W274"/>
  <c r="W275"/>
  <c r="W276"/>
  <c r="W277"/>
  <c r="W278"/>
  <c r="W279"/>
  <c r="W281"/>
  <c r="W282"/>
  <c r="W283"/>
  <c r="W284"/>
  <c r="W285"/>
  <c r="W286"/>
  <c r="W287"/>
  <c r="W288"/>
  <c r="W289"/>
  <c r="W290"/>
  <c r="W291"/>
  <c r="W292"/>
  <c r="W293"/>
  <c r="W294"/>
  <c r="W295"/>
  <c r="W296"/>
  <c r="W297"/>
  <c r="W298"/>
  <c r="W299"/>
  <c r="W300"/>
  <c r="W301"/>
  <c r="W302"/>
  <c r="W303"/>
  <c r="W304"/>
  <c r="W306"/>
  <c r="W307"/>
  <c r="W308"/>
  <c r="W309"/>
  <c r="W310"/>
  <c r="W311"/>
  <c r="W312"/>
  <c r="W313"/>
  <c r="W314"/>
  <c r="W315"/>
  <c r="W316"/>
  <c r="W317"/>
  <c r="W318"/>
  <c r="W319"/>
  <c r="W320"/>
  <c r="W322"/>
  <c r="W323"/>
  <c r="W324"/>
  <c r="W325"/>
  <c r="W326"/>
  <c r="W327"/>
  <c r="W328"/>
  <c r="W329"/>
  <c r="W330"/>
  <c r="W331"/>
  <c r="W332"/>
  <c r="W334"/>
  <c r="W335"/>
  <c r="W336"/>
  <c r="W337"/>
  <c r="W338"/>
  <c r="W339"/>
  <c r="W340"/>
  <c r="W341"/>
  <c r="W342"/>
  <c r="W343"/>
  <c r="W344"/>
  <c r="W346"/>
  <c r="W347"/>
  <c r="W348"/>
  <c r="W349"/>
  <c r="W350"/>
  <c r="W351"/>
  <c r="W352"/>
  <c r="W353"/>
  <c r="W354"/>
  <c r="W355"/>
  <c r="W357"/>
  <c r="W358"/>
  <c r="W359"/>
  <c r="W360"/>
  <c r="W361"/>
  <c r="W362"/>
  <c r="W363"/>
  <c r="W364"/>
  <c r="W365"/>
  <c r="W366"/>
  <c r="W367"/>
  <c r="W368"/>
  <c r="W47"/>
  <c r="W19"/>
  <c r="W20"/>
  <c r="W21"/>
  <c r="W22"/>
  <c r="W23"/>
  <c r="W24"/>
  <c r="W25"/>
  <c r="W26"/>
  <c r="W27"/>
  <c r="W28"/>
  <c r="W29"/>
  <c r="W30"/>
  <c r="W31"/>
  <c r="W32"/>
  <c r="W33"/>
  <c r="W34"/>
  <c r="W36"/>
  <c r="W37"/>
  <c r="W38"/>
  <c r="W39"/>
  <c r="W40"/>
  <c r="W41"/>
  <c r="W42"/>
  <c r="W43"/>
  <c r="W44"/>
  <c r="W18"/>
  <c r="W8"/>
  <c r="W9"/>
  <c r="W10"/>
  <c r="W11"/>
  <c r="W12"/>
  <c r="W13"/>
  <c r="W14"/>
  <c r="W15"/>
  <c r="W16"/>
  <c r="W7"/>
  <c r="V48"/>
  <c r="V49"/>
  <c r="V50"/>
  <c r="V51"/>
  <c r="V53"/>
  <c r="V54"/>
  <c r="V55"/>
  <c r="V56"/>
  <c r="V57"/>
  <c r="V58"/>
  <c r="V59"/>
  <c r="V60"/>
  <c r="V61"/>
  <c r="V62"/>
  <c r="V63"/>
  <c r="V64"/>
  <c r="V66"/>
  <c r="V67"/>
  <c r="V68"/>
  <c r="V69"/>
  <c r="V70"/>
  <c r="V72"/>
  <c r="V73"/>
  <c r="V74"/>
  <c r="V75"/>
  <c r="V76"/>
  <c r="V77"/>
  <c r="V78"/>
  <c r="V79"/>
  <c r="V81"/>
  <c r="V82"/>
  <c r="V83"/>
  <c r="V84"/>
  <c r="V85"/>
  <c r="V86"/>
  <c r="V87"/>
  <c r="V88"/>
  <c r="V89"/>
  <c r="V91"/>
  <c r="V92"/>
  <c r="V93"/>
  <c r="V94"/>
  <c r="V95"/>
  <c r="V96"/>
  <c r="V97"/>
  <c r="V98"/>
  <c r="V99"/>
  <c r="V100"/>
  <c r="V101"/>
  <c r="V102"/>
  <c r="V103"/>
  <c r="V105"/>
  <c r="V106"/>
  <c r="V107"/>
  <c r="V108"/>
  <c r="V109"/>
  <c r="V110"/>
  <c r="V111"/>
  <c r="V112"/>
  <c r="V113"/>
  <c r="V114"/>
  <c r="V115"/>
  <c r="V116"/>
  <c r="V117"/>
  <c r="V118"/>
  <c r="V119"/>
  <c r="V121"/>
  <c r="V122"/>
  <c r="V123"/>
  <c r="V124"/>
  <c r="V125"/>
  <c r="V126"/>
  <c r="V127"/>
  <c r="V129"/>
  <c r="V130"/>
  <c r="V131"/>
  <c r="V132"/>
  <c r="V133"/>
  <c r="V134"/>
  <c r="V135"/>
  <c r="V136"/>
  <c r="V138"/>
  <c r="V139"/>
  <c r="V140"/>
  <c r="V141"/>
  <c r="V142"/>
  <c r="V143"/>
  <c r="V145"/>
  <c r="V146"/>
  <c r="V147"/>
  <c r="V148"/>
  <c r="V149"/>
  <c r="V150"/>
  <c r="V151"/>
  <c r="V152"/>
  <c r="V153"/>
  <c r="V154"/>
  <c r="V155"/>
  <c r="V156"/>
  <c r="V158"/>
  <c r="V159"/>
  <c r="V160"/>
  <c r="V161"/>
  <c r="V162"/>
  <c r="V163"/>
  <c r="V164"/>
  <c r="V165"/>
  <c r="V166"/>
  <c r="V167"/>
  <c r="V168"/>
  <c r="V169"/>
  <c r="V170"/>
  <c r="V172"/>
  <c r="V173"/>
  <c r="V174"/>
  <c r="V175"/>
  <c r="V176"/>
  <c r="V177"/>
  <c r="V179"/>
  <c r="V180"/>
  <c r="V181"/>
  <c r="V182"/>
  <c r="V183"/>
  <c r="V184"/>
  <c r="V185"/>
  <c r="V186"/>
  <c r="V187"/>
  <c r="V188"/>
  <c r="V189"/>
  <c r="V190"/>
  <c r="V191"/>
  <c r="V193"/>
  <c r="V194"/>
  <c r="V195"/>
  <c r="V196"/>
  <c r="V197"/>
  <c r="V198"/>
  <c r="V199"/>
  <c r="V200"/>
  <c r="V201"/>
  <c r="V202"/>
  <c r="V203"/>
  <c r="V204"/>
  <c r="V206"/>
  <c r="V207"/>
  <c r="V208"/>
  <c r="V209"/>
  <c r="V210"/>
  <c r="V211"/>
  <c r="V212"/>
  <c r="V213"/>
  <c r="V214"/>
  <c r="V215"/>
  <c r="V216"/>
  <c r="V217"/>
  <c r="V218"/>
  <c r="V220"/>
  <c r="V221"/>
  <c r="V222"/>
  <c r="V223"/>
  <c r="V224"/>
  <c r="V225"/>
  <c r="V226"/>
  <c r="V227"/>
  <c r="V228"/>
  <c r="V230"/>
  <c r="V231"/>
  <c r="V232"/>
  <c r="V233"/>
  <c r="V234"/>
  <c r="V235"/>
  <c r="V236"/>
  <c r="V237"/>
  <c r="V239"/>
  <c r="V240"/>
  <c r="V241"/>
  <c r="V242"/>
  <c r="V243"/>
  <c r="V244"/>
  <c r="V245"/>
  <c r="V246"/>
  <c r="V247"/>
  <c r="V248"/>
  <c r="V249"/>
  <c r="V250"/>
  <c r="V251"/>
  <c r="V252"/>
  <c r="V253"/>
  <c r="V255"/>
  <c r="V256"/>
  <c r="V257"/>
  <c r="V258"/>
  <c r="V259"/>
  <c r="V260"/>
  <c r="V261"/>
  <c r="V263"/>
  <c r="V264"/>
  <c r="V265"/>
  <c r="V266"/>
  <c r="V267"/>
  <c r="V268"/>
  <c r="V269"/>
  <c r="V270"/>
  <c r="V271"/>
  <c r="V272"/>
  <c r="V273"/>
  <c r="V274"/>
  <c r="V275"/>
  <c r="V276"/>
  <c r="V277"/>
  <c r="V278"/>
  <c r="V279"/>
  <c r="V281"/>
  <c r="V282"/>
  <c r="V283"/>
  <c r="V284"/>
  <c r="V285"/>
  <c r="V286"/>
  <c r="V287"/>
  <c r="V288"/>
  <c r="V289"/>
  <c r="V290"/>
  <c r="V291"/>
  <c r="V292"/>
  <c r="V293"/>
  <c r="V294"/>
  <c r="V295"/>
  <c r="V296"/>
  <c r="V297"/>
  <c r="V298"/>
  <c r="V299"/>
  <c r="V300"/>
  <c r="V301"/>
  <c r="V302"/>
  <c r="V303"/>
  <c r="V304"/>
  <c r="V306"/>
  <c r="V307"/>
  <c r="V308"/>
  <c r="V309"/>
  <c r="V310"/>
  <c r="V311"/>
  <c r="V312"/>
  <c r="V313"/>
  <c r="V314"/>
  <c r="V315"/>
  <c r="V316"/>
  <c r="V317"/>
  <c r="V318"/>
  <c r="V319"/>
  <c r="V320"/>
  <c r="V322"/>
  <c r="V323"/>
  <c r="V324"/>
  <c r="V325"/>
  <c r="V326"/>
  <c r="V327"/>
  <c r="V328"/>
  <c r="V329"/>
  <c r="V330"/>
  <c r="V331"/>
  <c r="V332"/>
  <c r="V334"/>
  <c r="V335"/>
  <c r="V336"/>
  <c r="V337"/>
  <c r="V338"/>
  <c r="V339"/>
  <c r="V340"/>
  <c r="V341"/>
  <c r="V342"/>
  <c r="V343"/>
  <c r="V344"/>
  <c r="V346"/>
  <c r="V347"/>
  <c r="V348"/>
  <c r="V349"/>
  <c r="V350"/>
  <c r="V351"/>
  <c r="V352"/>
  <c r="V353"/>
  <c r="V354"/>
  <c r="V355"/>
  <c r="V357"/>
  <c r="V358"/>
  <c r="V359"/>
  <c r="V360"/>
  <c r="V361"/>
  <c r="V362"/>
  <c r="V363"/>
  <c r="V364"/>
  <c r="V365"/>
  <c r="V366"/>
  <c r="V367"/>
  <c r="V368"/>
  <c r="V47"/>
  <c r="V19"/>
  <c r="V20"/>
  <c r="V21"/>
  <c r="V22"/>
  <c r="V23"/>
  <c r="V24"/>
  <c r="V25"/>
  <c r="V26"/>
  <c r="V27"/>
  <c r="V28"/>
  <c r="V29"/>
  <c r="V30"/>
  <c r="V31"/>
  <c r="V32"/>
  <c r="V33"/>
  <c r="V34"/>
  <c r="V35"/>
  <c r="V36"/>
  <c r="V37"/>
  <c r="V38"/>
  <c r="V39"/>
  <c r="V40"/>
  <c r="V41"/>
  <c r="V42"/>
  <c r="V43"/>
  <c r="V44"/>
  <c r="V18"/>
  <c r="V8"/>
  <c r="V9"/>
  <c r="V10"/>
  <c r="V11"/>
  <c r="V12"/>
  <c r="V13"/>
  <c r="V14"/>
  <c r="V15"/>
  <c r="V16"/>
  <c r="V7"/>
  <c r="U48"/>
  <c r="U49"/>
  <c r="U50"/>
  <c r="U51"/>
  <c r="U53"/>
  <c r="U54"/>
  <c r="U55"/>
  <c r="U56"/>
  <c r="U57"/>
  <c r="U58"/>
  <c r="U59"/>
  <c r="U60"/>
  <c r="U61"/>
  <c r="U62"/>
  <c r="U63"/>
  <c r="U64"/>
  <c r="U66"/>
  <c r="U67"/>
  <c r="U68"/>
  <c r="U69"/>
  <c r="U70"/>
  <c r="U72"/>
  <c r="U73"/>
  <c r="U74"/>
  <c r="U75"/>
  <c r="U76"/>
  <c r="U77"/>
  <c r="U78"/>
  <c r="U79"/>
  <c r="U81"/>
  <c r="U82"/>
  <c r="U83"/>
  <c r="U84"/>
  <c r="U85"/>
  <c r="U86"/>
  <c r="U87"/>
  <c r="U88"/>
  <c r="U89"/>
  <c r="U91"/>
  <c r="U92"/>
  <c r="U93"/>
  <c r="U94"/>
  <c r="U95"/>
  <c r="U96"/>
  <c r="U97"/>
  <c r="U98"/>
  <c r="U99"/>
  <c r="U100"/>
  <c r="U101"/>
  <c r="U102"/>
  <c r="U103"/>
  <c r="U105"/>
  <c r="U106"/>
  <c r="U107"/>
  <c r="U108"/>
  <c r="U109"/>
  <c r="U110"/>
  <c r="U111"/>
  <c r="U112"/>
  <c r="U113"/>
  <c r="U114"/>
  <c r="U115"/>
  <c r="U116"/>
  <c r="U117"/>
  <c r="U118"/>
  <c r="U119"/>
  <c r="U121"/>
  <c r="U122"/>
  <c r="U123"/>
  <c r="U124"/>
  <c r="U125"/>
  <c r="U126"/>
  <c r="U127"/>
  <c r="U129"/>
  <c r="U130"/>
  <c r="U131"/>
  <c r="U132"/>
  <c r="U133"/>
  <c r="U134"/>
  <c r="U135"/>
  <c r="U136"/>
  <c r="U138"/>
  <c r="U139"/>
  <c r="U140"/>
  <c r="U141"/>
  <c r="U142"/>
  <c r="U143"/>
  <c r="U145"/>
  <c r="U146"/>
  <c r="U147"/>
  <c r="U148"/>
  <c r="U149"/>
  <c r="U150"/>
  <c r="U151"/>
  <c r="U152"/>
  <c r="U153"/>
  <c r="U154"/>
  <c r="U155"/>
  <c r="U156"/>
  <c r="U158"/>
  <c r="U159"/>
  <c r="U160"/>
  <c r="U161"/>
  <c r="U162"/>
  <c r="U163"/>
  <c r="U164"/>
  <c r="U165"/>
  <c r="U166"/>
  <c r="U167"/>
  <c r="U168"/>
  <c r="U169"/>
  <c r="U170"/>
  <c r="U172"/>
  <c r="U173"/>
  <c r="U174"/>
  <c r="U175"/>
  <c r="U176"/>
  <c r="U177"/>
  <c r="U179"/>
  <c r="U180"/>
  <c r="U181"/>
  <c r="U182"/>
  <c r="U183"/>
  <c r="U184"/>
  <c r="U185"/>
  <c r="U186"/>
  <c r="U187"/>
  <c r="U188"/>
  <c r="U189"/>
  <c r="U190"/>
  <c r="U191"/>
  <c r="U193"/>
  <c r="U194"/>
  <c r="U195"/>
  <c r="U196"/>
  <c r="U197"/>
  <c r="U198"/>
  <c r="U199"/>
  <c r="U200"/>
  <c r="U201"/>
  <c r="U202"/>
  <c r="U203"/>
  <c r="U204"/>
  <c r="U206"/>
  <c r="U207"/>
  <c r="U208"/>
  <c r="U209"/>
  <c r="U210"/>
  <c r="U211"/>
  <c r="U212"/>
  <c r="U213"/>
  <c r="U214"/>
  <c r="U215"/>
  <c r="U216"/>
  <c r="U217"/>
  <c r="U218"/>
  <c r="U220"/>
  <c r="U221"/>
  <c r="U222"/>
  <c r="U223"/>
  <c r="U224"/>
  <c r="U225"/>
  <c r="U226"/>
  <c r="U227"/>
  <c r="U228"/>
  <c r="U230"/>
  <c r="U231"/>
  <c r="U232"/>
  <c r="U233"/>
  <c r="U234"/>
  <c r="U235"/>
  <c r="U236"/>
  <c r="U237"/>
  <c r="U239"/>
  <c r="U240"/>
  <c r="U241"/>
  <c r="U242"/>
  <c r="U243"/>
  <c r="U244"/>
  <c r="U245"/>
  <c r="U246"/>
  <c r="U247"/>
  <c r="U248"/>
  <c r="U249"/>
  <c r="U250"/>
  <c r="U251"/>
  <c r="U252"/>
  <c r="U253"/>
  <c r="U255"/>
  <c r="U256"/>
  <c r="U257"/>
  <c r="U258"/>
  <c r="U259"/>
  <c r="U260"/>
  <c r="U261"/>
  <c r="U263"/>
  <c r="U264"/>
  <c r="U265"/>
  <c r="U266"/>
  <c r="U267"/>
  <c r="U268"/>
  <c r="U269"/>
  <c r="U270"/>
  <c r="U271"/>
  <c r="U272"/>
  <c r="U273"/>
  <c r="U274"/>
  <c r="U275"/>
  <c r="U276"/>
  <c r="U277"/>
  <c r="U278"/>
  <c r="U279"/>
  <c r="U281"/>
  <c r="U282"/>
  <c r="U283"/>
  <c r="U284"/>
  <c r="U285"/>
  <c r="U286"/>
  <c r="U287"/>
  <c r="U288"/>
  <c r="U289"/>
  <c r="U290"/>
  <c r="U291"/>
  <c r="U292"/>
  <c r="U293"/>
  <c r="U294"/>
  <c r="U295"/>
  <c r="U296"/>
  <c r="U297"/>
  <c r="U298"/>
  <c r="U299"/>
  <c r="U300"/>
  <c r="U301"/>
  <c r="U302"/>
  <c r="U303"/>
  <c r="U304"/>
  <c r="U306"/>
  <c r="U307"/>
  <c r="U308"/>
  <c r="U309"/>
  <c r="U310"/>
  <c r="U311"/>
  <c r="U312"/>
  <c r="U313"/>
  <c r="U314"/>
  <c r="U315"/>
  <c r="U316"/>
  <c r="U317"/>
  <c r="U318"/>
  <c r="U319"/>
  <c r="U320"/>
  <c r="U322"/>
  <c r="U323"/>
  <c r="U324"/>
  <c r="U325"/>
  <c r="U326"/>
  <c r="U327"/>
  <c r="U328"/>
  <c r="U329"/>
  <c r="U330"/>
  <c r="U331"/>
  <c r="U332"/>
  <c r="U334"/>
  <c r="U335"/>
  <c r="U336"/>
  <c r="U337"/>
  <c r="U338"/>
  <c r="U339"/>
  <c r="U340"/>
  <c r="U341"/>
  <c r="U342"/>
  <c r="U343"/>
  <c r="U344"/>
  <c r="U346"/>
  <c r="U347"/>
  <c r="U348"/>
  <c r="U349"/>
  <c r="U350"/>
  <c r="U351"/>
  <c r="U352"/>
  <c r="U353"/>
  <c r="U354"/>
  <c r="U355"/>
  <c r="U357"/>
  <c r="U358"/>
  <c r="U359"/>
  <c r="U360"/>
  <c r="U361"/>
  <c r="U362"/>
  <c r="U363"/>
  <c r="U364"/>
  <c r="U365"/>
  <c r="U366"/>
  <c r="U367"/>
  <c r="U368"/>
  <c r="U47"/>
  <c r="U19"/>
  <c r="U20"/>
  <c r="U21"/>
  <c r="U22"/>
  <c r="U23"/>
  <c r="U24"/>
  <c r="U25"/>
  <c r="U26"/>
  <c r="U27"/>
  <c r="U28"/>
  <c r="U29"/>
  <c r="U30"/>
  <c r="U31"/>
  <c r="U32"/>
  <c r="U33"/>
  <c r="U34"/>
  <c r="U35"/>
  <c r="U36"/>
  <c r="U37"/>
  <c r="U38"/>
  <c r="U39"/>
  <c r="U40"/>
  <c r="U41"/>
  <c r="U42"/>
  <c r="U43"/>
  <c r="U44"/>
  <c r="U18"/>
  <c r="U8"/>
  <c r="U9"/>
  <c r="U10"/>
  <c r="U11"/>
  <c r="U12"/>
  <c r="U13"/>
  <c r="U14"/>
  <c r="U15"/>
  <c r="U16"/>
  <c r="U7"/>
  <c r="H44"/>
  <c r="H19"/>
  <c r="H20"/>
  <c r="H21"/>
  <c r="H22"/>
  <c r="H23"/>
  <c r="H24"/>
  <c r="H25"/>
  <c r="H26"/>
  <c r="H27"/>
  <c r="H28"/>
  <c r="H29"/>
  <c r="H30"/>
  <c r="H31"/>
  <c r="H32"/>
  <c r="H33"/>
  <c r="H34"/>
  <c r="H36"/>
  <c r="H37"/>
  <c r="H38"/>
  <c r="H39"/>
  <c r="H40"/>
  <c r="H41"/>
  <c r="H42"/>
  <c r="H43"/>
  <c r="H18"/>
  <c r="H8"/>
  <c r="H9"/>
  <c r="H10"/>
  <c r="H11"/>
  <c r="H12"/>
  <c r="H13"/>
  <c r="H14"/>
  <c r="H15"/>
  <c r="H16"/>
  <c r="H7"/>
  <c r="E7"/>
  <c r="G7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18"/>
  <c r="G8"/>
  <c r="G9"/>
  <c r="G10"/>
  <c r="G11"/>
  <c r="G12"/>
  <c r="G13"/>
  <c r="G14"/>
  <c r="G15"/>
  <c r="G16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18"/>
  <c r="F8"/>
  <c r="F9"/>
  <c r="F10"/>
  <c r="F11"/>
  <c r="F12"/>
  <c r="F13"/>
  <c r="F14"/>
  <c r="F15"/>
  <c r="F16"/>
  <c r="F7"/>
  <c r="AP368" i="7"/>
  <c r="AP48"/>
  <c r="AP49"/>
  <c r="AP50"/>
  <c r="AP51"/>
  <c r="AP53"/>
  <c r="AP54"/>
  <c r="AP55"/>
  <c r="AP56"/>
  <c r="AP57"/>
  <c r="AP58"/>
  <c r="AP59"/>
  <c r="AP60"/>
  <c r="AP61"/>
  <c r="AP62"/>
  <c r="AP63"/>
  <c r="AP64"/>
  <c r="AP66"/>
  <c r="AP67"/>
  <c r="AP68"/>
  <c r="AP69"/>
  <c r="AP70"/>
  <c r="AP72"/>
  <c r="AP73"/>
  <c r="AP74"/>
  <c r="AP75"/>
  <c r="AP76"/>
  <c r="AP77"/>
  <c r="AP78"/>
  <c r="AP79"/>
  <c r="AP81"/>
  <c r="AP82"/>
  <c r="AP83"/>
  <c r="AP84"/>
  <c r="AP85"/>
  <c r="AP86"/>
  <c r="AP87"/>
  <c r="AP88"/>
  <c r="AP89"/>
  <c r="AP91"/>
  <c r="AP92"/>
  <c r="AP93"/>
  <c r="AP94"/>
  <c r="AP95"/>
  <c r="AP96"/>
  <c r="AP97"/>
  <c r="AP98"/>
  <c r="AP99"/>
  <c r="AP100"/>
  <c r="AP101"/>
  <c r="AP102"/>
  <c r="AP103"/>
  <c r="AP105"/>
  <c r="AP106"/>
  <c r="AP107"/>
  <c r="AP108"/>
  <c r="AP109"/>
  <c r="AP110"/>
  <c r="AP111"/>
  <c r="AP112"/>
  <c r="AP113"/>
  <c r="AP114"/>
  <c r="AP115"/>
  <c r="AP116"/>
  <c r="AP117"/>
  <c r="AP118"/>
  <c r="AP119"/>
  <c r="AP121"/>
  <c r="AP122"/>
  <c r="AP123"/>
  <c r="AP124"/>
  <c r="AP125"/>
  <c r="AP126"/>
  <c r="AP127"/>
  <c r="AP129"/>
  <c r="AP130"/>
  <c r="AP131"/>
  <c r="AP132"/>
  <c r="AP133"/>
  <c r="AP134"/>
  <c r="AP135"/>
  <c r="AP136"/>
  <c r="AP138"/>
  <c r="AP139"/>
  <c r="AP140"/>
  <c r="AP141"/>
  <c r="AP142"/>
  <c r="AP143"/>
  <c r="AP145"/>
  <c r="AP146"/>
  <c r="AP147"/>
  <c r="AP148"/>
  <c r="AP149"/>
  <c r="AP150"/>
  <c r="AP151"/>
  <c r="AP152"/>
  <c r="AP153"/>
  <c r="AP154"/>
  <c r="AP155"/>
  <c r="AP156"/>
  <c r="AP158"/>
  <c r="AP159"/>
  <c r="AP160"/>
  <c r="AP161"/>
  <c r="AP162"/>
  <c r="AP163"/>
  <c r="AP164"/>
  <c r="AP165"/>
  <c r="AP166"/>
  <c r="AP167"/>
  <c r="AP168"/>
  <c r="AP169"/>
  <c r="AP170"/>
  <c r="AP172"/>
  <c r="AP173"/>
  <c r="AP174"/>
  <c r="AP175"/>
  <c r="AP176"/>
  <c r="AP177"/>
  <c r="AP179"/>
  <c r="AP180"/>
  <c r="AP181"/>
  <c r="AP182"/>
  <c r="AP183"/>
  <c r="AP184"/>
  <c r="AP185"/>
  <c r="AP186"/>
  <c r="AP187"/>
  <c r="AP188"/>
  <c r="AP189"/>
  <c r="AP190"/>
  <c r="AP191"/>
  <c r="AP193"/>
  <c r="AP194"/>
  <c r="AP195"/>
  <c r="AP196"/>
  <c r="AP197"/>
  <c r="AP198"/>
  <c r="AP199"/>
  <c r="AP200"/>
  <c r="AP201"/>
  <c r="AP202"/>
  <c r="AP203"/>
  <c r="AP204"/>
  <c r="AP206"/>
  <c r="AP207"/>
  <c r="AP208"/>
  <c r="AP209"/>
  <c r="AP210"/>
  <c r="AP211"/>
  <c r="AP212"/>
  <c r="AP213"/>
  <c r="AP214"/>
  <c r="AP215"/>
  <c r="AP216"/>
  <c r="AP217"/>
  <c r="AP218"/>
  <c r="AP220"/>
  <c r="AP221"/>
  <c r="AP222"/>
  <c r="AP223"/>
  <c r="AP224"/>
  <c r="AP225"/>
  <c r="AP226"/>
  <c r="AP227"/>
  <c r="AP228"/>
  <c r="AP230"/>
  <c r="AP231"/>
  <c r="AP232"/>
  <c r="AP233"/>
  <c r="AP234"/>
  <c r="AP235"/>
  <c r="AP236"/>
  <c r="AP239"/>
  <c r="AP240"/>
  <c r="AP241"/>
  <c r="AP242"/>
  <c r="AP243"/>
  <c r="AP244"/>
  <c r="AP245"/>
  <c r="AP246"/>
  <c r="AP247"/>
  <c r="AP248"/>
  <c r="AP249"/>
  <c r="AP250"/>
  <c r="AP251"/>
  <c r="AP252"/>
  <c r="AP253"/>
  <c r="AP255"/>
  <c r="AP256"/>
  <c r="AP257"/>
  <c r="AP258"/>
  <c r="AP259"/>
  <c r="AP260"/>
  <c r="AP261"/>
  <c r="AP263"/>
  <c r="AP264"/>
  <c r="AP265"/>
  <c r="AP266"/>
  <c r="AP267"/>
  <c r="AP268"/>
  <c r="AP269"/>
  <c r="AP270"/>
  <c r="AP271"/>
  <c r="AP272"/>
  <c r="AP273"/>
  <c r="AP274"/>
  <c r="AP275"/>
  <c r="AP276"/>
  <c r="AP277"/>
  <c r="AP278"/>
  <c r="AP279"/>
  <c r="AP281"/>
  <c r="AP282"/>
  <c r="AP283"/>
  <c r="AP284"/>
  <c r="AP285"/>
  <c r="AP286"/>
  <c r="AP287"/>
  <c r="AP288"/>
  <c r="AP289"/>
  <c r="AP290"/>
  <c r="AP291"/>
  <c r="AP292"/>
  <c r="AP293"/>
  <c r="AP294"/>
  <c r="AP295"/>
  <c r="AP296"/>
  <c r="AP297"/>
  <c r="AP298"/>
  <c r="AP299"/>
  <c r="AP300"/>
  <c r="AP301"/>
  <c r="AP302"/>
  <c r="AP303"/>
  <c r="AP304"/>
  <c r="AP306"/>
  <c r="AP307"/>
  <c r="AP308"/>
  <c r="AP309"/>
  <c r="AP310"/>
  <c r="AP311"/>
  <c r="AP312"/>
  <c r="AP313"/>
  <c r="AP314"/>
  <c r="AP315"/>
  <c r="AP316"/>
  <c r="AP317"/>
  <c r="AP318"/>
  <c r="AP319"/>
  <c r="AP320"/>
  <c r="AP322"/>
  <c r="AP323"/>
  <c r="AP324"/>
  <c r="AP325"/>
  <c r="AP326"/>
  <c r="AP327"/>
  <c r="AP328"/>
  <c r="AP329"/>
  <c r="AP330"/>
  <c r="AP331"/>
  <c r="AP332"/>
  <c r="AP334"/>
  <c r="AP335"/>
  <c r="AP336"/>
  <c r="AP337"/>
  <c r="AP338"/>
  <c r="AP339"/>
  <c r="AP340"/>
  <c r="AP341"/>
  <c r="AP342"/>
  <c r="AP343"/>
  <c r="AP344"/>
  <c r="AP346"/>
  <c r="AP347"/>
  <c r="AP348"/>
  <c r="AP349"/>
  <c r="AP350"/>
  <c r="AP351"/>
  <c r="AP352"/>
  <c r="AP353"/>
  <c r="AP354"/>
  <c r="AP355"/>
  <c r="AP357"/>
  <c r="AP358"/>
  <c r="AP359"/>
  <c r="AP360"/>
  <c r="AP361"/>
  <c r="AP362"/>
  <c r="AP363"/>
  <c r="AP364"/>
  <c r="AP365"/>
  <c r="AP366"/>
  <c r="AP367"/>
  <c r="AP47"/>
  <c r="AP44"/>
  <c r="AP19"/>
  <c r="AP20"/>
  <c r="AP21"/>
  <c r="AP22"/>
  <c r="AP23"/>
  <c r="AP24"/>
  <c r="AP25"/>
  <c r="AP26"/>
  <c r="AP27"/>
  <c r="AP28"/>
  <c r="AP29"/>
  <c r="AP30"/>
  <c r="AP31"/>
  <c r="AP32"/>
  <c r="AP33"/>
  <c r="AP34"/>
  <c r="AP36"/>
  <c r="AP37"/>
  <c r="AP38"/>
  <c r="AP39"/>
  <c r="AP40"/>
  <c r="AP41"/>
  <c r="AP42"/>
  <c r="AP43"/>
  <c r="AP18"/>
  <c r="AP16"/>
  <c r="AP8"/>
  <c r="AP9"/>
  <c r="AP10"/>
  <c r="AP11"/>
  <c r="AP12"/>
  <c r="AP13"/>
  <c r="AP14"/>
  <c r="AP15"/>
  <c r="AP7"/>
  <c r="AB369" l="1"/>
  <c r="Z369"/>
  <c r="AA369"/>
  <c r="AB17"/>
  <c r="AB6"/>
  <c r="AB48"/>
  <c r="AB49"/>
  <c r="AB50"/>
  <c r="AB51"/>
  <c r="AB53"/>
  <c r="AB54"/>
  <c r="AB55"/>
  <c r="AB56"/>
  <c r="AB57"/>
  <c r="AB58"/>
  <c r="AB59"/>
  <c r="AB60"/>
  <c r="AB61"/>
  <c r="AB62"/>
  <c r="AB63"/>
  <c r="AB64"/>
  <c r="AB66"/>
  <c r="AB67"/>
  <c r="AB68"/>
  <c r="AB69"/>
  <c r="AB70"/>
  <c r="AB72"/>
  <c r="AB73"/>
  <c r="AB74"/>
  <c r="AB75"/>
  <c r="AB76"/>
  <c r="AB77"/>
  <c r="AB78"/>
  <c r="AB79"/>
  <c r="AB81"/>
  <c r="AB82"/>
  <c r="AB83"/>
  <c r="AB84"/>
  <c r="AB85"/>
  <c r="AB86"/>
  <c r="AB87"/>
  <c r="AB88"/>
  <c r="AB89"/>
  <c r="AB91"/>
  <c r="AB92"/>
  <c r="AB93"/>
  <c r="AB94"/>
  <c r="AB95"/>
  <c r="AB96"/>
  <c r="AB97"/>
  <c r="AB98"/>
  <c r="AB99"/>
  <c r="AB100"/>
  <c r="AB101"/>
  <c r="AB102"/>
  <c r="AB103"/>
  <c r="AB105"/>
  <c r="AB106"/>
  <c r="AB107"/>
  <c r="AB108"/>
  <c r="AB109"/>
  <c r="AB110"/>
  <c r="AB111"/>
  <c r="AB112"/>
  <c r="AB113"/>
  <c r="AB114"/>
  <c r="AB115"/>
  <c r="AB116"/>
  <c r="AB117"/>
  <c r="AB118"/>
  <c r="AB119"/>
  <c r="AB121"/>
  <c r="AB122"/>
  <c r="AB123"/>
  <c r="AB124"/>
  <c r="AB125"/>
  <c r="AB126"/>
  <c r="AB127"/>
  <c r="AB129"/>
  <c r="AB130"/>
  <c r="AB131"/>
  <c r="AB132"/>
  <c r="AB133"/>
  <c r="AB134"/>
  <c r="AB135"/>
  <c r="AB136"/>
  <c r="AB138"/>
  <c r="AB139"/>
  <c r="AB140"/>
  <c r="AB141"/>
  <c r="AB142"/>
  <c r="AB143"/>
  <c r="AB145"/>
  <c r="AB146"/>
  <c r="AB147"/>
  <c r="AB148"/>
  <c r="AB149"/>
  <c r="AB150"/>
  <c r="AB151"/>
  <c r="AB152"/>
  <c r="AB153"/>
  <c r="AB154"/>
  <c r="AB155"/>
  <c r="AB156"/>
  <c r="AB158"/>
  <c r="AB159"/>
  <c r="AB160"/>
  <c r="AB161"/>
  <c r="AB162"/>
  <c r="AB163"/>
  <c r="AB164"/>
  <c r="AB165"/>
  <c r="AB166"/>
  <c r="AB167"/>
  <c r="AB168"/>
  <c r="AB169"/>
  <c r="AB170"/>
  <c r="AB172"/>
  <c r="AB173"/>
  <c r="AB174"/>
  <c r="AB175"/>
  <c r="AB176"/>
  <c r="AB177"/>
  <c r="AB179"/>
  <c r="AB180"/>
  <c r="AB181"/>
  <c r="AB182"/>
  <c r="AB183"/>
  <c r="AB184"/>
  <c r="AB185"/>
  <c r="AB186"/>
  <c r="AB187"/>
  <c r="AB188"/>
  <c r="AB189"/>
  <c r="AB190"/>
  <c r="AB191"/>
  <c r="AB193"/>
  <c r="AB194"/>
  <c r="AB195"/>
  <c r="AB196"/>
  <c r="AB197"/>
  <c r="AB198"/>
  <c r="AB199"/>
  <c r="AB200"/>
  <c r="AB201"/>
  <c r="AB202"/>
  <c r="AB203"/>
  <c r="AB204"/>
  <c r="AB206"/>
  <c r="AB207"/>
  <c r="AB208"/>
  <c r="AB209"/>
  <c r="AB210"/>
  <c r="AB211"/>
  <c r="AB212"/>
  <c r="AB213"/>
  <c r="AB214"/>
  <c r="AB215"/>
  <c r="AB216"/>
  <c r="AB217"/>
  <c r="AB218"/>
  <c r="AB220"/>
  <c r="AB221"/>
  <c r="AB222"/>
  <c r="AB223"/>
  <c r="AB224"/>
  <c r="AB225"/>
  <c r="AB226"/>
  <c r="AB227"/>
  <c r="AB228"/>
  <c r="AB230"/>
  <c r="AB231"/>
  <c r="AB232"/>
  <c r="AB233"/>
  <c r="AB234"/>
  <c r="AB235"/>
  <c r="AB236"/>
  <c r="AB237"/>
  <c r="AB239"/>
  <c r="AB240"/>
  <c r="AB241"/>
  <c r="AB242"/>
  <c r="AB243"/>
  <c r="AB244"/>
  <c r="AB245"/>
  <c r="AB246"/>
  <c r="AB247"/>
  <c r="AB248"/>
  <c r="AB249"/>
  <c r="AB250"/>
  <c r="AB251"/>
  <c r="AB252"/>
  <c r="AB253"/>
  <c r="AB255"/>
  <c r="AB256"/>
  <c r="AB257"/>
  <c r="AB258"/>
  <c r="AB259"/>
  <c r="AB260"/>
  <c r="AB261"/>
  <c r="AB263"/>
  <c r="AB264"/>
  <c r="AB265"/>
  <c r="AB266"/>
  <c r="AB267"/>
  <c r="AB268"/>
  <c r="AB269"/>
  <c r="AB270"/>
  <c r="AB271"/>
  <c r="AB272"/>
  <c r="AB273"/>
  <c r="AB274"/>
  <c r="AB275"/>
  <c r="AB276"/>
  <c r="AB277"/>
  <c r="AB278"/>
  <c r="AB279"/>
  <c r="AB281"/>
  <c r="AB282"/>
  <c r="AB283"/>
  <c r="AB284"/>
  <c r="AB285"/>
  <c r="AB286"/>
  <c r="AB287"/>
  <c r="AB288"/>
  <c r="AB289"/>
  <c r="AB290"/>
  <c r="AB291"/>
  <c r="AB292"/>
  <c r="AB293"/>
  <c r="AB294"/>
  <c r="AB295"/>
  <c r="AB296"/>
  <c r="AB297"/>
  <c r="AB298"/>
  <c r="AB299"/>
  <c r="AB300"/>
  <c r="AB301"/>
  <c r="AB302"/>
  <c r="AB303"/>
  <c r="AB304"/>
  <c r="AB306"/>
  <c r="AB307"/>
  <c r="AB308"/>
  <c r="AB309"/>
  <c r="AB310"/>
  <c r="AB311"/>
  <c r="AB312"/>
  <c r="AB313"/>
  <c r="AB314"/>
  <c r="AB315"/>
  <c r="AB316"/>
  <c r="AB317"/>
  <c r="AB318"/>
  <c r="AB319"/>
  <c r="AB320"/>
  <c r="AB322"/>
  <c r="AB323"/>
  <c r="AB324"/>
  <c r="AB325"/>
  <c r="AB326"/>
  <c r="AB327"/>
  <c r="AB328"/>
  <c r="AB329"/>
  <c r="AB330"/>
  <c r="AB331"/>
  <c r="AB332"/>
  <c r="AB334"/>
  <c r="AB335"/>
  <c r="AB336"/>
  <c r="AB337"/>
  <c r="AB338"/>
  <c r="AB339"/>
  <c r="AB340"/>
  <c r="AB341"/>
  <c r="AB342"/>
  <c r="AB343"/>
  <c r="AB344"/>
  <c r="AB346"/>
  <c r="AB347"/>
  <c r="AB348"/>
  <c r="AB349"/>
  <c r="AB350"/>
  <c r="AB351"/>
  <c r="AB352"/>
  <c r="AB353"/>
  <c r="AB354"/>
  <c r="AB355"/>
  <c r="AB357"/>
  <c r="AB358"/>
  <c r="AB359"/>
  <c r="AB360"/>
  <c r="AB361"/>
  <c r="AB362"/>
  <c r="AB363"/>
  <c r="AB364"/>
  <c r="AB365"/>
  <c r="AB366"/>
  <c r="AB367"/>
  <c r="AB368"/>
  <c r="AB47"/>
  <c r="AB19"/>
  <c r="AB20"/>
  <c r="AB21"/>
  <c r="AB22"/>
  <c r="AB23"/>
  <c r="AB24"/>
  <c r="AB25"/>
  <c r="AB26"/>
  <c r="AB27"/>
  <c r="AB28"/>
  <c r="AB29"/>
  <c r="AB30"/>
  <c r="AB31"/>
  <c r="AB32"/>
  <c r="AB33"/>
  <c r="AB34"/>
  <c r="AB35"/>
  <c r="AB36"/>
  <c r="AB37"/>
  <c r="AB38"/>
  <c r="AB39"/>
  <c r="AB40"/>
  <c r="AB41"/>
  <c r="AB42"/>
  <c r="AB43"/>
  <c r="AB44"/>
  <c r="AB18"/>
  <c r="AB16"/>
  <c r="AB8"/>
  <c r="AB9"/>
  <c r="AB10"/>
  <c r="AB11"/>
  <c r="AB12"/>
  <c r="AB13"/>
  <c r="AB14"/>
  <c r="AB15"/>
  <c r="AB7"/>
  <c r="AA45"/>
  <c r="AA17"/>
  <c r="AA6"/>
  <c r="Z45"/>
  <c r="Z17"/>
  <c r="Z6"/>
  <c r="AB45" l="1"/>
  <c r="H44"/>
  <c r="H38"/>
  <c r="H39"/>
  <c r="H40"/>
  <c r="H41"/>
  <c r="H42"/>
  <c r="H43"/>
  <c r="H29"/>
  <c r="H30"/>
  <c r="H31"/>
  <c r="H32"/>
  <c r="H33"/>
  <c r="H34"/>
  <c r="H35"/>
  <c r="H36"/>
  <c r="H37"/>
  <c r="H19"/>
  <c r="H20"/>
  <c r="H21"/>
  <c r="H22"/>
  <c r="H23"/>
  <c r="H24"/>
  <c r="H25"/>
  <c r="H26"/>
  <c r="H27"/>
  <c r="H28"/>
  <c r="H18"/>
  <c r="H8"/>
  <c r="H9"/>
  <c r="H10"/>
  <c r="H11"/>
  <c r="H12"/>
  <c r="H13"/>
  <c r="H14"/>
  <c r="H15"/>
  <c r="H16"/>
  <c r="H7"/>
  <c r="BD45" l="1"/>
  <c r="BD17"/>
  <c r="BD6"/>
  <c r="BD369" l="1"/>
  <c r="AZ45" l="1"/>
  <c r="AZ17"/>
  <c r="AZ6"/>
  <c r="AX369"/>
  <c r="AZ369" l="1"/>
  <c r="AU45" l="1"/>
  <c r="AV45"/>
  <c r="AU17"/>
  <c r="AV17"/>
  <c r="AU6"/>
  <c r="AV6"/>
  <c r="AU369" l="1"/>
  <c r="AV369"/>
  <c r="AR368"/>
  <c r="AR47"/>
  <c r="AR48"/>
  <c r="AR49"/>
  <c r="AR50"/>
  <c r="AR51"/>
  <c r="AR53"/>
  <c r="AR54"/>
  <c r="AR55"/>
  <c r="AR56"/>
  <c r="AR57"/>
  <c r="AR58"/>
  <c r="AR59"/>
  <c r="AR60"/>
  <c r="AR61"/>
  <c r="AR62"/>
  <c r="AR63"/>
  <c r="AR64"/>
  <c r="AR66"/>
  <c r="AR67"/>
  <c r="AR68"/>
  <c r="AR69"/>
  <c r="AR70"/>
  <c r="AR72"/>
  <c r="AR73"/>
  <c r="AR74"/>
  <c r="AR75"/>
  <c r="AR76"/>
  <c r="AR77"/>
  <c r="AR78"/>
  <c r="AR79"/>
  <c r="AR81"/>
  <c r="AR82"/>
  <c r="AR83"/>
  <c r="AR84"/>
  <c r="AR85"/>
  <c r="AR86"/>
  <c r="AR87"/>
  <c r="AR88"/>
  <c r="AR89"/>
  <c r="AR91"/>
  <c r="AR92"/>
  <c r="AR93"/>
  <c r="AR94"/>
  <c r="AR95"/>
  <c r="AR96"/>
  <c r="AR97"/>
  <c r="AR98"/>
  <c r="AR99"/>
  <c r="AR100"/>
  <c r="AR101"/>
  <c r="AR102"/>
  <c r="AR103"/>
  <c r="AR105"/>
  <c r="AR106"/>
  <c r="AR107"/>
  <c r="AR108"/>
  <c r="AR109"/>
  <c r="AR110"/>
  <c r="AR111"/>
  <c r="AR112"/>
  <c r="AR113"/>
  <c r="AR114"/>
  <c r="AR115"/>
  <c r="AR116"/>
  <c r="AR117"/>
  <c r="AR118"/>
  <c r="AR119"/>
  <c r="AR121"/>
  <c r="AR122"/>
  <c r="AR123"/>
  <c r="AR124"/>
  <c r="AR125"/>
  <c r="AR126"/>
  <c r="AR127"/>
  <c r="AR129"/>
  <c r="AR130"/>
  <c r="AR131"/>
  <c r="AR132"/>
  <c r="AR133"/>
  <c r="AR134"/>
  <c r="AR135"/>
  <c r="AR136"/>
  <c r="AR138"/>
  <c r="AR139"/>
  <c r="AR140"/>
  <c r="AR141"/>
  <c r="AR142"/>
  <c r="AR143"/>
  <c r="AR145"/>
  <c r="AR146"/>
  <c r="AR147"/>
  <c r="AR148"/>
  <c r="AR149"/>
  <c r="AR150"/>
  <c r="AR151"/>
  <c r="AR152"/>
  <c r="AR153"/>
  <c r="AR154"/>
  <c r="AR155"/>
  <c r="AR156"/>
  <c r="AR158"/>
  <c r="AR159"/>
  <c r="AR160"/>
  <c r="AR161"/>
  <c r="AR162"/>
  <c r="AR163"/>
  <c r="AR164"/>
  <c r="AR165"/>
  <c r="AR166"/>
  <c r="AR167"/>
  <c r="AR168"/>
  <c r="AR169"/>
  <c r="AR170"/>
  <c r="AR172"/>
  <c r="AR173"/>
  <c r="AR174"/>
  <c r="AR175"/>
  <c r="AR176"/>
  <c r="AR177"/>
  <c r="AR179"/>
  <c r="AR180"/>
  <c r="AR181"/>
  <c r="AR182"/>
  <c r="AR183"/>
  <c r="AR184"/>
  <c r="AR185"/>
  <c r="AR186"/>
  <c r="AR187"/>
  <c r="AR188"/>
  <c r="AR189"/>
  <c r="AR190"/>
  <c r="AR191"/>
  <c r="AR193"/>
  <c r="AR194"/>
  <c r="AR195"/>
  <c r="AR196"/>
  <c r="AR197"/>
  <c r="AR198"/>
  <c r="AR199"/>
  <c r="AR200"/>
  <c r="AR201"/>
  <c r="AR202"/>
  <c r="AR203"/>
  <c r="AR204"/>
  <c r="AR206"/>
  <c r="AR207"/>
  <c r="AR208"/>
  <c r="AR209"/>
  <c r="AR210"/>
  <c r="AR211"/>
  <c r="AR212"/>
  <c r="AR213"/>
  <c r="AR214"/>
  <c r="AR215"/>
  <c r="AR216"/>
  <c r="AR217"/>
  <c r="AR218"/>
  <c r="AR220"/>
  <c r="AR221"/>
  <c r="AR222"/>
  <c r="AR223"/>
  <c r="AR224"/>
  <c r="AR225"/>
  <c r="AR226"/>
  <c r="AR227"/>
  <c r="AR228"/>
  <c r="AR230"/>
  <c r="AR231"/>
  <c r="AR232"/>
  <c r="AR233"/>
  <c r="AR234"/>
  <c r="AR235"/>
  <c r="AR236"/>
  <c r="AR237"/>
  <c r="AR239"/>
  <c r="AR240"/>
  <c r="AR241"/>
  <c r="AR242"/>
  <c r="AR243"/>
  <c r="AR244"/>
  <c r="AR245"/>
  <c r="AR246"/>
  <c r="AR247"/>
  <c r="AR248"/>
  <c r="AR249"/>
  <c r="AR250"/>
  <c r="AR251"/>
  <c r="AR252"/>
  <c r="AR253"/>
  <c r="AR255"/>
  <c r="AR256"/>
  <c r="AR257"/>
  <c r="AR258"/>
  <c r="AR259"/>
  <c r="AR260"/>
  <c r="AR261"/>
  <c r="AR263"/>
  <c r="AR264"/>
  <c r="AR265"/>
  <c r="AR266"/>
  <c r="AR267"/>
  <c r="AR268"/>
  <c r="AR269"/>
  <c r="AR270"/>
  <c r="AR271"/>
  <c r="AR272"/>
  <c r="AR273"/>
  <c r="AR274"/>
  <c r="AR275"/>
  <c r="AR276"/>
  <c r="AR277"/>
  <c r="AR278"/>
  <c r="AR279"/>
  <c r="AR281"/>
  <c r="AR282"/>
  <c r="AR283"/>
  <c r="AR284"/>
  <c r="AR285"/>
  <c r="AR286"/>
  <c r="AR287"/>
  <c r="AR288"/>
  <c r="AR289"/>
  <c r="AR290"/>
  <c r="AR291"/>
  <c r="AR292"/>
  <c r="AR293"/>
  <c r="AR294"/>
  <c r="AR295"/>
  <c r="AR296"/>
  <c r="AR297"/>
  <c r="AR298"/>
  <c r="AR299"/>
  <c r="AR300"/>
  <c r="AR301"/>
  <c r="AR302"/>
  <c r="AR303"/>
  <c r="AR304"/>
  <c r="AR306"/>
  <c r="AR307"/>
  <c r="AR308"/>
  <c r="AR309"/>
  <c r="AR310"/>
  <c r="AR311"/>
  <c r="AR312"/>
  <c r="AR313"/>
  <c r="AR314"/>
  <c r="AR315"/>
  <c r="AR316"/>
  <c r="AR317"/>
  <c r="AR318"/>
  <c r="AR319"/>
  <c r="AR320"/>
  <c r="AR322"/>
  <c r="AR323"/>
  <c r="AR324"/>
  <c r="AR325"/>
  <c r="AR326"/>
  <c r="AR327"/>
  <c r="AR328"/>
  <c r="AR329"/>
  <c r="AR330"/>
  <c r="AR331"/>
  <c r="AR332"/>
  <c r="AR334"/>
  <c r="AR335"/>
  <c r="AR336"/>
  <c r="AR337"/>
  <c r="AR338"/>
  <c r="AR339"/>
  <c r="AR340"/>
  <c r="AR341"/>
  <c r="AR342"/>
  <c r="AR343"/>
  <c r="AR344"/>
  <c r="AR346"/>
  <c r="AR347"/>
  <c r="AR348"/>
  <c r="AR349"/>
  <c r="AR350"/>
  <c r="AR351"/>
  <c r="AR352"/>
  <c r="AR353"/>
  <c r="AR354"/>
  <c r="AR355"/>
  <c r="AR357"/>
  <c r="AR358"/>
  <c r="AR359"/>
  <c r="AR360"/>
  <c r="AR361"/>
  <c r="AR362"/>
  <c r="AR363"/>
  <c r="AR364"/>
  <c r="AR365"/>
  <c r="AR366"/>
  <c r="AR367"/>
  <c r="AR19"/>
  <c r="AR20"/>
  <c r="AR21"/>
  <c r="AR22"/>
  <c r="AR23"/>
  <c r="AR24"/>
  <c r="AR25"/>
  <c r="AR26"/>
  <c r="AR27"/>
  <c r="AR28"/>
  <c r="AR29"/>
  <c r="AR30"/>
  <c r="AR31"/>
  <c r="AR32"/>
  <c r="AR33"/>
  <c r="AR34"/>
  <c r="AR35"/>
  <c r="AR36"/>
  <c r="AR37"/>
  <c r="AR38"/>
  <c r="AR39"/>
  <c r="AR40"/>
  <c r="AR41"/>
  <c r="AR42"/>
  <c r="AR43"/>
  <c r="AR44"/>
  <c r="AR18"/>
  <c r="AR8"/>
  <c r="AR9"/>
  <c r="AR10"/>
  <c r="AR11"/>
  <c r="AR12"/>
  <c r="AR13"/>
  <c r="AR14"/>
  <c r="AR15"/>
  <c r="AR16"/>
  <c r="AR7"/>
  <c r="AN44" l="1"/>
  <c r="AD44" i="8" s="1"/>
  <c r="AE44" s="1"/>
  <c r="AN19" i="7"/>
  <c r="AD19" i="8" s="1"/>
  <c r="AE19" s="1"/>
  <c r="AN20" i="7"/>
  <c r="AD20" i="8" s="1"/>
  <c r="AE20" s="1"/>
  <c r="AN21" i="7"/>
  <c r="AD21" i="8" s="1"/>
  <c r="AE21" s="1"/>
  <c r="AN22" i="7"/>
  <c r="AD22" i="8" s="1"/>
  <c r="AE22" s="1"/>
  <c r="AN23" i="7"/>
  <c r="AD23" i="8" s="1"/>
  <c r="AE23" s="1"/>
  <c r="AN24" i="7"/>
  <c r="AD24" i="8" s="1"/>
  <c r="AE24" s="1"/>
  <c r="AN25" i="7"/>
  <c r="AD25" i="8" s="1"/>
  <c r="AE25" s="1"/>
  <c r="AN26" i="7"/>
  <c r="AD26" i="8" s="1"/>
  <c r="AE26" s="1"/>
  <c r="AN27" i="7"/>
  <c r="AD27" i="8" s="1"/>
  <c r="AE27" s="1"/>
  <c r="AN28" i="7"/>
  <c r="AD28" i="8" s="1"/>
  <c r="AE28" s="1"/>
  <c r="AN29" i="7"/>
  <c r="AD29" i="8" s="1"/>
  <c r="AE29" s="1"/>
  <c r="AN30" i="7"/>
  <c r="AD30" i="8" s="1"/>
  <c r="AE30" s="1"/>
  <c r="AN31" i="7"/>
  <c r="AD31" i="8" s="1"/>
  <c r="AE31" s="1"/>
  <c r="AN32" i="7"/>
  <c r="AD32" i="8" s="1"/>
  <c r="AE32" s="1"/>
  <c r="AN33" i="7"/>
  <c r="AD33" i="8" s="1"/>
  <c r="AE33" s="1"/>
  <c r="AN34" i="7"/>
  <c r="AD34" i="8" s="1"/>
  <c r="AE34" s="1"/>
  <c r="AN35" i="7"/>
  <c r="AD35" i="8" s="1"/>
  <c r="AE35" s="1"/>
  <c r="AN36" i="7"/>
  <c r="AD36" i="8" s="1"/>
  <c r="AE36" s="1"/>
  <c r="AN37" i="7"/>
  <c r="AD37" i="8" s="1"/>
  <c r="AE37" s="1"/>
  <c r="AN38" i="7"/>
  <c r="AD38" i="8" s="1"/>
  <c r="AE38" s="1"/>
  <c r="AN39" i="7"/>
  <c r="AD39" i="8" s="1"/>
  <c r="AE39" s="1"/>
  <c r="AN40" i="7"/>
  <c r="AD40" i="8" s="1"/>
  <c r="AE40" s="1"/>
  <c r="AN41" i="7"/>
  <c r="AD41" i="8" s="1"/>
  <c r="AE41" s="1"/>
  <c r="AN42" i="7"/>
  <c r="AD42" i="8" s="1"/>
  <c r="AE42" s="1"/>
  <c r="AN43" i="7"/>
  <c r="AD43" i="8" s="1"/>
  <c r="AE43" s="1"/>
  <c r="AN18" i="7"/>
  <c r="AD18" i="8" s="1"/>
  <c r="AE18" s="1"/>
  <c r="AJ44" i="7"/>
  <c r="AA44" i="8" s="1"/>
  <c r="AB44" s="1"/>
  <c r="AJ19" i="7"/>
  <c r="AA19" i="8" s="1"/>
  <c r="AB19" s="1"/>
  <c r="AJ20" i="7"/>
  <c r="AA20" i="8" s="1"/>
  <c r="AB20" s="1"/>
  <c r="AJ21" i="7"/>
  <c r="AA21" i="8" s="1"/>
  <c r="AB21" s="1"/>
  <c r="AJ22" i="7"/>
  <c r="AA22" i="8" s="1"/>
  <c r="AB22" s="1"/>
  <c r="AJ23" i="7"/>
  <c r="AA23" i="8" s="1"/>
  <c r="AB23" s="1"/>
  <c r="AJ24" i="7"/>
  <c r="AA24" i="8" s="1"/>
  <c r="AB24" s="1"/>
  <c r="AJ25" i="7"/>
  <c r="AA25" i="8" s="1"/>
  <c r="AB25" s="1"/>
  <c r="AJ26" i="7"/>
  <c r="AA26" i="8" s="1"/>
  <c r="AB26" s="1"/>
  <c r="AJ27" i="7"/>
  <c r="AA27" i="8" s="1"/>
  <c r="AB27" s="1"/>
  <c r="AJ28" i="7"/>
  <c r="AA28" i="8" s="1"/>
  <c r="AB28" s="1"/>
  <c r="AJ29" i="7"/>
  <c r="AA29" i="8" s="1"/>
  <c r="AB29" s="1"/>
  <c r="AJ30" i="7"/>
  <c r="AA30" i="8" s="1"/>
  <c r="AB30" s="1"/>
  <c r="AJ31" i="7"/>
  <c r="AA31" i="8" s="1"/>
  <c r="AB31" s="1"/>
  <c r="AJ32" i="7"/>
  <c r="AA32" i="8" s="1"/>
  <c r="AB32" s="1"/>
  <c r="AJ33" i="7"/>
  <c r="AA33" i="8" s="1"/>
  <c r="AB33" s="1"/>
  <c r="AJ34" i="7"/>
  <c r="AA34" i="8" s="1"/>
  <c r="AB34" s="1"/>
  <c r="AJ35" i="7"/>
  <c r="AA35" i="8" s="1"/>
  <c r="AB35" s="1"/>
  <c r="AJ36" i="7"/>
  <c r="AA36" i="8" s="1"/>
  <c r="AB36" s="1"/>
  <c r="AJ37" i="7"/>
  <c r="AA37" i="8" s="1"/>
  <c r="AB37" s="1"/>
  <c r="AJ38" i="7"/>
  <c r="AA38" i="8" s="1"/>
  <c r="AB38" s="1"/>
  <c r="AJ39" i="7"/>
  <c r="AA39" i="8" s="1"/>
  <c r="AB39" s="1"/>
  <c r="AJ40" i="7"/>
  <c r="AA40" i="8" s="1"/>
  <c r="AB40" s="1"/>
  <c r="AJ41" i="7"/>
  <c r="AA41" i="8" s="1"/>
  <c r="AB41" s="1"/>
  <c r="AJ42" i="7"/>
  <c r="AA42" i="8" s="1"/>
  <c r="AB42" s="1"/>
  <c r="AJ43" i="7"/>
  <c r="AA43" i="8" s="1"/>
  <c r="AB43" s="1"/>
  <c r="AJ18" i="7"/>
  <c r="AA18" i="8" s="1"/>
  <c r="AB18" s="1"/>
  <c r="AH17" i="7"/>
  <c r="AM17"/>
  <c r="AL17"/>
  <c r="AI17"/>
  <c r="AF48"/>
  <c r="X48" i="8" s="1"/>
  <c r="Y48" s="1"/>
  <c r="AF49" i="7"/>
  <c r="X49" i="8" s="1"/>
  <c r="Y49" s="1"/>
  <c r="AF50" i="7"/>
  <c r="X50" i="8" s="1"/>
  <c r="Y50" s="1"/>
  <c r="AF51" i="7"/>
  <c r="X51" i="8" s="1"/>
  <c r="Y51" s="1"/>
  <c r="AF53" i="7"/>
  <c r="X53" i="8" s="1"/>
  <c r="Y53" s="1"/>
  <c r="AF54" i="7"/>
  <c r="X54" i="8" s="1"/>
  <c r="Y54" s="1"/>
  <c r="AF55" i="7"/>
  <c r="X55" i="8" s="1"/>
  <c r="Y55" s="1"/>
  <c r="AF56" i="7"/>
  <c r="X56" i="8" s="1"/>
  <c r="Y56" s="1"/>
  <c r="AF57" i="7"/>
  <c r="X57" i="8" s="1"/>
  <c r="Y57" s="1"/>
  <c r="AF58" i="7"/>
  <c r="X58" i="8" s="1"/>
  <c r="Y58" s="1"/>
  <c r="AF59" i="7"/>
  <c r="X59" i="8" s="1"/>
  <c r="Y59" s="1"/>
  <c r="AF60" i="7"/>
  <c r="X60" i="8" s="1"/>
  <c r="Y60" s="1"/>
  <c r="AF61" i="7"/>
  <c r="X61" i="8" s="1"/>
  <c r="Y61" s="1"/>
  <c r="AF62" i="7"/>
  <c r="X62" i="8" s="1"/>
  <c r="Y62" s="1"/>
  <c r="AF63" i="7"/>
  <c r="X63" i="8" s="1"/>
  <c r="Y63" s="1"/>
  <c r="AF64" i="7"/>
  <c r="X64" i="8" s="1"/>
  <c r="Y64" s="1"/>
  <c r="AF66" i="7"/>
  <c r="X66" i="8" s="1"/>
  <c r="Y66" s="1"/>
  <c r="AF67" i="7"/>
  <c r="X67" i="8" s="1"/>
  <c r="Y67" s="1"/>
  <c r="AF68" i="7"/>
  <c r="X68" i="8" s="1"/>
  <c r="Y68" s="1"/>
  <c r="AF69" i="7"/>
  <c r="X69" i="8" s="1"/>
  <c r="Y69" s="1"/>
  <c r="AF70" i="7"/>
  <c r="X70" i="8" s="1"/>
  <c r="Y70" s="1"/>
  <c r="AF72" i="7"/>
  <c r="X72" i="8" s="1"/>
  <c r="Y72" s="1"/>
  <c r="AF73" i="7"/>
  <c r="X73" i="8" s="1"/>
  <c r="Y73" s="1"/>
  <c r="AF74" i="7"/>
  <c r="X74" i="8" s="1"/>
  <c r="Y74" s="1"/>
  <c r="AF75" i="7"/>
  <c r="X75" i="8" s="1"/>
  <c r="Y75" s="1"/>
  <c r="AF76" i="7"/>
  <c r="X76" i="8" s="1"/>
  <c r="Y76" s="1"/>
  <c r="AF77" i="7"/>
  <c r="X77" i="8" s="1"/>
  <c r="Y77" s="1"/>
  <c r="AF78" i="7"/>
  <c r="X78" i="8" s="1"/>
  <c r="Y78" s="1"/>
  <c r="AF79" i="7"/>
  <c r="X79" i="8" s="1"/>
  <c r="Y79" s="1"/>
  <c r="AF81" i="7"/>
  <c r="X81" i="8" s="1"/>
  <c r="Y81" s="1"/>
  <c r="AF82" i="7"/>
  <c r="X82" i="8" s="1"/>
  <c r="Y82" s="1"/>
  <c r="AF83" i="7"/>
  <c r="X83" i="8" s="1"/>
  <c r="Y83" s="1"/>
  <c r="AF84" i="7"/>
  <c r="X84" i="8" s="1"/>
  <c r="Y84" s="1"/>
  <c r="AF85" i="7"/>
  <c r="X85" i="8" s="1"/>
  <c r="Y85" s="1"/>
  <c r="AF86" i="7"/>
  <c r="X86" i="8" s="1"/>
  <c r="Y86" s="1"/>
  <c r="AF87" i="7"/>
  <c r="X87" i="8" s="1"/>
  <c r="Y87" s="1"/>
  <c r="AF88" i="7"/>
  <c r="X88" i="8" s="1"/>
  <c r="Y88" s="1"/>
  <c r="AF89" i="7"/>
  <c r="X89" i="8" s="1"/>
  <c r="Y89" s="1"/>
  <c r="AF91" i="7"/>
  <c r="X91" i="8" s="1"/>
  <c r="Y91" s="1"/>
  <c r="AF92" i="7"/>
  <c r="X92" i="8" s="1"/>
  <c r="Y92" s="1"/>
  <c r="AF93" i="7"/>
  <c r="X93" i="8" s="1"/>
  <c r="Y93" s="1"/>
  <c r="AF94" i="7"/>
  <c r="X94" i="8" s="1"/>
  <c r="Y94" s="1"/>
  <c r="AF95" i="7"/>
  <c r="X95" i="8" s="1"/>
  <c r="Y95" s="1"/>
  <c r="AF96" i="7"/>
  <c r="X96" i="8" s="1"/>
  <c r="Y96" s="1"/>
  <c r="AF97" i="7"/>
  <c r="X97" i="8" s="1"/>
  <c r="Y97" s="1"/>
  <c r="AF98" i="7"/>
  <c r="X98" i="8" s="1"/>
  <c r="Y98" s="1"/>
  <c r="AF99" i="7"/>
  <c r="X99" i="8" s="1"/>
  <c r="Y99" s="1"/>
  <c r="AF100" i="7"/>
  <c r="X100" i="8" s="1"/>
  <c r="Y100" s="1"/>
  <c r="AF101" i="7"/>
  <c r="X101" i="8" s="1"/>
  <c r="Y101" s="1"/>
  <c r="AF102" i="7"/>
  <c r="X102" i="8" s="1"/>
  <c r="Y102" s="1"/>
  <c r="AF103" i="7"/>
  <c r="X103" i="8" s="1"/>
  <c r="Y103" s="1"/>
  <c r="AF105" i="7"/>
  <c r="X105" i="8" s="1"/>
  <c r="Y105" s="1"/>
  <c r="AF106" i="7"/>
  <c r="X106" i="8" s="1"/>
  <c r="Y106" s="1"/>
  <c r="AF107" i="7"/>
  <c r="X107" i="8" s="1"/>
  <c r="Y107" s="1"/>
  <c r="AF108" i="7"/>
  <c r="X108" i="8" s="1"/>
  <c r="Y108" s="1"/>
  <c r="AF109" i="7"/>
  <c r="X109" i="8" s="1"/>
  <c r="Y109" s="1"/>
  <c r="AF110" i="7"/>
  <c r="X110" i="8" s="1"/>
  <c r="Y110" s="1"/>
  <c r="AF111" i="7"/>
  <c r="X111" i="8" s="1"/>
  <c r="Y111" s="1"/>
  <c r="AF112" i="7"/>
  <c r="X112" i="8" s="1"/>
  <c r="Y112" s="1"/>
  <c r="AF113" i="7"/>
  <c r="X113" i="8" s="1"/>
  <c r="Y113" s="1"/>
  <c r="AF114" i="7"/>
  <c r="X114" i="8" s="1"/>
  <c r="Y114" s="1"/>
  <c r="AF115" i="7"/>
  <c r="X115" i="8" s="1"/>
  <c r="Y115" s="1"/>
  <c r="AF116" i="7"/>
  <c r="X116" i="8" s="1"/>
  <c r="Y116" s="1"/>
  <c r="AF117" i="7"/>
  <c r="X117" i="8" s="1"/>
  <c r="Y117" s="1"/>
  <c r="AF118" i="7"/>
  <c r="X118" i="8" s="1"/>
  <c r="Y118" s="1"/>
  <c r="AF119" i="7"/>
  <c r="X119" i="8" s="1"/>
  <c r="Y119" s="1"/>
  <c r="AF121" i="7"/>
  <c r="X121" i="8" s="1"/>
  <c r="Y121" s="1"/>
  <c r="AF122" i="7"/>
  <c r="X122" i="8" s="1"/>
  <c r="Y122" s="1"/>
  <c r="AF123" i="7"/>
  <c r="X123" i="8" s="1"/>
  <c r="Y123" s="1"/>
  <c r="AF124" i="7"/>
  <c r="X124" i="8" s="1"/>
  <c r="Y124" s="1"/>
  <c r="AF125" i="7"/>
  <c r="X125" i="8" s="1"/>
  <c r="Y125" s="1"/>
  <c r="AF126" i="7"/>
  <c r="X126" i="8" s="1"/>
  <c r="Y126" s="1"/>
  <c r="AF127" i="7"/>
  <c r="X127" i="8" s="1"/>
  <c r="Y127" s="1"/>
  <c r="AF129" i="7"/>
  <c r="X129" i="8" s="1"/>
  <c r="Y129" s="1"/>
  <c r="AF130" i="7"/>
  <c r="X130" i="8" s="1"/>
  <c r="Y130" s="1"/>
  <c r="AF131" i="7"/>
  <c r="X131" i="8" s="1"/>
  <c r="Y131" s="1"/>
  <c r="AF132" i="7"/>
  <c r="X132" i="8" s="1"/>
  <c r="Y132" s="1"/>
  <c r="AF133" i="7"/>
  <c r="X133" i="8" s="1"/>
  <c r="Y133" s="1"/>
  <c r="AF134" i="7"/>
  <c r="X134" i="8" s="1"/>
  <c r="Y134" s="1"/>
  <c r="AF135" i="7"/>
  <c r="X135" i="8" s="1"/>
  <c r="Y135" s="1"/>
  <c r="AF136" i="7"/>
  <c r="X136" i="8" s="1"/>
  <c r="Y136" s="1"/>
  <c r="AF138" i="7"/>
  <c r="X138" i="8" s="1"/>
  <c r="Y138" s="1"/>
  <c r="AF139" i="7"/>
  <c r="X139" i="8" s="1"/>
  <c r="Y139" s="1"/>
  <c r="AF140" i="7"/>
  <c r="X140" i="8" s="1"/>
  <c r="Y140" s="1"/>
  <c r="AF141" i="7"/>
  <c r="X141" i="8" s="1"/>
  <c r="Y141" s="1"/>
  <c r="AF142" i="7"/>
  <c r="X142" i="8" s="1"/>
  <c r="Y142" s="1"/>
  <c r="AF143" i="7"/>
  <c r="X143" i="8" s="1"/>
  <c r="Y143" s="1"/>
  <c r="AF145" i="7"/>
  <c r="X145" i="8" s="1"/>
  <c r="Y145" s="1"/>
  <c r="AF146" i="7"/>
  <c r="X146" i="8" s="1"/>
  <c r="Y146" s="1"/>
  <c r="AF147" i="7"/>
  <c r="X147" i="8" s="1"/>
  <c r="Y147" s="1"/>
  <c r="AF148" i="7"/>
  <c r="X148" i="8" s="1"/>
  <c r="Y148" s="1"/>
  <c r="AF149" i="7"/>
  <c r="X149" i="8" s="1"/>
  <c r="Y149" s="1"/>
  <c r="AF150" i="7"/>
  <c r="X150" i="8" s="1"/>
  <c r="Y150" s="1"/>
  <c r="AF151" i="7"/>
  <c r="X151" i="8" s="1"/>
  <c r="Y151" s="1"/>
  <c r="AF152" i="7"/>
  <c r="X152" i="8" s="1"/>
  <c r="Y152" s="1"/>
  <c r="AF153" i="7"/>
  <c r="X153" i="8" s="1"/>
  <c r="Y153" s="1"/>
  <c r="AF154" i="7"/>
  <c r="X154" i="8" s="1"/>
  <c r="Y154" s="1"/>
  <c r="AF155" i="7"/>
  <c r="X155" i="8" s="1"/>
  <c r="Y155" s="1"/>
  <c r="AF156" i="7"/>
  <c r="X156" i="8" s="1"/>
  <c r="Y156" s="1"/>
  <c r="AF158" i="7"/>
  <c r="X158" i="8" s="1"/>
  <c r="Y158" s="1"/>
  <c r="AF159" i="7"/>
  <c r="X159" i="8" s="1"/>
  <c r="Y159" s="1"/>
  <c r="AF160" i="7"/>
  <c r="X160" i="8" s="1"/>
  <c r="Y160" s="1"/>
  <c r="AF161" i="7"/>
  <c r="X161" i="8" s="1"/>
  <c r="Y161" s="1"/>
  <c r="AF162" i="7"/>
  <c r="X162" i="8" s="1"/>
  <c r="Y162" s="1"/>
  <c r="AF163" i="7"/>
  <c r="X163" i="8" s="1"/>
  <c r="Y163" s="1"/>
  <c r="AF164" i="7"/>
  <c r="X164" i="8" s="1"/>
  <c r="Y164" s="1"/>
  <c r="AF165" i="7"/>
  <c r="X165" i="8" s="1"/>
  <c r="Y165" s="1"/>
  <c r="AF166" i="7"/>
  <c r="X166" i="8" s="1"/>
  <c r="Y166" s="1"/>
  <c r="AF167" i="7"/>
  <c r="X167" i="8" s="1"/>
  <c r="Y167" s="1"/>
  <c r="AF168" i="7"/>
  <c r="X168" i="8" s="1"/>
  <c r="Y168" s="1"/>
  <c r="AF169" i="7"/>
  <c r="X169" i="8" s="1"/>
  <c r="Y169" s="1"/>
  <c r="AF170" i="7"/>
  <c r="X170" i="8" s="1"/>
  <c r="Y170" s="1"/>
  <c r="AF172" i="7"/>
  <c r="X172" i="8" s="1"/>
  <c r="Y172" s="1"/>
  <c r="AF173" i="7"/>
  <c r="X173" i="8" s="1"/>
  <c r="Y173" s="1"/>
  <c r="AF174" i="7"/>
  <c r="X174" i="8" s="1"/>
  <c r="Y174" s="1"/>
  <c r="AF175" i="7"/>
  <c r="X175" i="8" s="1"/>
  <c r="Y175" s="1"/>
  <c r="AF176" i="7"/>
  <c r="X176" i="8" s="1"/>
  <c r="Y176" s="1"/>
  <c r="AF177" i="7"/>
  <c r="X177" i="8" s="1"/>
  <c r="Y177" s="1"/>
  <c r="AF179" i="7"/>
  <c r="X179" i="8" s="1"/>
  <c r="Y179" s="1"/>
  <c r="AF180" i="7"/>
  <c r="X180" i="8" s="1"/>
  <c r="Y180" s="1"/>
  <c r="AF181" i="7"/>
  <c r="X181" i="8" s="1"/>
  <c r="Y181" s="1"/>
  <c r="AF182" i="7"/>
  <c r="X182" i="8" s="1"/>
  <c r="Y182" s="1"/>
  <c r="AF183" i="7"/>
  <c r="X183" i="8" s="1"/>
  <c r="Y183" s="1"/>
  <c r="AF184" i="7"/>
  <c r="X184" i="8" s="1"/>
  <c r="Y184" s="1"/>
  <c r="AF185" i="7"/>
  <c r="X185" i="8" s="1"/>
  <c r="Y185" s="1"/>
  <c r="AF186" i="7"/>
  <c r="X186" i="8" s="1"/>
  <c r="Y186" s="1"/>
  <c r="AF187" i="7"/>
  <c r="X187" i="8" s="1"/>
  <c r="Y187" s="1"/>
  <c r="AF188" i="7"/>
  <c r="X188" i="8" s="1"/>
  <c r="Y188" s="1"/>
  <c r="AF189" i="7"/>
  <c r="X189" i="8" s="1"/>
  <c r="Y189" s="1"/>
  <c r="AF190" i="7"/>
  <c r="X190" i="8" s="1"/>
  <c r="Y190" s="1"/>
  <c r="AF191" i="7"/>
  <c r="X191" i="8" s="1"/>
  <c r="Y191" s="1"/>
  <c r="AF193" i="7"/>
  <c r="X193" i="8" s="1"/>
  <c r="Y193" s="1"/>
  <c r="AF194" i="7"/>
  <c r="X194" i="8" s="1"/>
  <c r="Y194" s="1"/>
  <c r="AF195" i="7"/>
  <c r="X195" i="8" s="1"/>
  <c r="Y195" s="1"/>
  <c r="AF196" i="7"/>
  <c r="X196" i="8" s="1"/>
  <c r="Y196" s="1"/>
  <c r="AF197" i="7"/>
  <c r="X197" i="8" s="1"/>
  <c r="Y197" s="1"/>
  <c r="AF198" i="7"/>
  <c r="X198" i="8" s="1"/>
  <c r="Y198" s="1"/>
  <c r="AF199" i="7"/>
  <c r="X199" i="8" s="1"/>
  <c r="Y199" s="1"/>
  <c r="AF200" i="7"/>
  <c r="X200" i="8" s="1"/>
  <c r="Y200" s="1"/>
  <c r="AF201" i="7"/>
  <c r="X201" i="8" s="1"/>
  <c r="Y201" s="1"/>
  <c r="AF202" i="7"/>
  <c r="X202" i="8" s="1"/>
  <c r="Y202" s="1"/>
  <c r="AF203" i="7"/>
  <c r="X203" i="8" s="1"/>
  <c r="Y203" s="1"/>
  <c r="AF204" i="7"/>
  <c r="X204" i="8" s="1"/>
  <c r="Y204" s="1"/>
  <c r="AF206" i="7"/>
  <c r="X206" i="8" s="1"/>
  <c r="Y206" s="1"/>
  <c r="AF207" i="7"/>
  <c r="X207" i="8" s="1"/>
  <c r="Y207" s="1"/>
  <c r="AF208" i="7"/>
  <c r="X208" i="8" s="1"/>
  <c r="Y208" s="1"/>
  <c r="AF209" i="7"/>
  <c r="X209" i="8" s="1"/>
  <c r="Y209" s="1"/>
  <c r="AF210" i="7"/>
  <c r="X210" i="8" s="1"/>
  <c r="Y210" s="1"/>
  <c r="AF211" i="7"/>
  <c r="X211" i="8" s="1"/>
  <c r="Y211" s="1"/>
  <c r="AF212" i="7"/>
  <c r="X212" i="8" s="1"/>
  <c r="Y212" s="1"/>
  <c r="AF213" i="7"/>
  <c r="X213" i="8" s="1"/>
  <c r="Y213" s="1"/>
  <c r="AF214" i="7"/>
  <c r="X214" i="8" s="1"/>
  <c r="Y214" s="1"/>
  <c r="AF215" i="7"/>
  <c r="X215" i="8" s="1"/>
  <c r="Y215" s="1"/>
  <c r="AF216" i="7"/>
  <c r="X216" i="8" s="1"/>
  <c r="Y216" s="1"/>
  <c r="AF217" i="7"/>
  <c r="X217" i="8" s="1"/>
  <c r="Y217" s="1"/>
  <c r="AF218" i="7"/>
  <c r="X218" i="8" s="1"/>
  <c r="Y218" s="1"/>
  <c r="AF220" i="7"/>
  <c r="X220" i="8" s="1"/>
  <c r="Y220" s="1"/>
  <c r="AF221" i="7"/>
  <c r="X221" i="8" s="1"/>
  <c r="Y221" s="1"/>
  <c r="AF222" i="7"/>
  <c r="X222" i="8" s="1"/>
  <c r="Y222" s="1"/>
  <c r="AF223" i="7"/>
  <c r="X223" i="8" s="1"/>
  <c r="Y223" s="1"/>
  <c r="AF224" i="7"/>
  <c r="X224" i="8" s="1"/>
  <c r="Y224" s="1"/>
  <c r="AF225" i="7"/>
  <c r="X225" i="8" s="1"/>
  <c r="Y225" s="1"/>
  <c r="AF226" i="7"/>
  <c r="X226" i="8" s="1"/>
  <c r="Y226" s="1"/>
  <c r="AF227" i="7"/>
  <c r="X227" i="8" s="1"/>
  <c r="Y227" s="1"/>
  <c r="AF228" i="7"/>
  <c r="X228" i="8" s="1"/>
  <c r="Y228" s="1"/>
  <c r="AF230" i="7"/>
  <c r="X230" i="8" s="1"/>
  <c r="Y230" s="1"/>
  <c r="AF231" i="7"/>
  <c r="X231" i="8" s="1"/>
  <c r="Y231" s="1"/>
  <c r="AF232" i="7"/>
  <c r="X232" i="8" s="1"/>
  <c r="Y232" s="1"/>
  <c r="AF233" i="7"/>
  <c r="X233" i="8" s="1"/>
  <c r="Y233" s="1"/>
  <c r="AF234" i="7"/>
  <c r="X234" i="8" s="1"/>
  <c r="Y234" s="1"/>
  <c r="AF235" i="7"/>
  <c r="X235" i="8" s="1"/>
  <c r="Y235" s="1"/>
  <c r="AF236" i="7"/>
  <c r="X236" i="8" s="1"/>
  <c r="Y236" s="1"/>
  <c r="AF237" i="7"/>
  <c r="X237" i="8" s="1"/>
  <c r="Y237" s="1"/>
  <c r="AF239" i="7"/>
  <c r="X239" i="8" s="1"/>
  <c r="Y239" s="1"/>
  <c r="AF240" i="7"/>
  <c r="X240" i="8" s="1"/>
  <c r="Y240" s="1"/>
  <c r="AF241" i="7"/>
  <c r="X241" i="8" s="1"/>
  <c r="Y241" s="1"/>
  <c r="AF242" i="7"/>
  <c r="X242" i="8" s="1"/>
  <c r="Y242" s="1"/>
  <c r="AF243" i="7"/>
  <c r="X243" i="8" s="1"/>
  <c r="Y243" s="1"/>
  <c r="AF244" i="7"/>
  <c r="X244" i="8" s="1"/>
  <c r="Y244" s="1"/>
  <c r="AF245" i="7"/>
  <c r="X245" i="8" s="1"/>
  <c r="Y245" s="1"/>
  <c r="AF246" i="7"/>
  <c r="X246" i="8" s="1"/>
  <c r="Y246" s="1"/>
  <c r="AF247" i="7"/>
  <c r="X247" i="8" s="1"/>
  <c r="Y247" s="1"/>
  <c r="AF248" i="7"/>
  <c r="X248" i="8" s="1"/>
  <c r="Y248" s="1"/>
  <c r="AF249" i="7"/>
  <c r="X249" i="8" s="1"/>
  <c r="Y249" s="1"/>
  <c r="AF250" i="7"/>
  <c r="X250" i="8" s="1"/>
  <c r="Y250" s="1"/>
  <c r="AF251" i="7"/>
  <c r="X251" i="8" s="1"/>
  <c r="Y251" s="1"/>
  <c r="AF252" i="7"/>
  <c r="X252" i="8" s="1"/>
  <c r="Y252" s="1"/>
  <c r="AF253" i="7"/>
  <c r="X253" i="8" s="1"/>
  <c r="Y253" s="1"/>
  <c r="AF255" i="7"/>
  <c r="X255" i="8" s="1"/>
  <c r="Y255" s="1"/>
  <c r="AF256" i="7"/>
  <c r="X256" i="8" s="1"/>
  <c r="Y256" s="1"/>
  <c r="AF257" i="7"/>
  <c r="X257" i="8" s="1"/>
  <c r="Y257" s="1"/>
  <c r="AF258" i="7"/>
  <c r="X258" i="8" s="1"/>
  <c r="Y258" s="1"/>
  <c r="AF259" i="7"/>
  <c r="X259" i="8" s="1"/>
  <c r="Y259" s="1"/>
  <c r="AF260" i="7"/>
  <c r="X260" i="8" s="1"/>
  <c r="Y260" s="1"/>
  <c r="AF261" i="7"/>
  <c r="X261" i="8" s="1"/>
  <c r="Y261" s="1"/>
  <c r="AF263" i="7"/>
  <c r="X263" i="8" s="1"/>
  <c r="Y263" s="1"/>
  <c r="AF264" i="7"/>
  <c r="X264" i="8" s="1"/>
  <c r="Y264" s="1"/>
  <c r="AF265" i="7"/>
  <c r="X265" i="8" s="1"/>
  <c r="Y265" s="1"/>
  <c r="AF266" i="7"/>
  <c r="X266" i="8" s="1"/>
  <c r="Y266" s="1"/>
  <c r="AF267" i="7"/>
  <c r="X267" i="8" s="1"/>
  <c r="Y267" s="1"/>
  <c r="AF268" i="7"/>
  <c r="X268" i="8" s="1"/>
  <c r="Y268" s="1"/>
  <c r="AF269" i="7"/>
  <c r="X269" i="8" s="1"/>
  <c r="Y269" s="1"/>
  <c r="AF270" i="7"/>
  <c r="X270" i="8" s="1"/>
  <c r="Y270" s="1"/>
  <c r="AF271" i="7"/>
  <c r="X271" i="8" s="1"/>
  <c r="Y271" s="1"/>
  <c r="AF272" i="7"/>
  <c r="X272" i="8" s="1"/>
  <c r="Y272" s="1"/>
  <c r="AF273" i="7"/>
  <c r="X273" i="8" s="1"/>
  <c r="Y273" s="1"/>
  <c r="AF274" i="7"/>
  <c r="X274" i="8" s="1"/>
  <c r="Y274" s="1"/>
  <c r="AF275" i="7"/>
  <c r="X275" i="8" s="1"/>
  <c r="Y275" s="1"/>
  <c r="AF276" i="7"/>
  <c r="X276" i="8" s="1"/>
  <c r="Y276" s="1"/>
  <c r="AF277" i="7"/>
  <c r="X277" i="8" s="1"/>
  <c r="Y277" s="1"/>
  <c r="AF278" i="7"/>
  <c r="X278" i="8" s="1"/>
  <c r="Y278" s="1"/>
  <c r="AF279" i="7"/>
  <c r="X279" i="8" s="1"/>
  <c r="Y279" s="1"/>
  <c r="AF281" i="7"/>
  <c r="X281" i="8" s="1"/>
  <c r="Y281" s="1"/>
  <c r="AF282" i="7"/>
  <c r="X282" i="8" s="1"/>
  <c r="Y282" s="1"/>
  <c r="AF283" i="7"/>
  <c r="X283" i="8" s="1"/>
  <c r="Y283" s="1"/>
  <c r="AF284" i="7"/>
  <c r="X284" i="8" s="1"/>
  <c r="Y284" s="1"/>
  <c r="AF285" i="7"/>
  <c r="X285" i="8" s="1"/>
  <c r="Y285" s="1"/>
  <c r="AF286" i="7"/>
  <c r="X286" i="8" s="1"/>
  <c r="Y286" s="1"/>
  <c r="AF287" i="7"/>
  <c r="X287" i="8" s="1"/>
  <c r="Y287" s="1"/>
  <c r="AF288" i="7"/>
  <c r="X288" i="8" s="1"/>
  <c r="Y288" s="1"/>
  <c r="AF289" i="7"/>
  <c r="X289" i="8" s="1"/>
  <c r="Y289" s="1"/>
  <c r="AF290" i="7"/>
  <c r="X290" i="8" s="1"/>
  <c r="Y290" s="1"/>
  <c r="AF291" i="7"/>
  <c r="X291" i="8" s="1"/>
  <c r="Y291" s="1"/>
  <c r="AF292" i="7"/>
  <c r="X292" i="8" s="1"/>
  <c r="Y292" s="1"/>
  <c r="AF293" i="7"/>
  <c r="X293" i="8" s="1"/>
  <c r="Y293" s="1"/>
  <c r="AF294" i="7"/>
  <c r="X294" i="8" s="1"/>
  <c r="Y294" s="1"/>
  <c r="AF295" i="7"/>
  <c r="X295" i="8" s="1"/>
  <c r="Y295" s="1"/>
  <c r="AF296" i="7"/>
  <c r="X296" i="8" s="1"/>
  <c r="Y296" s="1"/>
  <c r="AF297" i="7"/>
  <c r="X297" i="8" s="1"/>
  <c r="Y297" s="1"/>
  <c r="AF298" i="7"/>
  <c r="X298" i="8" s="1"/>
  <c r="Y298" s="1"/>
  <c r="AF299" i="7"/>
  <c r="X299" i="8" s="1"/>
  <c r="Y299" s="1"/>
  <c r="AF300" i="7"/>
  <c r="X300" i="8" s="1"/>
  <c r="Y300" s="1"/>
  <c r="AF301" i="7"/>
  <c r="X301" i="8" s="1"/>
  <c r="Y301" s="1"/>
  <c r="AF302" i="7"/>
  <c r="X302" i="8" s="1"/>
  <c r="Y302" s="1"/>
  <c r="AF303" i="7"/>
  <c r="X303" i="8" s="1"/>
  <c r="Y303" s="1"/>
  <c r="AF304" i="7"/>
  <c r="X304" i="8" s="1"/>
  <c r="Y304" s="1"/>
  <c r="AF306" i="7"/>
  <c r="X306" i="8" s="1"/>
  <c r="Y306" s="1"/>
  <c r="AF307" i="7"/>
  <c r="X307" i="8" s="1"/>
  <c r="Y307" s="1"/>
  <c r="AF308" i="7"/>
  <c r="X308" i="8" s="1"/>
  <c r="Y308" s="1"/>
  <c r="AF309" i="7"/>
  <c r="X309" i="8" s="1"/>
  <c r="Y309" s="1"/>
  <c r="AF310" i="7"/>
  <c r="X310" i="8" s="1"/>
  <c r="Y310" s="1"/>
  <c r="AF311" i="7"/>
  <c r="X311" i="8" s="1"/>
  <c r="Y311" s="1"/>
  <c r="AF312" i="7"/>
  <c r="X312" i="8" s="1"/>
  <c r="Y312" s="1"/>
  <c r="AF313" i="7"/>
  <c r="X313" i="8" s="1"/>
  <c r="Y313" s="1"/>
  <c r="AF314" i="7"/>
  <c r="X314" i="8" s="1"/>
  <c r="Y314" s="1"/>
  <c r="AF315" i="7"/>
  <c r="X315" i="8" s="1"/>
  <c r="Y315" s="1"/>
  <c r="AF316" i="7"/>
  <c r="X316" i="8" s="1"/>
  <c r="Y316" s="1"/>
  <c r="AF317" i="7"/>
  <c r="X317" i="8" s="1"/>
  <c r="Y317" s="1"/>
  <c r="AF318" i="7"/>
  <c r="X318" i="8" s="1"/>
  <c r="Y318" s="1"/>
  <c r="AF319" i="7"/>
  <c r="X319" i="8" s="1"/>
  <c r="Y319" s="1"/>
  <c r="AF320" i="7"/>
  <c r="X320" i="8" s="1"/>
  <c r="Y320" s="1"/>
  <c r="AF322" i="7"/>
  <c r="X322" i="8" s="1"/>
  <c r="Y322" s="1"/>
  <c r="AF323" i="7"/>
  <c r="X323" i="8" s="1"/>
  <c r="Y323" s="1"/>
  <c r="AF324" i="7"/>
  <c r="X324" i="8" s="1"/>
  <c r="Y324" s="1"/>
  <c r="AF325" i="7"/>
  <c r="X325" i="8" s="1"/>
  <c r="Y325" s="1"/>
  <c r="AF326" i="7"/>
  <c r="X326" i="8" s="1"/>
  <c r="Y326" s="1"/>
  <c r="AF327" i="7"/>
  <c r="X327" i="8" s="1"/>
  <c r="Y327" s="1"/>
  <c r="AF328" i="7"/>
  <c r="X328" i="8" s="1"/>
  <c r="Y328" s="1"/>
  <c r="AF329" i="7"/>
  <c r="X329" i="8" s="1"/>
  <c r="Y329" s="1"/>
  <c r="AF330" i="7"/>
  <c r="X330" i="8" s="1"/>
  <c r="Y330" s="1"/>
  <c r="AF331" i="7"/>
  <c r="X331" i="8" s="1"/>
  <c r="Y331" s="1"/>
  <c r="AF332" i="7"/>
  <c r="X332" i="8" s="1"/>
  <c r="Y332" s="1"/>
  <c r="AF334" i="7"/>
  <c r="X334" i="8" s="1"/>
  <c r="Y334" s="1"/>
  <c r="AF335" i="7"/>
  <c r="X335" i="8" s="1"/>
  <c r="Y335" s="1"/>
  <c r="AF336" i="7"/>
  <c r="X336" i="8" s="1"/>
  <c r="Y336" s="1"/>
  <c r="AF337" i="7"/>
  <c r="X337" i="8" s="1"/>
  <c r="Y337" s="1"/>
  <c r="AF338" i="7"/>
  <c r="X338" i="8" s="1"/>
  <c r="Y338" s="1"/>
  <c r="AF339" i="7"/>
  <c r="X339" i="8" s="1"/>
  <c r="Y339" s="1"/>
  <c r="AF340" i="7"/>
  <c r="X340" i="8" s="1"/>
  <c r="Y340" s="1"/>
  <c r="AF341" i="7"/>
  <c r="X341" i="8" s="1"/>
  <c r="Y341" s="1"/>
  <c r="AF342" i="7"/>
  <c r="X342" i="8" s="1"/>
  <c r="Y342" s="1"/>
  <c r="AF343" i="7"/>
  <c r="X343" i="8" s="1"/>
  <c r="Y343" s="1"/>
  <c r="AF344" i="7"/>
  <c r="X344" i="8" s="1"/>
  <c r="Y344" s="1"/>
  <c r="AF346" i="7"/>
  <c r="X346" i="8" s="1"/>
  <c r="Y346" s="1"/>
  <c r="AF347" i="7"/>
  <c r="X347" i="8" s="1"/>
  <c r="Y347" s="1"/>
  <c r="AF348" i="7"/>
  <c r="X348" i="8" s="1"/>
  <c r="Y348" s="1"/>
  <c r="AF349" i="7"/>
  <c r="X349" i="8" s="1"/>
  <c r="Y349" s="1"/>
  <c r="AF350" i="7"/>
  <c r="X350" i="8" s="1"/>
  <c r="Y350" s="1"/>
  <c r="AF351" i="7"/>
  <c r="X351" i="8" s="1"/>
  <c r="Y351" s="1"/>
  <c r="AF352" i="7"/>
  <c r="X352" i="8" s="1"/>
  <c r="Y352" s="1"/>
  <c r="AF353" i="7"/>
  <c r="X353" i="8" s="1"/>
  <c r="Y353" s="1"/>
  <c r="AF354" i="7"/>
  <c r="X354" i="8" s="1"/>
  <c r="Y354" s="1"/>
  <c r="AF355" i="7"/>
  <c r="X355" i="8" s="1"/>
  <c r="Y355" s="1"/>
  <c r="AF357" i="7"/>
  <c r="X357" i="8" s="1"/>
  <c r="Y357" s="1"/>
  <c r="AF358" i="7"/>
  <c r="X358" i="8" s="1"/>
  <c r="Y358" s="1"/>
  <c r="AF359" i="7"/>
  <c r="X359" i="8" s="1"/>
  <c r="Y359" s="1"/>
  <c r="AF360" i="7"/>
  <c r="X360" i="8" s="1"/>
  <c r="Y360" s="1"/>
  <c r="AF361" i="7"/>
  <c r="X361" i="8" s="1"/>
  <c r="Y361" s="1"/>
  <c r="AF362" i="7"/>
  <c r="X362" i="8" s="1"/>
  <c r="Y362" s="1"/>
  <c r="AF363" i="7"/>
  <c r="X363" i="8" s="1"/>
  <c r="Y363" s="1"/>
  <c r="AF364" i="7"/>
  <c r="X364" i="8" s="1"/>
  <c r="Y364" s="1"/>
  <c r="AF365" i="7"/>
  <c r="X365" i="8" s="1"/>
  <c r="Y365" s="1"/>
  <c r="AF366" i="7"/>
  <c r="X366" i="8" s="1"/>
  <c r="Y366" s="1"/>
  <c r="AF367" i="7"/>
  <c r="X367" i="8" s="1"/>
  <c r="Y367" s="1"/>
  <c r="AF368" i="7"/>
  <c r="X368" i="8" s="1"/>
  <c r="Y368" s="1"/>
  <c r="AF47" i="7"/>
  <c r="X47" i="8" s="1"/>
  <c r="Y47" s="1"/>
  <c r="AF25" i="7"/>
  <c r="X25" i="8" s="1"/>
  <c r="Y25" s="1"/>
  <c r="AF26" i="7"/>
  <c r="X26" i="8" s="1"/>
  <c r="Y26" s="1"/>
  <c r="AF27" i="7"/>
  <c r="X27" i="8" s="1"/>
  <c r="Y27" s="1"/>
  <c r="AF28" i="7"/>
  <c r="X28" i="8" s="1"/>
  <c r="Y28" s="1"/>
  <c r="AF29" i="7"/>
  <c r="X29" i="8" s="1"/>
  <c r="Y29" s="1"/>
  <c r="AF30" i="7"/>
  <c r="X30" i="8" s="1"/>
  <c r="Y30" s="1"/>
  <c r="AF31" i="7"/>
  <c r="X31" i="8" s="1"/>
  <c r="Y31" s="1"/>
  <c r="AF32" i="7"/>
  <c r="X32" i="8" s="1"/>
  <c r="Y32" s="1"/>
  <c r="AF33" i="7"/>
  <c r="X33" i="8" s="1"/>
  <c r="Y33" s="1"/>
  <c r="AF34" i="7"/>
  <c r="X34" i="8" s="1"/>
  <c r="Y34" s="1"/>
  <c r="AF35" i="7"/>
  <c r="X35" i="8" s="1"/>
  <c r="Y35" s="1"/>
  <c r="AF36" i="7"/>
  <c r="X36" i="8" s="1"/>
  <c r="Y36" s="1"/>
  <c r="AF37" i="7"/>
  <c r="X37" i="8" s="1"/>
  <c r="Y37" s="1"/>
  <c r="AF38" i="7"/>
  <c r="X38" i="8" s="1"/>
  <c r="Y38" s="1"/>
  <c r="AF39" i="7"/>
  <c r="X39" i="8" s="1"/>
  <c r="Y39" s="1"/>
  <c r="AF40" i="7"/>
  <c r="X40" i="8" s="1"/>
  <c r="Y40" s="1"/>
  <c r="AF41" i="7"/>
  <c r="X41" i="8" s="1"/>
  <c r="Y41" s="1"/>
  <c r="AF42" i="7"/>
  <c r="X42" i="8" s="1"/>
  <c r="Y42" s="1"/>
  <c r="AF43" i="7"/>
  <c r="X43" i="8" s="1"/>
  <c r="Y43" s="1"/>
  <c r="AF44" i="7"/>
  <c r="X44" i="8" s="1"/>
  <c r="Y44" s="1"/>
  <c r="AF19" i="7"/>
  <c r="X19" i="8" s="1"/>
  <c r="Y19" s="1"/>
  <c r="AF20" i="7"/>
  <c r="X20" i="8" s="1"/>
  <c r="Y20" s="1"/>
  <c r="AF21" i="7"/>
  <c r="X21" i="8" s="1"/>
  <c r="Y21" s="1"/>
  <c r="AF22" i="7"/>
  <c r="X22" i="8" s="1"/>
  <c r="Y22" s="1"/>
  <c r="AF23" i="7"/>
  <c r="X23" i="8" s="1"/>
  <c r="Y23" s="1"/>
  <c r="AF24" i="7"/>
  <c r="X24" i="8" s="1"/>
  <c r="Y24" s="1"/>
  <c r="AF18" i="7"/>
  <c r="X18" i="8" s="1"/>
  <c r="Y18" s="1"/>
  <c r="AE45" i="7"/>
  <c r="AD45"/>
  <c r="AE17"/>
  <c r="AF17" s="1"/>
  <c r="AD17"/>
  <c r="AF45" l="1"/>
  <c r="AN17"/>
  <c r="AJ17"/>
  <c r="X48"/>
  <c r="X49"/>
  <c r="X50"/>
  <c r="X51"/>
  <c r="X53"/>
  <c r="X54"/>
  <c r="X55"/>
  <c r="X56"/>
  <c r="X57"/>
  <c r="X58"/>
  <c r="X59"/>
  <c r="X60"/>
  <c r="X61"/>
  <c r="X62"/>
  <c r="X63"/>
  <c r="X64"/>
  <c r="X66"/>
  <c r="X67"/>
  <c r="X68"/>
  <c r="X69"/>
  <c r="X70"/>
  <c r="X72"/>
  <c r="X73"/>
  <c r="X74"/>
  <c r="X75"/>
  <c r="X76"/>
  <c r="X77"/>
  <c r="X78"/>
  <c r="X79"/>
  <c r="X81"/>
  <c r="X82"/>
  <c r="X83"/>
  <c r="X84"/>
  <c r="X85"/>
  <c r="X86"/>
  <c r="X87"/>
  <c r="X88"/>
  <c r="X89"/>
  <c r="X91"/>
  <c r="X92"/>
  <c r="X93"/>
  <c r="X94"/>
  <c r="X95"/>
  <c r="X96"/>
  <c r="X97"/>
  <c r="X98"/>
  <c r="X99"/>
  <c r="X100"/>
  <c r="X101"/>
  <c r="X102"/>
  <c r="X103"/>
  <c r="X105"/>
  <c r="X106"/>
  <c r="X107"/>
  <c r="X108"/>
  <c r="X109"/>
  <c r="X110"/>
  <c r="X111"/>
  <c r="X112"/>
  <c r="X113"/>
  <c r="X114"/>
  <c r="X115"/>
  <c r="X116"/>
  <c r="X117"/>
  <c r="X118"/>
  <c r="X119"/>
  <c r="X121"/>
  <c r="X122"/>
  <c r="X123"/>
  <c r="X124"/>
  <c r="X125"/>
  <c r="X126"/>
  <c r="X127"/>
  <c r="X129"/>
  <c r="X130"/>
  <c r="X131"/>
  <c r="X132"/>
  <c r="X133"/>
  <c r="X134"/>
  <c r="X135"/>
  <c r="X136"/>
  <c r="X138"/>
  <c r="X139"/>
  <c r="X140"/>
  <c r="X141"/>
  <c r="X142"/>
  <c r="X143"/>
  <c r="X145"/>
  <c r="X146"/>
  <c r="X147"/>
  <c r="X148"/>
  <c r="X149"/>
  <c r="X150"/>
  <c r="X151"/>
  <c r="X152"/>
  <c r="X153"/>
  <c r="X154"/>
  <c r="X155"/>
  <c r="X156"/>
  <c r="X158"/>
  <c r="X159"/>
  <c r="X160"/>
  <c r="X161"/>
  <c r="X162"/>
  <c r="X163"/>
  <c r="X164"/>
  <c r="X165"/>
  <c r="X166"/>
  <c r="X167"/>
  <c r="X168"/>
  <c r="X169"/>
  <c r="X170"/>
  <c r="X172"/>
  <c r="X173"/>
  <c r="X174"/>
  <c r="X175"/>
  <c r="X176"/>
  <c r="X177"/>
  <c r="X179"/>
  <c r="X180"/>
  <c r="X181"/>
  <c r="X182"/>
  <c r="X183"/>
  <c r="X184"/>
  <c r="X185"/>
  <c r="X186"/>
  <c r="X187"/>
  <c r="X188"/>
  <c r="X189"/>
  <c r="X190"/>
  <c r="X191"/>
  <c r="X193"/>
  <c r="X194"/>
  <c r="X195"/>
  <c r="X196"/>
  <c r="X197"/>
  <c r="X198"/>
  <c r="X199"/>
  <c r="X200"/>
  <c r="X201"/>
  <c r="X202"/>
  <c r="X203"/>
  <c r="X204"/>
  <c r="X206"/>
  <c r="X207"/>
  <c r="X208"/>
  <c r="X209"/>
  <c r="X210"/>
  <c r="X211"/>
  <c r="X212"/>
  <c r="X213"/>
  <c r="X214"/>
  <c r="X215"/>
  <c r="X216"/>
  <c r="X217"/>
  <c r="X218"/>
  <c r="X220"/>
  <c r="X221"/>
  <c r="X222"/>
  <c r="X223"/>
  <c r="X224"/>
  <c r="X225"/>
  <c r="X226"/>
  <c r="X227"/>
  <c r="X228"/>
  <c r="X230"/>
  <c r="X231"/>
  <c r="X232"/>
  <c r="X233"/>
  <c r="X234"/>
  <c r="X235"/>
  <c r="X236"/>
  <c r="X237"/>
  <c r="X239"/>
  <c r="X240"/>
  <c r="X241"/>
  <c r="X242"/>
  <c r="X243"/>
  <c r="X244"/>
  <c r="X245"/>
  <c r="X246"/>
  <c r="X247"/>
  <c r="X248"/>
  <c r="X249"/>
  <c r="X250"/>
  <c r="X251"/>
  <c r="X252"/>
  <c r="X253"/>
  <c r="X255"/>
  <c r="X256"/>
  <c r="X257"/>
  <c r="X258"/>
  <c r="X259"/>
  <c r="X260"/>
  <c r="X261"/>
  <c r="X263"/>
  <c r="X264"/>
  <c r="X265"/>
  <c r="X266"/>
  <c r="X267"/>
  <c r="X268"/>
  <c r="X269"/>
  <c r="X270"/>
  <c r="X271"/>
  <c r="X272"/>
  <c r="X273"/>
  <c r="X274"/>
  <c r="X275"/>
  <c r="X276"/>
  <c r="X277"/>
  <c r="X278"/>
  <c r="X279"/>
  <c r="X281"/>
  <c r="X282"/>
  <c r="X283"/>
  <c r="X284"/>
  <c r="X285"/>
  <c r="X286"/>
  <c r="X287"/>
  <c r="X288"/>
  <c r="X289"/>
  <c r="X290"/>
  <c r="X291"/>
  <c r="X292"/>
  <c r="X293"/>
  <c r="X294"/>
  <c r="X295"/>
  <c r="X296"/>
  <c r="X297"/>
  <c r="X298"/>
  <c r="X299"/>
  <c r="X300"/>
  <c r="X301"/>
  <c r="X302"/>
  <c r="X303"/>
  <c r="X304"/>
  <c r="X306"/>
  <c r="X307"/>
  <c r="X308"/>
  <c r="X309"/>
  <c r="X310"/>
  <c r="X311"/>
  <c r="X312"/>
  <c r="X313"/>
  <c r="X314"/>
  <c r="X315"/>
  <c r="X316"/>
  <c r="X317"/>
  <c r="X318"/>
  <c r="X319"/>
  <c r="X320"/>
  <c r="X322"/>
  <c r="X323"/>
  <c r="X324"/>
  <c r="X325"/>
  <c r="X326"/>
  <c r="X327"/>
  <c r="X328"/>
  <c r="X329"/>
  <c r="X330"/>
  <c r="X331"/>
  <c r="X332"/>
  <c r="X334"/>
  <c r="X335"/>
  <c r="X336"/>
  <c r="X337"/>
  <c r="X338"/>
  <c r="X339"/>
  <c r="X340"/>
  <c r="X341"/>
  <c r="X342"/>
  <c r="X343"/>
  <c r="X344"/>
  <c r="X346"/>
  <c r="X347"/>
  <c r="X348"/>
  <c r="X349"/>
  <c r="X350"/>
  <c r="X351"/>
  <c r="X352"/>
  <c r="X353"/>
  <c r="X354"/>
  <c r="X355"/>
  <c r="X357"/>
  <c r="X358"/>
  <c r="X359"/>
  <c r="X360"/>
  <c r="X361"/>
  <c r="X362"/>
  <c r="X363"/>
  <c r="X364"/>
  <c r="X365"/>
  <c r="X366"/>
  <c r="X367"/>
  <c r="X368"/>
  <c r="X47"/>
  <c r="X19"/>
  <c r="X20"/>
  <c r="X21"/>
  <c r="X22"/>
  <c r="X23"/>
  <c r="X24"/>
  <c r="X25"/>
  <c r="X26"/>
  <c r="X27"/>
  <c r="X28"/>
  <c r="X29"/>
  <c r="X30"/>
  <c r="X31"/>
  <c r="X32"/>
  <c r="X33"/>
  <c r="X34"/>
  <c r="X35"/>
  <c r="X36"/>
  <c r="X37"/>
  <c r="X38"/>
  <c r="X39"/>
  <c r="X40"/>
  <c r="X41"/>
  <c r="X42"/>
  <c r="X43"/>
  <c r="X44"/>
  <c r="X18"/>
  <c r="T48"/>
  <c r="T49"/>
  <c r="T50"/>
  <c r="T51"/>
  <c r="T53"/>
  <c r="T54"/>
  <c r="T55"/>
  <c r="T56"/>
  <c r="T57"/>
  <c r="T58"/>
  <c r="T59"/>
  <c r="T60"/>
  <c r="T61"/>
  <c r="T62"/>
  <c r="T63"/>
  <c r="T64"/>
  <c r="T66"/>
  <c r="T67"/>
  <c r="T68"/>
  <c r="T69"/>
  <c r="T70"/>
  <c r="T72"/>
  <c r="T73"/>
  <c r="T74"/>
  <c r="T75"/>
  <c r="T76"/>
  <c r="T77"/>
  <c r="T78"/>
  <c r="T79"/>
  <c r="T81"/>
  <c r="T82"/>
  <c r="T83"/>
  <c r="T84"/>
  <c r="T85"/>
  <c r="T86"/>
  <c r="T87"/>
  <c r="T88"/>
  <c r="T89"/>
  <c r="T91"/>
  <c r="T92"/>
  <c r="T93"/>
  <c r="T94"/>
  <c r="T95"/>
  <c r="T96"/>
  <c r="T97"/>
  <c r="T98"/>
  <c r="T99"/>
  <c r="T100"/>
  <c r="T101"/>
  <c r="T102"/>
  <c r="T103"/>
  <c r="T105"/>
  <c r="T106"/>
  <c r="T107"/>
  <c r="T108"/>
  <c r="T109"/>
  <c r="T110"/>
  <c r="T111"/>
  <c r="T112"/>
  <c r="T113"/>
  <c r="T114"/>
  <c r="T115"/>
  <c r="T116"/>
  <c r="T117"/>
  <c r="T118"/>
  <c r="T119"/>
  <c r="T121"/>
  <c r="T122"/>
  <c r="T123"/>
  <c r="T124"/>
  <c r="T125"/>
  <c r="T126"/>
  <c r="T127"/>
  <c r="T129"/>
  <c r="T130"/>
  <c r="T131"/>
  <c r="T132"/>
  <c r="T133"/>
  <c r="T134"/>
  <c r="T135"/>
  <c r="T136"/>
  <c r="T138"/>
  <c r="T139"/>
  <c r="T140"/>
  <c r="T141"/>
  <c r="T142"/>
  <c r="T143"/>
  <c r="T145"/>
  <c r="T146"/>
  <c r="T147"/>
  <c r="T148"/>
  <c r="T149"/>
  <c r="T150"/>
  <c r="T151"/>
  <c r="T152"/>
  <c r="T153"/>
  <c r="T154"/>
  <c r="T155"/>
  <c r="T156"/>
  <c r="T158"/>
  <c r="T159"/>
  <c r="T160"/>
  <c r="T161"/>
  <c r="T162"/>
  <c r="T163"/>
  <c r="T164"/>
  <c r="T165"/>
  <c r="T166"/>
  <c r="T167"/>
  <c r="T168"/>
  <c r="T169"/>
  <c r="T170"/>
  <c r="T172"/>
  <c r="T173"/>
  <c r="T174"/>
  <c r="T175"/>
  <c r="T176"/>
  <c r="T177"/>
  <c r="T179"/>
  <c r="T180"/>
  <c r="T181"/>
  <c r="T182"/>
  <c r="T183"/>
  <c r="T184"/>
  <c r="T185"/>
  <c r="T186"/>
  <c r="T187"/>
  <c r="T188"/>
  <c r="T189"/>
  <c r="T190"/>
  <c r="T191"/>
  <c r="T193"/>
  <c r="T194"/>
  <c r="T195"/>
  <c r="T196"/>
  <c r="T197"/>
  <c r="T198"/>
  <c r="T199"/>
  <c r="T200"/>
  <c r="T201"/>
  <c r="T202"/>
  <c r="T203"/>
  <c r="T204"/>
  <c r="T206"/>
  <c r="T207"/>
  <c r="T208"/>
  <c r="T209"/>
  <c r="T210"/>
  <c r="T211"/>
  <c r="T212"/>
  <c r="T213"/>
  <c r="T214"/>
  <c r="T215"/>
  <c r="T216"/>
  <c r="T217"/>
  <c r="T218"/>
  <c r="T220"/>
  <c r="T221"/>
  <c r="T222"/>
  <c r="T223"/>
  <c r="T224"/>
  <c r="T225"/>
  <c r="T226"/>
  <c r="T227"/>
  <c r="T228"/>
  <c r="T230"/>
  <c r="T231"/>
  <c r="T232"/>
  <c r="T233"/>
  <c r="T234"/>
  <c r="T235"/>
  <c r="T236"/>
  <c r="T237"/>
  <c r="T239"/>
  <c r="T240"/>
  <c r="T241"/>
  <c r="T242"/>
  <c r="T243"/>
  <c r="T244"/>
  <c r="T245"/>
  <c r="T246"/>
  <c r="T247"/>
  <c r="T248"/>
  <c r="T249"/>
  <c r="T250"/>
  <c r="T251"/>
  <c r="T252"/>
  <c r="T253"/>
  <c r="T255"/>
  <c r="T256"/>
  <c r="T257"/>
  <c r="T258"/>
  <c r="T259"/>
  <c r="T260"/>
  <c r="T261"/>
  <c r="T263"/>
  <c r="T264"/>
  <c r="T265"/>
  <c r="T266"/>
  <c r="T267"/>
  <c r="T268"/>
  <c r="T269"/>
  <c r="T270"/>
  <c r="T271"/>
  <c r="T272"/>
  <c r="T273"/>
  <c r="T274"/>
  <c r="T275"/>
  <c r="T276"/>
  <c r="T277"/>
  <c r="T278"/>
  <c r="T279"/>
  <c r="T281"/>
  <c r="T282"/>
  <c r="T283"/>
  <c r="T284"/>
  <c r="T285"/>
  <c r="T286"/>
  <c r="T287"/>
  <c r="T288"/>
  <c r="T289"/>
  <c r="T290"/>
  <c r="T291"/>
  <c r="T292"/>
  <c r="T293"/>
  <c r="T294"/>
  <c r="T295"/>
  <c r="T296"/>
  <c r="T297"/>
  <c r="T298"/>
  <c r="T299"/>
  <c r="T300"/>
  <c r="T301"/>
  <c r="T302"/>
  <c r="T303"/>
  <c r="T304"/>
  <c r="T306"/>
  <c r="T307"/>
  <c r="T308"/>
  <c r="T309"/>
  <c r="T310"/>
  <c r="T311"/>
  <c r="T312"/>
  <c r="T313"/>
  <c r="T314"/>
  <c r="T315"/>
  <c r="T316"/>
  <c r="T317"/>
  <c r="T318"/>
  <c r="T319"/>
  <c r="T320"/>
  <c r="T322"/>
  <c r="T323"/>
  <c r="T324"/>
  <c r="T325"/>
  <c r="T326"/>
  <c r="T327"/>
  <c r="T328"/>
  <c r="T329"/>
  <c r="T330"/>
  <c r="T331"/>
  <c r="T332"/>
  <c r="T334"/>
  <c r="T335"/>
  <c r="T336"/>
  <c r="T337"/>
  <c r="T338"/>
  <c r="T339"/>
  <c r="T340"/>
  <c r="T341"/>
  <c r="T342"/>
  <c r="T343"/>
  <c r="T344"/>
  <c r="T346"/>
  <c r="T347"/>
  <c r="T348"/>
  <c r="T349"/>
  <c r="T350"/>
  <c r="T351"/>
  <c r="T352"/>
  <c r="T353"/>
  <c r="T354"/>
  <c r="T355"/>
  <c r="T357"/>
  <c r="T358"/>
  <c r="T359"/>
  <c r="T360"/>
  <c r="T361"/>
  <c r="T362"/>
  <c r="T363"/>
  <c r="T364"/>
  <c r="T365"/>
  <c r="T366"/>
  <c r="T367"/>
  <c r="T368"/>
  <c r="T47"/>
  <c r="T19"/>
  <c r="T20"/>
  <c r="T21"/>
  <c r="T22"/>
  <c r="T23"/>
  <c r="T24"/>
  <c r="T25"/>
  <c r="T26"/>
  <c r="T27"/>
  <c r="T28"/>
  <c r="T29"/>
  <c r="T30"/>
  <c r="T31"/>
  <c r="T32"/>
  <c r="T33"/>
  <c r="T34"/>
  <c r="T35"/>
  <c r="T36"/>
  <c r="T37"/>
  <c r="T38"/>
  <c r="T39"/>
  <c r="T40"/>
  <c r="T41"/>
  <c r="T42"/>
  <c r="T43"/>
  <c r="T44"/>
  <c r="T18"/>
  <c r="P48"/>
  <c r="P49"/>
  <c r="P50"/>
  <c r="P51"/>
  <c r="P53"/>
  <c r="P54"/>
  <c r="P55"/>
  <c r="P56"/>
  <c r="P57"/>
  <c r="P58"/>
  <c r="P59"/>
  <c r="P60"/>
  <c r="P61"/>
  <c r="P62"/>
  <c r="P63"/>
  <c r="P64"/>
  <c r="P66"/>
  <c r="P67"/>
  <c r="P68"/>
  <c r="P69"/>
  <c r="P70"/>
  <c r="P72"/>
  <c r="P73"/>
  <c r="P74"/>
  <c r="P75"/>
  <c r="P76"/>
  <c r="P77"/>
  <c r="P78"/>
  <c r="P79"/>
  <c r="P81"/>
  <c r="P82"/>
  <c r="P83"/>
  <c r="P84"/>
  <c r="P85"/>
  <c r="P86"/>
  <c r="P87"/>
  <c r="P88"/>
  <c r="P89"/>
  <c r="P91"/>
  <c r="P92"/>
  <c r="P93"/>
  <c r="P94"/>
  <c r="P95"/>
  <c r="P96"/>
  <c r="P97"/>
  <c r="P98"/>
  <c r="P99"/>
  <c r="P100"/>
  <c r="P101"/>
  <c r="P102"/>
  <c r="P103"/>
  <c r="P105"/>
  <c r="P106"/>
  <c r="P107"/>
  <c r="P108"/>
  <c r="P109"/>
  <c r="P110"/>
  <c r="P111"/>
  <c r="P112"/>
  <c r="P113"/>
  <c r="P114"/>
  <c r="P115"/>
  <c r="P116"/>
  <c r="P117"/>
  <c r="P118"/>
  <c r="P119"/>
  <c r="P121"/>
  <c r="P122"/>
  <c r="P123"/>
  <c r="P124"/>
  <c r="P125"/>
  <c r="P126"/>
  <c r="P127"/>
  <c r="P129"/>
  <c r="P130"/>
  <c r="P131"/>
  <c r="P132"/>
  <c r="P133"/>
  <c r="P134"/>
  <c r="P135"/>
  <c r="P136"/>
  <c r="P138"/>
  <c r="P139"/>
  <c r="P140"/>
  <c r="P141"/>
  <c r="P142"/>
  <c r="P143"/>
  <c r="P145"/>
  <c r="P146"/>
  <c r="P147"/>
  <c r="P148"/>
  <c r="P149"/>
  <c r="P150"/>
  <c r="P151"/>
  <c r="P152"/>
  <c r="P153"/>
  <c r="P154"/>
  <c r="P155"/>
  <c r="P156"/>
  <c r="P158"/>
  <c r="P159"/>
  <c r="P160"/>
  <c r="P161"/>
  <c r="P162"/>
  <c r="P163"/>
  <c r="P164"/>
  <c r="P165"/>
  <c r="P166"/>
  <c r="P167"/>
  <c r="P168"/>
  <c r="P169"/>
  <c r="P170"/>
  <c r="P172"/>
  <c r="P173"/>
  <c r="P174"/>
  <c r="P175"/>
  <c r="P176"/>
  <c r="P177"/>
  <c r="P179"/>
  <c r="P180"/>
  <c r="P181"/>
  <c r="P182"/>
  <c r="P183"/>
  <c r="P184"/>
  <c r="P185"/>
  <c r="P186"/>
  <c r="P187"/>
  <c r="P188"/>
  <c r="P189"/>
  <c r="P190"/>
  <c r="P191"/>
  <c r="P193"/>
  <c r="P194"/>
  <c r="P195"/>
  <c r="P196"/>
  <c r="P197"/>
  <c r="P198"/>
  <c r="P199"/>
  <c r="P200"/>
  <c r="P201"/>
  <c r="P202"/>
  <c r="P203"/>
  <c r="P204"/>
  <c r="P206"/>
  <c r="P207"/>
  <c r="P208"/>
  <c r="P209"/>
  <c r="P210"/>
  <c r="P211"/>
  <c r="P212"/>
  <c r="P213"/>
  <c r="P214"/>
  <c r="P215"/>
  <c r="P216"/>
  <c r="P217"/>
  <c r="P218"/>
  <c r="P220"/>
  <c r="P221"/>
  <c r="P222"/>
  <c r="P223"/>
  <c r="P224"/>
  <c r="P225"/>
  <c r="P226"/>
  <c r="P227"/>
  <c r="P228"/>
  <c r="P230"/>
  <c r="P231"/>
  <c r="P232"/>
  <c r="P233"/>
  <c r="P234"/>
  <c r="P235"/>
  <c r="P236"/>
  <c r="P237"/>
  <c r="P239"/>
  <c r="P240"/>
  <c r="P241"/>
  <c r="P242"/>
  <c r="P243"/>
  <c r="P244"/>
  <c r="P245"/>
  <c r="P246"/>
  <c r="P247"/>
  <c r="P248"/>
  <c r="P249"/>
  <c r="P250"/>
  <c r="P251"/>
  <c r="P252"/>
  <c r="P253"/>
  <c r="P255"/>
  <c r="P256"/>
  <c r="P257"/>
  <c r="P258"/>
  <c r="P259"/>
  <c r="P260"/>
  <c r="P261"/>
  <c r="P263"/>
  <c r="P264"/>
  <c r="P265"/>
  <c r="P266"/>
  <c r="P267"/>
  <c r="P268"/>
  <c r="P269"/>
  <c r="P270"/>
  <c r="P271"/>
  <c r="P272"/>
  <c r="P273"/>
  <c r="P274"/>
  <c r="P275"/>
  <c r="P276"/>
  <c r="P277"/>
  <c r="P278"/>
  <c r="P279"/>
  <c r="P281"/>
  <c r="P282"/>
  <c r="P283"/>
  <c r="P284"/>
  <c r="P285"/>
  <c r="P286"/>
  <c r="P287"/>
  <c r="P288"/>
  <c r="P289"/>
  <c r="P290"/>
  <c r="P291"/>
  <c r="P292"/>
  <c r="P293"/>
  <c r="P294"/>
  <c r="P295"/>
  <c r="P296"/>
  <c r="P297"/>
  <c r="P298"/>
  <c r="P299"/>
  <c r="P300"/>
  <c r="P301"/>
  <c r="P302"/>
  <c r="P303"/>
  <c r="P304"/>
  <c r="P306"/>
  <c r="P307"/>
  <c r="P308"/>
  <c r="P309"/>
  <c r="P310"/>
  <c r="P311"/>
  <c r="P312"/>
  <c r="P313"/>
  <c r="P314"/>
  <c r="P315"/>
  <c r="P316"/>
  <c r="P317"/>
  <c r="P318"/>
  <c r="P319"/>
  <c r="P320"/>
  <c r="P322"/>
  <c r="P323"/>
  <c r="P324"/>
  <c r="P325"/>
  <c r="P326"/>
  <c r="P327"/>
  <c r="P328"/>
  <c r="P329"/>
  <c r="P330"/>
  <c r="P331"/>
  <c r="P332"/>
  <c r="P334"/>
  <c r="P335"/>
  <c r="P336"/>
  <c r="P337"/>
  <c r="P338"/>
  <c r="P339"/>
  <c r="P340"/>
  <c r="P341"/>
  <c r="P342"/>
  <c r="P343"/>
  <c r="P344"/>
  <c r="P346"/>
  <c r="P347"/>
  <c r="P348"/>
  <c r="P349"/>
  <c r="P350"/>
  <c r="P351"/>
  <c r="P352"/>
  <c r="P353"/>
  <c r="P354"/>
  <c r="P355"/>
  <c r="P357"/>
  <c r="P358"/>
  <c r="P359"/>
  <c r="P360"/>
  <c r="P361"/>
  <c r="P362"/>
  <c r="P363"/>
  <c r="P364"/>
  <c r="P365"/>
  <c r="P366"/>
  <c r="P367"/>
  <c r="P368"/>
  <c r="P47"/>
  <c r="P19"/>
  <c r="P20"/>
  <c r="P21"/>
  <c r="P22"/>
  <c r="P23"/>
  <c r="P24"/>
  <c r="P25"/>
  <c r="P26"/>
  <c r="P27"/>
  <c r="P28"/>
  <c r="P29"/>
  <c r="P30"/>
  <c r="P31"/>
  <c r="P32"/>
  <c r="P33"/>
  <c r="P34"/>
  <c r="P35"/>
  <c r="P36"/>
  <c r="P37"/>
  <c r="P38"/>
  <c r="P39"/>
  <c r="P40"/>
  <c r="P41"/>
  <c r="P42"/>
  <c r="P43"/>
  <c r="P44"/>
  <c r="P18"/>
  <c r="P8"/>
  <c r="P9"/>
  <c r="P10"/>
  <c r="P11"/>
  <c r="P12"/>
  <c r="P13"/>
  <c r="P14"/>
  <c r="P15"/>
  <c r="P16"/>
  <c r="P7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18"/>
  <c r="L8"/>
  <c r="L9"/>
  <c r="L10"/>
  <c r="L11"/>
  <c r="L12"/>
  <c r="L13"/>
  <c r="L14"/>
  <c r="L15"/>
  <c r="L16"/>
  <c r="L7"/>
  <c r="D48"/>
  <c r="AS48" s="1"/>
  <c r="D49"/>
  <c r="AS49" s="1"/>
  <c r="D50"/>
  <c r="AS50" s="1"/>
  <c r="D51"/>
  <c r="AS51" s="1"/>
  <c r="D53"/>
  <c r="AS53" s="1"/>
  <c r="D54"/>
  <c r="AS54" s="1"/>
  <c r="D55"/>
  <c r="AS55" s="1"/>
  <c r="D56"/>
  <c r="AS56" s="1"/>
  <c r="D57"/>
  <c r="AS57" s="1"/>
  <c r="D58"/>
  <c r="AS58" s="1"/>
  <c r="D59"/>
  <c r="AS59" s="1"/>
  <c r="D60"/>
  <c r="AS60" s="1"/>
  <c r="D61"/>
  <c r="AS61" s="1"/>
  <c r="D62"/>
  <c r="AS62" s="1"/>
  <c r="D63"/>
  <c r="AS63" s="1"/>
  <c r="D64"/>
  <c r="AS64" s="1"/>
  <c r="D66"/>
  <c r="AS66" s="1"/>
  <c r="D67"/>
  <c r="AS67" s="1"/>
  <c r="D68"/>
  <c r="AS68" s="1"/>
  <c r="D69"/>
  <c r="AS69" s="1"/>
  <c r="D70"/>
  <c r="AS70" s="1"/>
  <c r="D72"/>
  <c r="AS72" s="1"/>
  <c r="D73"/>
  <c r="AS73" s="1"/>
  <c r="D74"/>
  <c r="AS74" s="1"/>
  <c r="D75"/>
  <c r="AS75" s="1"/>
  <c r="D76"/>
  <c r="AS76" s="1"/>
  <c r="D77"/>
  <c r="AS77" s="1"/>
  <c r="D78"/>
  <c r="AS78" s="1"/>
  <c r="D79"/>
  <c r="AS79" s="1"/>
  <c r="D81"/>
  <c r="AS81" s="1"/>
  <c r="D82"/>
  <c r="AS82" s="1"/>
  <c r="D83"/>
  <c r="AS83" s="1"/>
  <c r="D84"/>
  <c r="AS84" s="1"/>
  <c r="D85"/>
  <c r="AS85" s="1"/>
  <c r="D86"/>
  <c r="AS86" s="1"/>
  <c r="D87"/>
  <c r="AS87" s="1"/>
  <c r="D88"/>
  <c r="AS88" s="1"/>
  <c r="D89"/>
  <c r="AS89" s="1"/>
  <c r="D91"/>
  <c r="AS91" s="1"/>
  <c r="D92"/>
  <c r="AS92" s="1"/>
  <c r="D93"/>
  <c r="AS93" s="1"/>
  <c r="D94"/>
  <c r="AS94" s="1"/>
  <c r="D95"/>
  <c r="AS95" s="1"/>
  <c r="D96"/>
  <c r="AS96" s="1"/>
  <c r="D97"/>
  <c r="AS97" s="1"/>
  <c r="D98"/>
  <c r="AS98" s="1"/>
  <c r="D99"/>
  <c r="AS99" s="1"/>
  <c r="D100"/>
  <c r="AS100" s="1"/>
  <c r="D101"/>
  <c r="AS101" s="1"/>
  <c r="D102"/>
  <c r="AS102" s="1"/>
  <c r="D103"/>
  <c r="AS103" s="1"/>
  <c r="D105"/>
  <c r="AS105" s="1"/>
  <c r="D106"/>
  <c r="AS106" s="1"/>
  <c r="D107"/>
  <c r="AS107" s="1"/>
  <c r="D108"/>
  <c r="AS108" s="1"/>
  <c r="D109"/>
  <c r="AS109" s="1"/>
  <c r="D110"/>
  <c r="AS110" s="1"/>
  <c r="D111"/>
  <c r="AS111" s="1"/>
  <c r="D112"/>
  <c r="AS112" s="1"/>
  <c r="D113"/>
  <c r="AS113" s="1"/>
  <c r="D114"/>
  <c r="AS114" s="1"/>
  <c r="D115"/>
  <c r="AS115" s="1"/>
  <c r="D116"/>
  <c r="AS116" s="1"/>
  <c r="D117"/>
  <c r="AS117" s="1"/>
  <c r="D118"/>
  <c r="AS118" s="1"/>
  <c r="D119"/>
  <c r="AS119" s="1"/>
  <c r="D121"/>
  <c r="AS121" s="1"/>
  <c r="D122"/>
  <c r="AS122" s="1"/>
  <c r="D123"/>
  <c r="AS123" s="1"/>
  <c r="D124"/>
  <c r="AS124" s="1"/>
  <c r="D125"/>
  <c r="AS125" s="1"/>
  <c r="D126"/>
  <c r="AS126" s="1"/>
  <c r="D127"/>
  <c r="AS127" s="1"/>
  <c r="D129"/>
  <c r="AS129" s="1"/>
  <c r="D130"/>
  <c r="AS130" s="1"/>
  <c r="D131"/>
  <c r="AS131" s="1"/>
  <c r="D132"/>
  <c r="AS132" s="1"/>
  <c r="D133"/>
  <c r="AS133" s="1"/>
  <c r="D134"/>
  <c r="AS134" s="1"/>
  <c r="D135"/>
  <c r="AS135" s="1"/>
  <c r="D136"/>
  <c r="AS136" s="1"/>
  <c r="D138"/>
  <c r="AS138" s="1"/>
  <c r="D139"/>
  <c r="AS139" s="1"/>
  <c r="D140"/>
  <c r="AS140" s="1"/>
  <c r="D141"/>
  <c r="AS141" s="1"/>
  <c r="D142"/>
  <c r="AS142" s="1"/>
  <c r="D143"/>
  <c r="AS143" s="1"/>
  <c r="D145"/>
  <c r="AS145" s="1"/>
  <c r="D146"/>
  <c r="AS146" s="1"/>
  <c r="D147"/>
  <c r="AS147" s="1"/>
  <c r="D148"/>
  <c r="AS148" s="1"/>
  <c r="D149"/>
  <c r="AS149" s="1"/>
  <c r="D150"/>
  <c r="AS150" s="1"/>
  <c r="D151"/>
  <c r="AS151" s="1"/>
  <c r="D152"/>
  <c r="AS152" s="1"/>
  <c r="D153"/>
  <c r="AS153" s="1"/>
  <c r="D154"/>
  <c r="AS154" s="1"/>
  <c r="D155"/>
  <c r="AS155" s="1"/>
  <c r="D156"/>
  <c r="AS156" s="1"/>
  <c r="D158"/>
  <c r="AS158" s="1"/>
  <c r="D159"/>
  <c r="AS159" s="1"/>
  <c r="D160"/>
  <c r="AS160" s="1"/>
  <c r="D161"/>
  <c r="AS161" s="1"/>
  <c r="D162"/>
  <c r="AS162" s="1"/>
  <c r="D163"/>
  <c r="AS163" s="1"/>
  <c r="D164"/>
  <c r="AS164" s="1"/>
  <c r="D165"/>
  <c r="AS165" s="1"/>
  <c r="D166"/>
  <c r="AS166" s="1"/>
  <c r="D167"/>
  <c r="AS167" s="1"/>
  <c r="D168"/>
  <c r="AS168" s="1"/>
  <c r="D169"/>
  <c r="AS169" s="1"/>
  <c r="D170"/>
  <c r="AS170" s="1"/>
  <c r="D172"/>
  <c r="AS172" s="1"/>
  <c r="D173"/>
  <c r="AS173" s="1"/>
  <c r="D174"/>
  <c r="AS174" s="1"/>
  <c r="D175"/>
  <c r="AS175" s="1"/>
  <c r="D176"/>
  <c r="AS176" s="1"/>
  <c r="D177"/>
  <c r="AS177" s="1"/>
  <c r="D179"/>
  <c r="AS179" s="1"/>
  <c r="D180"/>
  <c r="AS180" s="1"/>
  <c r="D181"/>
  <c r="AS181" s="1"/>
  <c r="D182"/>
  <c r="AS182" s="1"/>
  <c r="D183"/>
  <c r="AS183" s="1"/>
  <c r="D184"/>
  <c r="AS184" s="1"/>
  <c r="D185"/>
  <c r="AS185" s="1"/>
  <c r="D186"/>
  <c r="AS186" s="1"/>
  <c r="D187"/>
  <c r="AS187" s="1"/>
  <c r="D188"/>
  <c r="AS188" s="1"/>
  <c r="D189"/>
  <c r="AS189" s="1"/>
  <c r="D190"/>
  <c r="AS190" s="1"/>
  <c r="D191"/>
  <c r="AS191" s="1"/>
  <c r="D193"/>
  <c r="AS193" s="1"/>
  <c r="D194"/>
  <c r="AS194" s="1"/>
  <c r="D195"/>
  <c r="AS195" s="1"/>
  <c r="D196"/>
  <c r="AS196" s="1"/>
  <c r="D197"/>
  <c r="AS197" s="1"/>
  <c r="D198"/>
  <c r="AS198" s="1"/>
  <c r="D199"/>
  <c r="AS199" s="1"/>
  <c r="D200"/>
  <c r="AS200" s="1"/>
  <c r="D201"/>
  <c r="AS201" s="1"/>
  <c r="D202"/>
  <c r="AS202" s="1"/>
  <c r="D203"/>
  <c r="AS203" s="1"/>
  <c r="D204"/>
  <c r="AS204" s="1"/>
  <c r="D206"/>
  <c r="AS206" s="1"/>
  <c r="D207"/>
  <c r="AS207" s="1"/>
  <c r="D208"/>
  <c r="AS208" s="1"/>
  <c r="D209"/>
  <c r="AS209" s="1"/>
  <c r="D210"/>
  <c r="AS210" s="1"/>
  <c r="D211"/>
  <c r="AS211" s="1"/>
  <c r="D212"/>
  <c r="AS212" s="1"/>
  <c r="D213"/>
  <c r="AS213" s="1"/>
  <c r="D214"/>
  <c r="AS214" s="1"/>
  <c r="D215"/>
  <c r="AS215" s="1"/>
  <c r="D216"/>
  <c r="AS216" s="1"/>
  <c r="D217"/>
  <c r="AS217" s="1"/>
  <c r="D218"/>
  <c r="AS218" s="1"/>
  <c r="D220"/>
  <c r="AS220" s="1"/>
  <c r="D221"/>
  <c r="AS221" s="1"/>
  <c r="D222"/>
  <c r="AS222" s="1"/>
  <c r="D223"/>
  <c r="AS223" s="1"/>
  <c r="D224"/>
  <c r="AS224" s="1"/>
  <c r="D225"/>
  <c r="AS225" s="1"/>
  <c r="D226"/>
  <c r="AS226" s="1"/>
  <c r="D227"/>
  <c r="AS227" s="1"/>
  <c r="D228"/>
  <c r="AS228" s="1"/>
  <c r="D230"/>
  <c r="AS230" s="1"/>
  <c r="D231"/>
  <c r="AS231" s="1"/>
  <c r="D232"/>
  <c r="AS232" s="1"/>
  <c r="D233"/>
  <c r="AS233" s="1"/>
  <c r="D234"/>
  <c r="AS234" s="1"/>
  <c r="D235"/>
  <c r="AS235" s="1"/>
  <c r="D236"/>
  <c r="AS236" s="1"/>
  <c r="D237"/>
  <c r="D239"/>
  <c r="AS239" s="1"/>
  <c r="D240"/>
  <c r="AS240" s="1"/>
  <c r="D241"/>
  <c r="AS241" s="1"/>
  <c r="D242"/>
  <c r="AS242" s="1"/>
  <c r="D243"/>
  <c r="AS243" s="1"/>
  <c r="D244"/>
  <c r="AS244" s="1"/>
  <c r="D245"/>
  <c r="AS245" s="1"/>
  <c r="D246"/>
  <c r="AS246" s="1"/>
  <c r="D247"/>
  <c r="AS247" s="1"/>
  <c r="D248"/>
  <c r="AS248" s="1"/>
  <c r="D249"/>
  <c r="AS249" s="1"/>
  <c r="D250"/>
  <c r="AS250" s="1"/>
  <c r="D251"/>
  <c r="AS251" s="1"/>
  <c r="D252"/>
  <c r="AS252" s="1"/>
  <c r="D253"/>
  <c r="AS253" s="1"/>
  <c r="D255"/>
  <c r="AS255" s="1"/>
  <c r="D256"/>
  <c r="AS256" s="1"/>
  <c r="D257"/>
  <c r="AS257" s="1"/>
  <c r="D258"/>
  <c r="AS258" s="1"/>
  <c r="D259"/>
  <c r="AS259" s="1"/>
  <c r="D260"/>
  <c r="AS260" s="1"/>
  <c r="D261"/>
  <c r="AS261" s="1"/>
  <c r="D263"/>
  <c r="AS263" s="1"/>
  <c r="D264"/>
  <c r="AS264" s="1"/>
  <c r="D265"/>
  <c r="AS265" s="1"/>
  <c r="D266"/>
  <c r="AS266" s="1"/>
  <c r="D267"/>
  <c r="AS267" s="1"/>
  <c r="D268"/>
  <c r="AS268" s="1"/>
  <c r="D269"/>
  <c r="AS269" s="1"/>
  <c r="D270"/>
  <c r="AS270" s="1"/>
  <c r="D271"/>
  <c r="AS271" s="1"/>
  <c r="D272"/>
  <c r="AS272" s="1"/>
  <c r="D273"/>
  <c r="AS273" s="1"/>
  <c r="D274"/>
  <c r="AS274" s="1"/>
  <c r="D275"/>
  <c r="AS275" s="1"/>
  <c r="D276"/>
  <c r="AS276" s="1"/>
  <c r="D277"/>
  <c r="AS277" s="1"/>
  <c r="D278"/>
  <c r="AS278" s="1"/>
  <c r="D279"/>
  <c r="AS279" s="1"/>
  <c r="D281"/>
  <c r="AS281" s="1"/>
  <c r="D282"/>
  <c r="AS282" s="1"/>
  <c r="D283"/>
  <c r="AS283" s="1"/>
  <c r="D284"/>
  <c r="AS284" s="1"/>
  <c r="D285"/>
  <c r="AS285" s="1"/>
  <c r="D286"/>
  <c r="AS286" s="1"/>
  <c r="D287"/>
  <c r="AS287" s="1"/>
  <c r="D288"/>
  <c r="AS288" s="1"/>
  <c r="D289"/>
  <c r="AS289" s="1"/>
  <c r="D290"/>
  <c r="AS290" s="1"/>
  <c r="D291"/>
  <c r="AS291" s="1"/>
  <c r="D292"/>
  <c r="AS292" s="1"/>
  <c r="D293"/>
  <c r="AS293" s="1"/>
  <c r="D294"/>
  <c r="AS294" s="1"/>
  <c r="D295"/>
  <c r="AS295" s="1"/>
  <c r="D296"/>
  <c r="AS296" s="1"/>
  <c r="D297"/>
  <c r="AS297" s="1"/>
  <c r="D298"/>
  <c r="AS298" s="1"/>
  <c r="D299"/>
  <c r="AS299" s="1"/>
  <c r="D300"/>
  <c r="AS300" s="1"/>
  <c r="D301"/>
  <c r="AS301" s="1"/>
  <c r="D302"/>
  <c r="AS302" s="1"/>
  <c r="D303"/>
  <c r="AS303" s="1"/>
  <c r="D304"/>
  <c r="AS304" s="1"/>
  <c r="D306"/>
  <c r="AS306" s="1"/>
  <c r="D307"/>
  <c r="AS307" s="1"/>
  <c r="D308"/>
  <c r="AS308" s="1"/>
  <c r="D309"/>
  <c r="AS309" s="1"/>
  <c r="D310"/>
  <c r="AS310" s="1"/>
  <c r="D311"/>
  <c r="AS311" s="1"/>
  <c r="D312"/>
  <c r="AS312" s="1"/>
  <c r="D313"/>
  <c r="AS313" s="1"/>
  <c r="D314"/>
  <c r="AS314" s="1"/>
  <c r="D315"/>
  <c r="AS315" s="1"/>
  <c r="D316"/>
  <c r="AS316" s="1"/>
  <c r="D317"/>
  <c r="AS317" s="1"/>
  <c r="D318"/>
  <c r="AS318" s="1"/>
  <c r="D319"/>
  <c r="AS319" s="1"/>
  <c r="D320"/>
  <c r="AS320" s="1"/>
  <c r="D322"/>
  <c r="AS322" s="1"/>
  <c r="D323"/>
  <c r="AS323" s="1"/>
  <c r="D324"/>
  <c r="AS324" s="1"/>
  <c r="D325"/>
  <c r="AS325" s="1"/>
  <c r="D326"/>
  <c r="AS326" s="1"/>
  <c r="D327"/>
  <c r="AS327" s="1"/>
  <c r="D328"/>
  <c r="AS328" s="1"/>
  <c r="D329"/>
  <c r="AS329" s="1"/>
  <c r="D330"/>
  <c r="AS330" s="1"/>
  <c r="D331"/>
  <c r="AS331" s="1"/>
  <c r="D332"/>
  <c r="AS332" s="1"/>
  <c r="D334"/>
  <c r="AS334" s="1"/>
  <c r="D335"/>
  <c r="AS335" s="1"/>
  <c r="D336"/>
  <c r="AS336" s="1"/>
  <c r="D337"/>
  <c r="AS337" s="1"/>
  <c r="D338"/>
  <c r="AS338" s="1"/>
  <c r="D339"/>
  <c r="AS339" s="1"/>
  <c r="D340"/>
  <c r="AS340" s="1"/>
  <c r="D341"/>
  <c r="AS341" s="1"/>
  <c r="D342"/>
  <c r="AS342" s="1"/>
  <c r="D343"/>
  <c r="AS343" s="1"/>
  <c r="D344"/>
  <c r="AS344" s="1"/>
  <c r="D346"/>
  <c r="AS346" s="1"/>
  <c r="D347"/>
  <c r="AS347" s="1"/>
  <c r="D348"/>
  <c r="AS348" s="1"/>
  <c r="D349"/>
  <c r="AS349" s="1"/>
  <c r="D350"/>
  <c r="AS350" s="1"/>
  <c r="D351"/>
  <c r="AS351" s="1"/>
  <c r="D352"/>
  <c r="AS352" s="1"/>
  <c r="D353"/>
  <c r="AS353" s="1"/>
  <c r="D354"/>
  <c r="AS354" s="1"/>
  <c r="D355"/>
  <c r="AS355" s="1"/>
  <c r="D357"/>
  <c r="AS357" s="1"/>
  <c r="D358"/>
  <c r="AS358" s="1"/>
  <c r="D359"/>
  <c r="AS359" s="1"/>
  <c r="D360"/>
  <c r="AS360" s="1"/>
  <c r="D361"/>
  <c r="AS361" s="1"/>
  <c r="D362"/>
  <c r="AS362" s="1"/>
  <c r="D363"/>
  <c r="AS363" s="1"/>
  <c r="D364"/>
  <c r="AS364" s="1"/>
  <c r="D365"/>
  <c r="AS365" s="1"/>
  <c r="D366"/>
  <c r="AS366" s="1"/>
  <c r="D367"/>
  <c r="AS367" s="1"/>
  <c r="AW367" s="1"/>
  <c r="AY367" s="1"/>
  <c r="BA367" s="1"/>
  <c r="D368"/>
  <c r="AS368" s="1"/>
  <c r="D47"/>
  <c r="AS47" s="1"/>
  <c r="D19"/>
  <c r="AS19" s="1"/>
  <c r="D20"/>
  <c r="AS20" s="1"/>
  <c r="D21"/>
  <c r="AS21" s="1"/>
  <c r="D22"/>
  <c r="AS22" s="1"/>
  <c r="D23"/>
  <c r="AS23" s="1"/>
  <c r="D24"/>
  <c r="AS24" s="1"/>
  <c r="D25"/>
  <c r="AS25" s="1"/>
  <c r="D26"/>
  <c r="AS26" s="1"/>
  <c r="D27"/>
  <c r="AS27" s="1"/>
  <c r="D28"/>
  <c r="AS28" s="1"/>
  <c r="D29"/>
  <c r="AS29" s="1"/>
  <c r="D30"/>
  <c r="AS30" s="1"/>
  <c r="D31"/>
  <c r="AS31" s="1"/>
  <c r="D32"/>
  <c r="AS32" s="1"/>
  <c r="D33"/>
  <c r="AS33" s="1"/>
  <c r="D34"/>
  <c r="AS34" s="1"/>
  <c r="D35"/>
  <c r="D36"/>
  <c r="AS36" s="1"/>
  <c r="D37"/>
  <c r="AS37" s="1"/>
  <c r="D38"/>
  <c r="AS38" s="1"/>
  <c r="D39"/>
  <c r="AS39" s="1"/>
  <c r="D40"/>
  <c r="AS40" s="1"/>
  <c r="D41"/>
  <c r="AS41" s="1"/>
  <c r="D42"/>
  <c r="AS42" s="1"/>
  <c r="D43"/>
  <c r="AS43" s="1"/>
  <c r="D44"/>
  <c r="AS44" s="1"/>
  <c r="D18"/>
  <c r="AS18" s="1"/>
  <c r="D8"/>
  <c r="AS8" s="1"/>
  <c r="D9"/>
  <c r="AS9" s="1"/>
  <c r="D10"/>
  <c r="AS10" s="1"/>
  <c r="D11"/>
  <c r="AS11" s="1"/>
  <c r="D12"/>
  <c r="AS12" s="1"/>
  <c r="D13"/>
  <c r="AS13" s="1"/>
  <c r="D14"/>
  <c r="AS14" s="1"/>
  <c r="D15"/>
  <c r="AS15" s="1"/>
  <c r="D16"/>
  <c r="AS16" s="1"/>
  <c r="D7"/>
  <c r="AS7" s="1"/>
  <c r="AP237" l="1"/>
  <c r="AS237" s="1"/>
  <c r="AP35"/>
  <c r="AS35" s="1"/>
  <c r="BB367"/>
  <c r="BC367" s="1"/>
  <c r="BE367" s="1"/>
  <c r="AT43"/>
  <c r="AW43"/>
  <c r="AY43" s="1"/>
  <c r="BA43" s="1"/>
  <c r="BC43" s="1"/>
  <c r="BE43" s="1"/>
  <c r="AT41"/>
  <c r="AW41"/>
  <c r="AY41" s="1"/>
  <c r="BA41" s="1"/>
  <c r="BC41" s="1"/>
  <c r="BE41" s="1"/>
  <c r="AT39"/>
  <c r="AW39"/>
  <c r="AY39" s="1"/>
  <c r="BA39" s="1"/>
  <c r="AT37"/>
  <c r="AW37"/>
  <c r="AY37" s="1"/>
  <c r="BA37" s="1"/>
  <c r="AT33"/>
  <c r="AW33"/>
  <c r="AY33" s="1"/>
  <c r="BA33" s="1"/>
  <c r="BC33" s="1"/>
  <c r="BE33" s="1"/>
  <c r="AT31"/>
  <c r="AW31"/>
  <c r="AY31" s="1"/>
  <c r="BA31" s="1"/>
  <c r="BC31" s="1"/>
  <c r="BE31" s="1"/>
  <c r="AT29"/>
  <c r="AW29"/>
  <c r="AY29" s="1"/>
  <c r="BA29" s="1"/>
  <c r="BC29" s="1"/>
  <c r="BE29" s="1"/>
  <c r="AT27"/>
  <c r="AW27"/>
  <c r="AY27" s="1"/>
  <c r="BA27" s="1"/>
  <c r="BC27" s="1"/>
  <c r="BE27" s="1"/>
  <c r="AT25"/>
  <c r="AW25"/>
  <c r="AY25" s="1"/>
  <c r="BA25" s="1"/>
  <c r="AT23"/>
  <c r="AW23"/>
  <c r="AY23" s="1"/>
  <c r="BA23" s="1"/>
  <c r="BC23" s="1"/>
  <c r="BE23" s="1"/>
  <c r="AT21"/>
  <c r="AW21"/>
  <c r="AY21" s="1"/>
  <c r="BA21" s="1"/>
  <c r="BC21" s="1"/>
  <c r="BE21" s="1"/>
  <c r="AT19"/>
  <c r="AW19"/>
  <c r="AY19" s="1"/>
  <c r="BA19" s="1"/>
  <c r="BC19" s="1"/>
  <c r="BE19" s="1"/>
  <c r="AT42"/>
  <c r="AW42"/>
  <c r="AY42" s="1"/>
  <c r="BA42" s="1"/>
  <c r="AT40"/>
  <c r="AW40"/>
  <c r="AY40" s="1"/>
  <c r="BA40" s="1"/>
  <c r="AT38"/>
  <c r="AW38"/>
  <c r="AY38" s="1"/>
  <c r="BA38" s="1"/>
  <c r="AT36"/>
  <c r="AW36"/>
  <c r="AY36" s="1"/>
  <c r="BA36" s="1"/>
  <c r="BC36" s="1"/>
  <c r="BE36" s="1"/>
  <c r="AT34"/>
  <c r="AW34"/>
  <c r="AY34" s="1"/>
  <c r="BA34" s="1"/>
  <c r="AT32"/>
  <c r="AW32"/>
  <c r="AY32" s="1"/>
  <c r="BA32" s="1"/>
  <c r="BC32" s="1"/>
  <c r="BE32" s="1"/>
  <c r="AT30"/>
  <c r="AW30"/>
  <c r="AY30" s="1"/>
  <c r="BA30" s="1"/>
  <c r="AT28"/>
  <c r="AW28"/>
  <c r="AY28" s="1"/>
  <c r="BA28" s="1"/>
  <c r="BC28" s="1"/>
  <c r="BE28" s="1"/>
  <c r="AT26"/>
  <c r="AW26"/>
  <c r="AY26" s="1"/>
  <c r="BA26" s="1"/>
  <c r="BC26" s="1"/>
  <c r="BE26" s="1"/>
  <c r="AT24"/>
  <c r="AW24"/>
  <c r="AY24" s="1"/>
  <c r="BA24" s="1"/>
  <c r="AT22"/>
  <c r="AW22"/>
  <c r="AY22" s="1"/>
  <c r="BA22" s="1"/>
  <c r="AT20"/>
  <c r="AW20"/>
  <c r="AY20" s="1"/>
  <c r="BA20" s="1"/>
  <c r="AT15"/>
  <c r="AW15"/>
  <c r="AY15" s="1"/>
  <c r="BA15" s="1"/>
  <c r="AT11"/>
  <c r="AW11"/>
  <c r="AY11" s="1"/>
  <c r="BA11" s="1"/>
  <c r="BC11" s="1"/>
  <c r="BE11" s="1"/>
  <c r="AT9"/>
  <c r="AW9"/>
  <c r="AY9" s="1"/>
  <c r="BA9" s="1"/>
  <c r="AW16"/>
  <c r="AY16" s="1"/>
  <c r="BA16" s="1"/>
  <c r="BC16" s="1"/>
  <c r="BE16" s="1"/>
  <c r="AT16"/>
  <c r="AT14"/>
  <c r="AW14"/>
  <c r="AY14" s="1"/>
  <c r="BA14" s="1"/>
  <c r="BC14" s="1"/>
  <c r="BE14" s="1"/>
  <c r="AT12"/>
  <c r="AW12"/>
  <c r="AY12" s="1"/>
  <c r="BA12" s="1"/>
  <c r="BC12" s="1"/>
  <c r="BE12" s="1"/>
  <c r="AT10"/>
  <c r="AW10"/>
  <c r="AY10" s="1"/>
  <c r="BA10" s="1"/>
  <c r="BC10" s="1"/>
  <c r="BE10" s="1"/>
  <c r="AT8"/>
  <c r="AW8"/>
  <c r="AY8" s="1"/>
  <c r="BA8" s="1"/>
  <c r="BC8" s="1"/>
  <c r="BE8" s="1"/>
  <c r="AW44"/>
  <c r="AY44" s="1"/>
  <c r="BA44" s="1"/>
  <c r="AT44"/>
  <c r="AT367"/>
  <c r="AW7"/>
  <c r="AY7" s="1"/>
  <c r="AT7"/>
  <c r="AT13"/>
  <c r="AW13"/>
  <c r="AY13" s="1"/>
  <c r="BA13" s="1"/>
  <c r="AW18"/>
  <c r="AT18"/>
  <c r="AW368"/>
  <c r="AY368" s="1"/>
  <c r="BA368" s="1"/>
  <c r="AT368"/>
  <c r="AW364"/>
  <c r="AY364" s="1"/>
  <c r="BA364" s="1"/>
  <c r="AT364"/>
  <c r="AW360"/>
  <c r="AY360" s="1"/>
  <c r="BA360" s="1"/>
  <c r="AT360"/>
  <c r="AW355"/>
  <c r="AY355" s="1"/>
  <c r="BA355" s="1"/>
  <c r="BC355" s="1"/>
  <c r="BE355" s="1"/>
  <c r="AT355"/>
  <c r="AW351"/>
  <c r="AY351" s="1"/>
  <c r="BA351" s="1"/>
  <c r="BC351" s="1"/>
  <c r="BE351" s="1"/>
  <c r="AT351"/>
  <c r="AW347"/>
  <c r="AY347" s="1"/>
  <c r="BA347" s="1"/>
  <c r="BC347" s="1"/>
  <c r="BE347" s="1"/>
  <c r="AT347"/>
  <c r="AW342"/>
  <c r="AY342" s="1"/>
  <c r="BA342" s="1"/>
  <c r="BC342" s="1"/>
  <c r="BE342" s="1"/>
  <c r="AT342"/>
  <c r="AW340"/>
  <c r="AY340" s="1"/>
  <c r="BA340" s="1"/>
  <c r="BC340" s="1"/>
  <c r="BE340" s="1"/>
  <c r="AT340"/>
  <c r="AW336"/>
  <c r="AY336" s="1"/>
  <c r="BA336" s="1"/>
  <c r="AT336"/>
  <c r="AW331"/>
  <c r="AY331" s="1"/>
  <c r="BA331" s="1"/>
  <c r="AT331"/>
  <c r="AW327"/>
  <c r="AY327" s="1"/>
  <c r="BA327" s="1"/>
  <c r="BC327" s="1"/>
  <c r="BE327" s="1"/>
  <c r="AT327"/>
  <c r="AW323"/>
  <c r="AY323" s="1"/>
  <c r="BA323" s="1"/>
  <c r="AT323"/>
  <c r="AW316"/>
  <c r="AY316" s="1"/>
  <c r="BA316" s="1"/>
  <c r="AT316"/>
  <c r="AW312"/>
  <c r="AY312" s="1"/>
  <c r="BA312" s="1"/>
  <c r="AT312"/>
  <c r="AW308"/>
  <c r="AY308" s="1"/>
  <c r="BA308" s="1"/>
  <c r="AT308"/>
  <c r="AW301"/>
  <c r="AY301" s="1"/>
  <c r="BA301" s="1"/>
  <c r="AT301"/>
  <c r="AW299"/>
  <c r="AY299" s="1"/>
  <c r="BA299" s="1"/>
  <c r="BC299" s="1"/>
  <c r="BE299" s="1"/>
  <c r="AT299"/>
  <c r="AW295"/>
  <c r="AY295" s="1"/>
  <c r="BA295" s="1"/>
  <c r="AT295"/>
  <c r="AW291"/>
  <c r="AY291" s="1"/>
  <c r="BA291" s="1"/>
  <c r="BC291" s="1"/>
  <c r="BE291" s="1"/>
  <c r="AT291"/>
  <c r="AW285"/>
  <c r="AY285" s="1"/>
  <c r="BA285" s="1"/>
  <c r="BC285" s="1"/>
  <c r="BE285" s="1"/>
  <c r="AT285"/>
  <c r="AW283"/>
  <c r="AY283" s="1"/>
  <c r="BA283" s="1"/>
  <c r="BC283" s="1"/>
  <c r="BE283" s="1"/>
  <c r="AT283"/>
  <c r="AW278"/>
  <c r="AY278" s="1"/>
  <c r="BA278" s="1"/>
  <c r="BC278" s="1"/>
  <c r="BE278" s="1"/>
  <c r="AT278"/>
  <c r="AW274"/>
  <c r="AY274" s="1"/>
  <c r="BA274" s="1"/>
  <c r="BC274" s="1"/>
  <c r="BE274" s="1"/>
  <c r="AT274"/>
  <c r="AW270"/>
  <c r="AY270" s="1"/>
  <c r="BA270" s="1"/>
  <c r="AT270"/>
  <c r="AW266"/>
  <c r="AY266" s="1"/>
  <c r="BA266" s="1"/>
  <c r="AT266"/>
  <c r="AW261"/>
  <c r="AY261" s="1"/>
  <c r="BA261" s="1"/>
  <c r="BC261" s="1"/>
  <c r="BE261" s="1"/>
  <c r="AT261"/>
  <c r="AW257"/>
  <c r="AY257" s="1"/>
  <c r="BA257" s="1"/>
  <c r="AT257"/>
  <c r="AW252"/>
  <c r="AY252" s="1"/>
  <c r="BA252" s="1"/>
  <c r="AT252"/>
  <c r="AW248"/>
  <c r="AY248" s="1"/>
  <c r="BA248" s="1"/>
  <c r="AT248"/>
  <c r="AW244"/>
  <c r="AY244" s="1"/>
  <c r="BA244" s="1"/>
  <c r="AT244"/>
  <c r="AW233"/>
  <c r="AY233" s="1"/>
  <c r="BA233" s="1"/>
  <c r="BC233" s="1"/>
  <c r="BE233" s="1"/>
  <c r="AT233"/>
  <c r="AW231"/>
  <c r="AY231" s="1"/>
  <c r="BA231" s="1"/>
  <c r="BC231" s="1"/>
  <c r="BE231" s="1"/>
  <c r="AT231"/>
  <c r="AW226"/>
  <c r="AY226" s="1"/>
  <c r="BA226" s="1"/>
  <c r="AT226"/>
  <c r="AW220"/>
  <c r="AY220" s="1"/>
  <c r="BA220" s="1"/>
  <c r="AT220"/>
  <c r="AW47"/>
  <c r="AY47" s="1"/>
  <c r="BA47" s="1"/>
  <c r="AT47"/>
  <c r="AW365"/>
  <c r="AY365" s="1"/>
  <c r="BA365" s="1"/>
  <c r="AT365"/>
  <c r="AW363"/>
  <c r="AY363" s="1"/>
  <c r="BA363" s="1"/>
  <c r="BC363" s="1"/>
  <c r="BE363" s="1"/>
  <c r="AT363"/>
  <c r="AW361"/>
  <c r="AY361" s="1"/>
  <c r="BA361" s="1"/>
  <c r="AT361"/>
  <c r="AW359"/>
  <c r="AY359" s="1"/>
  <c r="BA359" s="1"/>
  <c r="AT359"/>
  <c r="AW357"/>
  <c r="AY357" s="1"/>
  <c r="BA357" s="1"/>
  <c r="BC357" s="1"/>
  <c r="BE357" s="1"/>
  <c r="AT357"/>
  <c r="AW354"/>
  <c r="AY354" s="1"/>
  <c r="BA354" s="1"/>
  <c r="BC354" s="1"/>
  <c r="BE354" s="1"/>
  <c r="AT354"/>
  <c r="AW352"/>
  <c r="AY352" s="1"/>
  <c r="BA352" s="1"/>
  <c r="BC352" s="1"/>
  <c r="BE352" s="1"/>
  <c r="AT352"/>
  <c r="AW350"/>
  <c r="AY350" s="1"/>
  <c r="BA350" s="1"/>
  <c r="BC350" s="1"/>
  <c r="BE350" s="1"/>
  <c r="AT350"/>
  <c r="AW348"/>
  <c r="AY348" s="1"/>
  <c r="BA348" s="1"/>
  <c r="BC348" s="1"/>
  <c r="BE348" s="1"/>
  <c r="AT348"/>
  <c r="AW346"/>
  <c r="AY346" s="1"/>
  <c r="BA346" s="1"/>
  <c r="BC346" s="1"/>
  <c r="BE346" s="1"/>
  <c r="AT346"/>
  <c r="AW343"/>
  <c r="AY343" s="1"/>
  <c r="BA343" s="1"/>
  <c r="BC343" s="1"/>
  <c r="BE343" s="1"/>
  <c r="AT343"/>
  <c r="AW341"/>
  <c r="AY341" s="1"/>
  <c r="BA341" s="1"/>
  <c r="BC341" s="1"/>
  <c r="BE341" s="1"/>
  <c r="AT341"/>
  <c r="AW339"/>
  <c r="AY339" s="1"/>
  <c r="BA339" s="1"/>
  <c r="BC339" s="1"/>
  <c r="BE339" s="1"/>
  <c r="AT339"/>
  <c r="AW337"/>
  <c r="AY337" s="1"/>
  <c r="BA337" s="1"/>
  <c r="AT337"/>
  <c r="AW335"/>
  <c r="AY335" s="1"/>
  <c r="BA335" s="1"/>
  <c r="AT335"/>
  <c r="AW332"/>
  <c r="AY332" s="1"/>
  <c r="BA332" s="1"/>
  <c r="BC332" s="1"/>
  <c r="BE332" s="1"/>
  <c r="AT332"/>
  <c r="AW330"/>
  <c r="AY330" s="1"/>
  <c r="BA330" s="1"/>
  <c r="AT330"/>
  <c r="AW328"/>
  <c r="AY328" s="1"/>
  <c r="BA328" s="1"/>
  <c r="AT328"/>
  <c r="AW326"/>
  <c r="AY326" s="1"/>
  <c r="BA326" s="1"/>
  <c r="AT326"/>
  <c r="AW324"/>
  <c r="AY324" s="1"/>
  <c r="BA324" s="1"/>
  <c r="BC324" s="1"/>
  <c r="BE324" s="1"/>
  <c r="AT324"/>
  <c r="AW322"/>
  <c r="AY322" s="1"/>
  <c r="BA322" s="1"/>
  <c r="AT322"/>
  <c r="AW319"/>
  <c r="AY319" s="1"/>
  <c r="BA319" s="1"/>
  <c r="AT319"/>
  <c r="AW317"/>
  <c r="AY317" s="1"/>
  <c r="BA317" s="1"/>
  <c r="AT317"/>
  <c r="AW315"/>
  <c r="AY315" s="1"/>
  <c r="BA315" s="1"/>
  <c r="AT315"/>
  <c r="AW313"/>
  <c r="AY313" s="1"/>
  <c r="BA313" s="1"/>
  <c r="AT313"/>
  <c r="AW311"/>
  <c r="AY311" s="1"/>
  <c r="BA311" s="1"/>
  <c r="AT311"/>
  <c r="AW309"/>
  <c r="AY309" s="1"/>
  <c r="BA309" s="1"/>
  <c r="AT309"/>
  <c r="AW307"/>
  <c r="AY307" s="1"/>
  <c r="BA307" s="1"/>
  <c r="AT307"/>
  <c r="AW304"/>
  <c r="AY304" s="1"/>
  <c r="BA304" s="1"/>
  <c r="AT304"/>
  <c r="AW302"/>
  <c r="AY302" s="1"/>
  <c r="BA302" s="1"/>
  <c r="AT302"/>
  <c r="AW300"/>
  <c r="AY300" s="1"/>
  <c r="BA300" s="1"/>
  <c r="AT300"/>
  <c r="AW298"/>
  <c r="AY298" s="1"/>
  <c r="BA298" s="1"/>
  <c r="BC298" s="1"/>
  <c r="BE298" s="1"/>
  <c r="AT298"/>
  <c r="AW296"/>
  <c r="AY296" s="1"/>
  <c r="BA296" s="1"/>
  <c r="BC296" s="1"/>
  <c r="BE296" s="1"/>
  <c r="AT296"/>
  <c r="AW294"/>
  <c r="AY294" s="1"/>
  <c r="BA294" s="1"/>
  <c r="AT294"/>
  <c r="AW292"/>
  <c r="AY292" s="1"/>
  <c r="BA292" s="1"/>
  <c r="BC292" s="1"/>
  <c r="BE292" s="1"/>
  <c r="AT292"/>
  <c r="AW290"/>
  <c r="AY290" s="1"/>
  <c r="BA290" s="1"/>
  <c r="AT290"/>
  <c r="AW288"/>
  <c r="AY288" s="1"/>
  <c r="BA288" s="1"/>
  <c r="AT288"/>
  <c r="AW286"/>
  <c r="AY286" s="1"/>
  <c r="BA286" s="1"/>
  <c r="AT286"/>
  <c r="AW284"/>
  <c r="AY284" s="1"/>
  <c r="BA284" s="1"/>
  <c r="BC284" s="1"/>
  <c r="BE284" s="1"/>
  <c r="AT284"/>
  <c r="AW282"/>
  <c r="AY282" s="1"/>
  <c r="BA282" s="1"/>
  <c r="BC282" s="1"/>
  <c r="BE282" s="1"/>
  <c r="AT282"/>
  <c r="AW279"/>
  <c r="AY279" s="1"/>
  <c r="BA279" s="1"/>
  <c r="AT279"/>
  <c r="AW277"/>
  <c r="AY277" s="1"/>
  <c r="BA277" s="1"/>
  <c r="AT277"/>
  <c r="AW275"/>
  <c r="AY275" s="1"/>
  <c r="BA275" s="1"/>
  <c r="AT275"/>
  <c r="AW273"/>
  <c r="AY273" s="1"/>
  <c r="BA273" s="1"/>
  <c r="BC273" s="1"/>
  <c r="BE273" s="1"/>
  <c r="AT273"/>
  <c r="AW271"/>
  <c r="AY271" s="1"/>
  <c r="BA271" s="1"/>
  <c r="BC271" s="1"/>
  <c r="BE271" s="1"/>
  <c r="AT271"/>
  <c r="AW269"/>
  <c r="AY269" s="1"/>
  <c r="BA269" s="1"/>
  <c r="AT269"/>
  <c r="AW267"/>
  <c r="AY267" s="1"/>
  <c r="BA267" s="1"/>
  <c r="AT267"/>
  <c r="AW265"/>
  <c r="AY265" s="1"/>
  <c r="BA265" s="1"/>
  <c r="AT265"/>
  <c r="AW263"/>
  <c r="AY263" s="1"/>
  <c r="BA263" s="1"/>
  <c r="AT263"/>
  <c r="AW260"/>
  <c r="AY260" s="1"/>
  <c r="BA260" s="1"/>
  <c r="AT260"/>
  <c r="AW258"/>
  <c r="AY258" s="1"/>
  <c r="BA258" s="1"/>
  <c r="AT258"/>
  <c r="AW256"/>
  <c r="AY256" s="1"/>
  <c r="BA256" s="1"/>
  <c r="BC256" s="1"/>
  <c r="BE256" s="1"/>
  <c r="AT256"/>
  <c r="AW253"/>
  <c r="AY253" s="1"/>
  <c r="BA253" s="1"/>
  <c r="BC253" s="1"/>
  <c r="BE253" s="1"/>
  <c r="AT253"/>
  <c r="AW251"/>
  <c r="AY251" s="1"/>
  <c r="BA251" s="1"/>
  <c r="AT251"/>
  <c r="AW249"/>
  <c r="AY249" s="1"/>
  <c r="BA249" s="1"/>
  <c r="AT249"/>
  <c r="AW247"/>
  <c r="AY247" s="1"/>
  <c r="BA247" s="1"/>
  <c r="BC247" s="1"/>
  <c r="BE247" s="1"/>
  <c r="AT247"/>
  <c r="AW245"/>
  <c r="AY245" s="1"/>
  <c r="BA245" s="1"/>
  <c r="AT245"/>
  <c r="AW243"/>
  <c r="AY243" s="1"/>
  <c r="BA243" s="1"/>
  <c r="AT243"/>
  <c r="AW241"/>
  <c r="AY241" s="1"/>
  <c r="BA241" s="1"/>
  <c r="AT241"/>
  <c r="AW239"/>
  <c r="AY239" s="1"/>
  <c r="BA239" s="1"/>
  <c r="BC239" s="1"/>
  <c r="BE239" s="1"/>
  <c r="AT239"/>
  <c r="AW236"/>
  <c r="AY236" s="1"/>
  <c r="BA236" s="1"/>
  <c r="BC236" s="1"/>
  <c r="BE236" s="1"/>
  <c r="AT236"/>
  <c r="AW234"/>
  <c r="AY234" s="1"/>
  <c r="BA234" s="1"/>
  <c r="BC234" s="1"/>
  <c r="BE234" s="1"/>
  <c r="AT234"/>
  <c r="AW232"/>
  <c r="AY232" s="1"/>
  <c r="BA232" s="1"/>
  <c r="BC232" s="1"/>
  <c r="BE232" s="1"/>
  <c r="AT232"/>
  <c r="AW230"/>
  <c r="AY230" s="1"/>
  <c r="BA230" s="1"/>
  <c r="BC230" s="1"/>
  <c r="BE230" s="1"/>
  <c r="AT230"/>
  <c r="AW227"/>
  <c r="AY227" s="1"/>
  <c r="BA227" s="1"/>
  <c r="BC227" s="1"/>
  <c r="BE227" s="1"/>
  <c r="AT227"/>
  <c r="AW225"/>
  <c r="AY225" s="1"/>
  <c r="BA225" s="1"/>
  <c r="BC225" s="1"/>
  <c r="BE225" s="1"/>
  <c r="AT225"/>
  <c r="AW223"/>
  <c r="AY223" s="1"/>
  <c r="BA223" s="1"/>
  <c r="AT223"/>
  <c r="AW221"/>
  <c r="AY221" s="1"/>
  <c r="BA221" s="1"/>
  <c r="AT221"/>
  <c r="AW218"/>
  <c r="AY218" s="1"/>
  <c r="BA218" s="1"/>
  <c r="AT218"/>
  <c r="AW216"/>
  <c r="AY216" s="1"/>
  <c r="BA216" s="1"/>
  <c r="AT216"/>
  <c r="AW214"/>
  <c r="AY214" s="1"/>
  <c r="BA214" s="1"/>
  <c r="BC214" s="1"/>
  <c r="BE214" s="1"/>
  <c r="AT214"/>
  <c r="AW212"/>
  <c r="AY212" s="1"/>
  <c r="BA212" s="1"/>
  <c r="BC212" s="1"/>
  <c r="BE212" s="1"/>
  <c r="AT212"/>
  <c r="AW210"/>
  <c r="AY210" s="1"/>
  <c r="BA210" s="1"/>
  <c r="BC210" s="1"/>
  <c r="BE210" s="1"/>
  <c r="AT210"/>
  <c r="AW208"/>
  <c r="AY208" s="1"/>
  <c r="BA208" s="1"/>
  <c r="BC208" s="1"/>
  <c r="BE208" s="1"/>
  <c r="AT208"/>
  <c r="AW206"/>
  <c r="AY206" s="1"/>
  <c r="BA206" s="1"/>
  <c r="BC206" s="1"/>
  <c r="BE206" s="1"/>
  <c r="AT206"/>
  <c r="AW203"/>
  <c r="AY203" s="1"/>
  <c r="BA203" s="1"/>
  <c r="BC203" s="1"/>
  <c r="BE203" s="1"/>
  <c r="AT203"/>
  <c r="AW201"/>
  <c r="AY201" s="1"/>
  <c r="BA201" s="1"/>
  <c r="AT201"/>
  <c r="AW199"/>
  <c r="AY199" s="1"/>
  <c r="BA199" s="1"/>
  <c r="BC199" s="1"/>
  <c r="BE199" s="1"/>
  <c r="AT199"/>
  <c r="AW197"/>
  <c r="AY197" s="1"/>
  <c r="BA197" s="1"/>
  <c r="AT197"/>
  <c r="AW195"/>
  <c r="AY195" s="1"/>
  <c r="BA195" s="1"/>
  <c r="AT195"/>
  <c r="AW193"/>
  <c r="AY193" s="1"/>
  <c r="BA193" s="1"/>
  <c r="AT193"/>
  <c r="AW190"/>
  <c r="AY190" s="1"/>
  <c r="BA190" s="1"/>
  <c r="BC190" s="1"/>
  <c r="BE190" s="1"/>
  <c r="AT190"/>
  <c r="AW188"/>
  <c r="AY188" s="1"/>
  <c r="BA188" s="1"/>
  <c r="BC188" s="1"/>
  <c r="BE188" s="1"/>
  <c r="AT188"/>
  <c r="AW186"/>
  <c r="AY186" s="1"/>
  <c r="BA186" s="1"/>
  <c r="AT186"/>
  <c r="AW184"/>
  <c r="AY184" s="1"/>
  <c r="BA184" s="1"/>
  <c r="AT184"/>
  <c r="AW182"/>
  <c r="AY182" s="1"/>
  <c r="BA182" s="1"/>
  <c r="AT182"/>
  <c r="AW180"/>
  <c r="AY180" s="1"/>
  <c r="BA180" s="1"/>
  <c r="BC180" s="1"/>
  <c r="BE180" s="1"/>
  <c r="AT180"/>
  <c r="AW177"/>
  <c r="AY177" s="1"/>
  <c r="BA177" s="1"/>
  <c r="BC177" s="1"/>
  <c r="BE177" s="1"/>
  <c r="AT177"/>
  <c r="AW175"/>
  <c r="AY175" s="1"/>
  <c r="BA175" s="1"/>
  <c r="AT175"/>
  <c r="AW173"/>
  <c r="AY173" s="1"/>
  <c r="BA173" s="1"/>
  <c r="AT173"/>
  <c r="AW170"/>
  <c r="AY170" s="1"/>
  <c r="BA170" s="1"/>
  <c r="BC170" s="1"/>
  <c r="BE170" s="1"/>
  <c r="AT170"/>
  <c r="AW168"/>
  <c r="AY168" s="1"/>
  <c r="BA168" s="1"/>
  <c r="AT168"/>
  <c r="AW166"/>
  <c r="AY166" s="1"/>
  <c r="BA166" s="1"/>
  <c r="BC166" s="1"/>
  <c r="BE166" s="1"/>
  <c r="AT166"/>
  <c r="AW164"/>
  <c r="AY164" s="1"/>
  <c r="BA164" s="1"/>
  <c r="BC164" s="1"/>
  <c r="BE164" s="1"/>
  <c r="AT164"/>
  <c r="AW162"/>
  <c r="AY162" s="1"/>
  <c r="BA162" s="1"/>
  <c r="AT162"/>
  <c r="AW160"/>
  <c r="AY160" s="1"/>
  <c r="BA160" s="1"/>
  <c r="BC160" s="1"/>
  <c r="BE160" s="1"/>
  <c r="AT160"/>
  <c r="AW158"/>
  <c r="AY158" s="1"/>
  <c r="BA158" s="1"/>
  <c r="BC158" s="1"/>
  <c r="BE158" s="1"/>
  <c r="AT158"/>
  <c r="AW155"/>
  <c r="AY155" s="1"/>
  <c r="BA155" s="1"/>
  <c r="BC155" s="1"/>
  <c r="BE155" s="1"/>
  <c r="AT155"/>
  <c r="AW153"/>
  <c r="AY153" s="1"/>
  <c r="BA153" s="1"/>
  <c r="BC153" s="1"/>
  <c r="BE153" s="1"/>
  <c r="AT153"/>
  <c r="AW151"/>
  <c r="AY151" s="1"/>
  <c r="BA151" s="1"/>
  <c r="BC151" s="1"/>
  <c r="BE151" s="1"/>
  <c r="AT151"/>
  <c r="AW149"/>
  <c r="AY149" s="1"/>
  <c r="BA149" s="1"/>
  <c r="BC149" s="1"/>
  <c r="BE149" s="1"/>
  <c r="AT149"/>
  <c r="AW147"/>
  <c r="AY147" s="1"/>
  <c r="BA147" s="1"/>
  <c r="BC147" s="1"/>
  <c r="BE147" s="1"/>
  <c r="AT147"/>
  <c r="AW145"/>
  <c r="AY145" s="1"/>
  <c r="BA145" s="1"/>
  <c r="AT145"/>
  <c r="AW142"/>
  <c r="AY142" s="1"/>
  <c r="BA142" s="1"/>
  <c r="BC142" s="1"/>
  <c r="BE142" s="1"/>
  <c r="AT142"/>
  <c r="AW140"/>
  <c r="AY140" s="1"/>
  <c r="BA140" s="1"/>
  <c r="BC140" s="1"/>
  <c r="BE140" s="1"/>
  <c r="AT140"/>
  <c r="AW138"/>
  <c r="AY138" s="1"/>
  <c r="BA138" s="1"/>
  <c r="BC138" s="1"/>
  <c r="BE138" s="1"/>
  <c r="AT138"/>
  <c r="AW135"/>
  <c r="AY135" s="1"/>
  <c r="BA135" s="1"/>
  <c r="BC135" s="1"/>
  <c r="BE135" s="1"/>
  <c r="AT135"/>
  <c r="AW133"/>
  <c r="AY133" s="1"/>
  <c r="BA133" s="1"/>
  <c r="AT133"/>
  <c r="AW131"/>
  <c r="AY131" s="1"/>
  <c r="BA131" s="1"/>
  <c r="BC131" s="1"/>
  <c r="BE131" s="1"/>
  <c r="AT131"/>
  <c r="AW129"/>
  <c r="AY129" s="1"/>
  <c r="BA129" s="1"/>
  <c r="AT129"/>
  <c r="AW126"/>
  <c r="AY126" s="1"/>
  <c r="BA126" s="1"/>
  <c r="BC126" s="1"/>
  <c r="BE126" s="1"/>
  <c r="AT126"/>
  <c r="AW124"/>
  <c r="AY124" s="1"/>
  <c r="BA124" s="1"/>
  <c r="BC124" s="1"/>
  <c r="BE124" s="1"/>
  <c r="AT124"/>
  <c r="AW122"/>
  <c r="AY122" s="1"/>
  <c r="BA122" s="1"/>
  <c r="BC122" s="1"/>
  <c r="BE122" s="1"/>
  <c r="AT122"/>
  <c r="AW119"/>
  <c r="AY119" s="1"/>
  <c r="BA119" s="1"/>
  <c r="BC119" s="1"/>
  <c r="BE119" s="1"/>
  <c r="AT119"/>
  <c r="AW117"/>
  <c r="AY117" s="1"/>
  <c r="BA117" s="1"/>
  <c r="BC117" s="1"/>
  <c r="BE117" s="1"/>
  <c r="AT117"/>
  <c r="AW115"/>
  <c r="AY115" s="1"/>
  <c r="BA115" s="1"/>
  <c r="BC115" s="1"/>
  <c r="BE115" s="1"/>
  <c r="AT115"/>
  <c r="AW113"/>
  <c r="AY113" s="1"/>
  <c r="BA113" s="1"/>
  <c r="BC113" s="1"/>
  <c r="BE113" s="1"/>
  <c r="AT113"/>
  <c r="AW111"/>
  <c r="AY111" s="1"/>
  <c r="BA111" s="1"/>
  <c r="AT111"/>
  <c r="AT109"/>
  <c r="AW109"/>
  <c r="AY109" s="1"/>
  <c r="BA109" s="1"/>
  <c r="AT107"/>
  <c r="AW107"/>
  <c r="AY107" s="1"/>
  <c r="BA107" s="1"/>
  <c r="AT105"/>
  <c r="AW105"/>
  <c r="AY105" s="1"/>
  <c r="BA105" s="1"/>
  <c r="AT102"/>
  <c r="AW102"/>
  <c r="AY102" s="1"/>
  <c r="BA102" s="1"/>
  <c r="BC102" s="1"/>
  <c r="BE102" s="1"/>
  <c r="AT100"/>
  <c r="AW100"/>
  <c r="AY100" s="1"/>
  <c r="BA100" s="1"/>
  <c r="AT98"/>
  <c r="AW98"/>
  <c r="AY98" s="1"/>
  <c r="BA98" s="1"/>
  <c r="BC98" s="1"/>
  <c r="BE98" s="1"/>
  <c r="AT96"/>
  <c r="AW96"/>
  <c r="AY96" s="1"/>
  <c r="BA96" s="1"/>
  <c r="AT94"/>
  <c r="AW94"/>
  <c r="AY94" s="1"/>
  <c r="BA94" s="1"/>
  <c r="AT92"/>
  <c r="AW92"/>
  <c r="AY92" s="1"/>
  <c r="BA92" s="1"/>
  <c r="AT89"/>
  <c r="AW89"/>
  <c r="AY89" s="1"/>
  <c r="BA89" s="1"/>
  <c r="AT87"/>
  <c r="AW87"/>
  <c r="AY87" s="1"/>
  <c r="BA87" s="1"/>
  <c r="AT85"/>
  <c r="AW85"/>
  <c r="AY85" s="1"/>
  <c r="BA85" s="1"/>
  <c r="AT83"/>
  <c r="AW83"/>
  <c r="AY83" s="1"/>
  <c r="BA83" s="1"/>
  <c r="AT81"/>
  <c r="AW81"/>
  <c r="AY81" s="1"/>
  <c r="BA81" s="1"/>
  <c r="BC81" s="1"/>
  <c r="BE81" s="1"/>
  <c r="AT78"/>
  <c r="AW78"/>
  <c r="AY78" s="1"/>
  <c r="BA78" s="1"/>
  <c r="BC78" s="1"/>
  <c r="BE78" s="1"/>
  <c r="AT76"/>
  <c r="AW76"/>
  <c r="AY76" s="1"/>
  <c r="BA76" s="1"/>
  <c r="BC76" s="1"/>
  <c r="BE76" s="1"/>
  <c r="AT74"/>
  <c r="AW74"/>
  <c r="AY74" s="1"/>
  <c r="BA74" s="1"/>
  <c r="AT72"/>
  <c r="AW72"/>
  <c r="AY72" s="1"/>
  <c r="BA72" s="1"/>
  <c r="BC72" s="1"/>
  <c r="BE72" s="1"/>
  <c r="AT69"/>
  <c r="AW69"/>
  <c r="AY69" s="1"/>
  <c r="BA69" s="1"/>
  <c r="AT67"/>
  <c r="AW67"/>
  <c r="AY67" s="1"/>
  <c r="BA67" s="1"/>
  <c r="AT64"/>
  <c r="AW64"/>
  <c r="AY64" s="1"/>
  <c r="BA64" s="1"/>
  <c r="AT62"/>
  <c r="AW62"/>
  <c r="AY62" s="1"/>
  <c r="BA62" s="1"/>
  <c r="AT60"/>
  <c r="AW60"/>
  <c r="AY60" s="1"/>
  <c r="BA60" s="1"/>
  <c r="BC60" s="1"/>
  <c r="BE60" s="1"/>
  <c r="AT58"/>
  <c r="AW58"/>
  <c r="AY58" s="1"/>
  <c r="BA58" s="1"/>
  <c r="AT56"/>
  <c r="AW56"/>
  <c r="AY56" s="1"/>
  <c r="BA56" s="1"/>
  <c r="BC56" s="1"/>
  <c r="BE56" s="1"/>
  <c r="AT54"/>
  <c r="AW54"/>
  <c r="AY54" s="1"/>
  <c r="BA54" s="1"/>
  <c r="BC54" s="1"/>
  <c r="BE54" s="1"/>
  <c r="AT51"/>
  <c r="AW51"/>
  <c r="AY51" s="1"/>
  <c r="BA51" s="1"/>
  <c r="BC51" s="1"/>
  <c r="BE51" s="1"/>
  <c r="AT49"/>
  <c r="AW49"/>
  <c r="AY49" s="1"/>
  <c r="BA49" s="1"/>
  <c r="BC49" s="1"/>
  <c r="BE49" s="1"/>
  <c r="AW366"/>
  <c r="AY366" s="1"/>
  <c r="BA366" s="1"/>
  <c r="BC366" s="1"/>
  <c r="BE366" s="1"/>
  <c r="AT366"/>
  <c r="AW362"/>
  <c r="AY362" s="1"/>
  <c r="BA362" s="1"/>
  <c r="BC362" s="1"/>
  <c r="BE362" s="1"/>
  <c r="AT362"/>
  <c r="AW358"/>
  <c r="AY358" s="1"/>
  <c r="BA358" s="1"/>
  <c r="BC358" s="1"/>
  <c r="BE358" s="1"/>
  <c r="AT358"/>
  <c r="AW353"/>
  <c r="AY353" s="1"/>
  <c r="BA353" s="1"/>
  <c r="BC353" s="1"/>
  <c r="BE353" s="1"/>
  <c r="AT353"/>
  <c r="AW349"/>
  <c r="AY349" s="1"/>
  <c r="BA349" s="1"/>
  <c r="BC349" s="1"/>
  <c r="BE349" s="1"/>
  <c r="AT349"/>
  <c r="AW344"/>
  <c r="AY344" s="1"/>
  <c r="BA344" s="1"/>
  <c r="AT344"/>
  <c r="AW338"/>
  <c r="AY338" s="1"/>
  <c r="BA338" s="1"/>
  <c r="AT338"/>
  <c r="AW334"/>
  <c r="AY334" s="1"/>
  <c r="BA334" s="1"/>
  <c r="AT334"/>
  <c r="AW329"/>
  <c r="AY329" s="1"/>
  <c r="BA329" s="1"/>
  <c r="BC329" s="1"/>
  <c r="BE329" s="1"/>
  <c r="AT329"/>
  <c r="AW325"/>
  <c r="AY325" s="1"/>
  <c r="BA325" s="1"/>
  <c r="AT325"/>
  <c r="AW320"/>
  <c r="AY320" s="1"/>
  <c r="BA320" s="1"/>
  <c r="AT320"/>
  <c r="AW318"/>
  <c r="AY318" s="1"/>
  <c r="BA318" s="1"/>
  <c r="AT318"/>
  <c r="AW314"/>
  <c r="AY314" s="1"/>
  <c r="BA314" s="1"/>
  <c r="AT314"/>
  <c r="AW310"/>
  <c r="AY310" s="1"/>
  <c r="BA310" s="1"/>
  <c r="AT310"/>
  <c r="AW306"/>
  <c r="AY306" s="1"/>
  <c r="BA306" s="1"/>
  <c r="AT306"/>
  <c r="AW303"/>
  <c r="AY303" s="1"/>
  <c r="BA303" s="1"/>
  <c r="AT303"/>
  <c r="AW297"/>
  <c r="AY297" s="1"/>
  <c r="BA297" s="1"/>
  <c r="AT297"/>
  <c r="AW293"/>
  <c r="AY293" s="1"/>
  <c r="BA293" s="1"/>
  <c r="BC293" s="1"/>
  <c r="BE293" s="1"/>
  <c r="AT293"/>
  <c r="AW289"/>
  <c r="AY289" s="1"/>
  <c r="BA289" s="1"/>
  <c r="BC289" s="1"/>
  <c r="BE289" s="1"/>
  <c r="AT289"/>
  <c r="AW287"/>
  <c r="AY287" s="1"/>
  <c r="BA287" s="1"/>
  <c r="BC287" s="1"/>
  <c r="BE287" s="1"/>
  <c r="AT287"/>
  <c r="AW281"/>
  <c r="AY281" s="1"/>
  <c r="BA281" s="1"/>
  <c r="AT281"/>
  <c r="AW276"/>
  <c r="AY276" s="1"/>
  <c r="BA276" s="1"/>
  <c r="AT276"/>
  <c r="AW272"/>
  <c r="AY272" s="1"/>
  <c r="BA272" s="1"/>
  <c r="BC272" s="1"/>
  <c r="BE272" s="1"/>
  <c r="AT272"/>
  <c r="AW268"/>
  <c r="AY268" s="1"/>
  <c r="BA268" s="1"/>
  <c r="BC268" s="1"/>
  <c r="BE268" s="1"/>
  <c r="AT268"/>
  <c r="AW264"/>
  <c r="AY264" s="1"/>
  <c r="BA264" s="1"/>
  <c r="AT264"/>
  <c r="AW259"/>
  <c r="AY259" s="1"/>
  <c r="BA259" s="1"/>
  <c r="BC259" s="1"/>
  <c r="BE259" s="1"/>
  <c r="AT259"/>
  <c r="AW255"/>
  <c r="AY255" s="1"/>
  <c r="BA255" s="1"/>
  <c r="BC255" s="1"/>
  <c r="BE255" s="1"/>
  <c r="AT255"/>
  <c r="AW250"/>
  <c r="AY250" s="1"/>
  <c r="BA250" s="1"/>
  <c r="AT250"/>
  <c r="AW246"/>
  <c r="AY246" s="1"/>
  <c r="BA246" s="1"/>
  <c r="BC246" s="1"/>
  <c r="BE246" s="1"/>
  <c r="AT246"/>
  <c r="AW242"/>
  <c r="AY242" s="1"/>
  <c r="BA242" s="1"/>
  <c r="AT242"/>
  <c r="AW240"/>
  <c r="AY240" s="1"/>
  <c r="BA240" s="1"/>
  <c r="BC240" s="1"/>
  <c r="BE240" s="1"/>
  <c r="AT240"/>
  <c r="AW235"/>
  <c r="AY235" s="1"/>
  <c r="BA235" s="1"/>
  <c r="AT235"/>
  <c r="AW228"/>
  <c r="AY228" s="1"/>
  <c r="BA228" s="1"/>
  <c r="AT228"/>
  <c r="AW224"/>
  <c r="AY224" s="1"/>
  <c r="BA224" s="1"/>
  <c r="BC224" s="1"/>
  <c r="BE224" s="1"/>
  <c r="AT224"/>
  <c r="AW222"/>
  <c r="AY222" s="1"/>
  <c r="BA222" s="1"/>
  <c r="AT222"/>
  <c r="AW217"/>
  <c r="AY217" s="1"/>
  <c r="BA217" s="1"/>
  <c r="AT217"/>
  <c r="AW215"/>
  <c r="AY215" s="1"/>
  <c r="BA215" s="1"/>
  <c r="BC215" s="1"/>
  <c r="BE215" s="1"/>
  <c r="AT215"/>
  <c r="AW213"/>
  <c r="AY213" s="1"/>
  <c r="BA213" s="1"/>
  <c r="AT213"/>
  <c r="AW211"/>
  <c r="AY211" s="1"/>
  <c r="BA211" s="1"/>
  <c r="AT211"/>
  <c r="AW209"/>
  <c r="AY209" s="1"/>
  <c r="BA209" s="1"/>
  <c r="AT209"/>
  <c r="AW207"/>
  <c r="AY207" s="1"/>
  <c r="BA207" s="1"/>
  <c r="BC207" s="1"/>
  <c r="BE207" s="1"/>
  <c r="AT207"/>
  <c r="AW204"/>
  <c r="AY204" s="1"/>
  <c r="BA204" s="1"/>
  <c r="BC204" s="1"/>
  <c r="BE204" s="1"/>
  <c r="AT204"/>
  <c r="AW202"/>
  <c r="AY202" s="1"/>
  <c r="BA202" s="1"/>
  <c r="AT202"/>
  <c r="AW200"/>
  <c r="AY200" s="1"/>
  <c r="BA200" s="1"/>
  <c r="BC200" s="1"/>
  <c r="BE200" s="1"/>
  <c r="AT200"/>
  <c r="AW198"/>
  <c r="AY198" s="1"/>
  <c r="BA198" s="1"/>
  <c r="BC198" s="1"/>
  <c r="BE198" s="1"/>
  <c r="AT198"/>
  <c r="AW196"/>
  <c r="AY196" s="1"/>
  <c r="BA196" s="1"/>
  <c r="AT196"/>
  <c r="AW194"/>
  <c r="AY194" s="1"/>
  <c r="BA194" s="1"/>
  <c r="AT194"/>
  <c r="AW191"/>
  <c r="AY191" s="1"/>
  <c r="BA191" s="1"/>
  <c r="AT191"/>
  <c r="AW189"/>
  <c r="AY189" s="1"/>
  <c r="BA189" s="1"/>
  <c r="BC189" s="1"/>
  <c r="BE189" s="1"/>
  <c r="AT189"/>
  <c r="AW187"/>
  <c r="AY187" s="1"/>
  <c r="BA187" s="1"/>
  <c r="BC187" s="1"/>
  <c r="BE187" s="1"/>
  <c r="AT187"/>
  <c r="AW185"/>
  <c r="AY185" s="1"/>
  <c r="BA185" s="1"/>
  <c r="AT185"/>
  <c r="AW183"/>
  <c r="AY183" s="1"/>
  <c r="BA183" s="1"/>
  <c r="BC183" s="1"/>
  <c r="BE183" s="1"/>
  <c r="AT183"/>
  <c r="AW181"/>
  <c r="AY181" s="1"/>
  <c r="BA181" s="1"/>
  <c r="BC181" s="1"/>
  <c r="BE181" s="1"/>
  <c r="AT181"/>
  <c r="AW179"/>
  <c r="AY179" s="1"/>
  <c r="BA179" s="1"/>
  <c r="AT179"/>
  <c r="AW176"/>
  <c r="AY176" s="1"/>
  <c r="BA176" s="1"/>
  <c r="AT176"/>
  <c r="AW174"/>
  <c r="AY174" s="1"/>
  <c r="BA174" s="1"/>
  <c r="AT174"/>
  <c r="AW172"/>
  <c r="AY172" s="1"/>
  <c r="BA172" s="1"/>
  <c r="AT172"/>
  <c r="AW169"/>
  <c r="AY169" s="1"/>
  <c r="BA169" s="1"/>
  <c r="AT169"/>
  <c r="AW167"/>
  <c r="AY167" s="1"/>
  <c r="BA167" s="1"/>
  <c r="AT167"/>
  <c r="AW165"/>
  <c r="AY165" s="1"/>
  <c r="BA165" s="1"/>
  <c r="AT165"/>
  <c r="AW163"/>
  <c r="AY163" s="1"/>
  <c r="BA163" s="1"/>
  <c r="BC163" s="1"/>
  <c r="BE163" s="1"/>
  <c r="AT163"/>
  <c r="AW161"/>
  <c r="AY161" s="1"/>
  <c r="BA161" s="1"/>
  <c r="BC161" s="1"/>
  <c r="BE161" s="1"/>
  <c r="AT161"/>
  <c r="AW159"/>
  <c r="AY159" s="1"/>
  <c r="BA159" s="1"/>
  <c r="BC159" s="1"/>
  <c r="BE159" s="1"/>
  <c r="AT159"/>
  <c r="AW156"/>
  <c r="AY156" s="1"/>
  <c r="BA156" s="1"/>
  <c r="AT156"/>
  <c r="AW154"/>
  <c r="AY154" s="1"/>
  <c r="BA154" s="1"/>
  <c r="AT154"/>
  <c r="AW152"/>
  <c r="AY152" s="1"/>
  <c r="BA152" s="1"/>
  <c r="BC152" s="1"/>
  <c r="BE152" s="1"/>
  <c r="AT152"/>
  <c r="AW150"/>
  <c r="AY150" s="1"/>
  <c r="BA150" s="1"/>
  <c r="BC150" s="1"/>
  <c r="BE150" s="1"/>
  <c r="AT150"/>
  <c r="AW148"/>
  <c r="AY148" s="1"/>
  <c r="BA148" s="1"/>
  <c r="BC148" s="1"/>
  <c r="BE148" s="1"/>
  <c r="AT148"/>
  <c r="AW146"/>
  <c r="AY146" s="1"/>
  <c r="BA146" s="1"/>
  <c r="BC146" s="1"/>
  <c r="BE146" s="1"/>
  <c r="AT146"/>
  <c r="AW143"/>
  <c r="AY143" s="1"/>
  <c r="BA143" s="1"/>
  <c r="BC143" s="1"/>
  <c r="BE143" s="1"/>
  <c r="AT143"/>
  <c r="AW141"/>
  <c r="AY141" s="1"/>
  <c r="BA141" s="1"/>
  <c r="BC141" s="1"/>
  <c r="BE141" s="1"/>
  <c r="AT141"/>
  <c r="AW139"/>
  <c r="AY139" s="1"/>
  <c r="BA139" s="1"/>
  <c r="BC139" s="1"/>
  <c r="BE139" s="1"/>
  <c r="AT139"/>
  <c r="AW136"/>
  <c r="AY136" s="1"/>
  <c r="BA136" s="1"/>
  <c r="BC136" s="1"/>
  <c r="BE136" s="1"/>
  <c r="AT136"/>
  <c r="AW134"/>
  <c r="AY134" s="1"/>
  <c r="BA134" s="1"/>
  <c r="AT134"/>
  <c r="AW132"/>
  <c r="AY132" s="1"/>
  <c r="BA132" s="1"/>
  <c r="AT132"/>
  <c r="AW130"/>
  <c r="AY130" s="1"/>
  <c r="BA130" s="1"/>
  <c r="BC130" s="1"/>
  <c r="BE130" s="1"/>
  <c r="AT130"/>
  <c r="AW127"/>
  <c r="AY127" s="1"/>
  <c r="BA127" s="1"/>
  <c r="BC127" s="1"/>
  <c r="BE127" s="1"/>
  <c r="AT127"/>
  <c r="AW125"/>
  <c r="AY125" s="1"/>
  <c r="BA125" s="1"/>
  <c r="BC125" s="1"/>
  <c r="BE125" s="1"/>
  <c r="AT125"/>
  <c r="AW123"/>
  <c r="AY123" s="1"/>
  <c r="BA123" s="1"/>
  <c r="BC123" s="1"/>
  <c r="BE123" s="1"/>
  <c r="AT123"/>
  <c r="AW121"/>
  <c r="AY121" s="1"/>
  <c r="BA121" s="1"/>
  <c r="BC121" s="1"/>
  <c r="BE121" s="1"/>
  <c r="AT121"/>
  <c r="AW118"/>
  <c r="AY118" s="1"/>
  <c r="BA118" s="1"/>
  <c r="AT118"/>
  <c r="AW116"/>
  <c r="AY116" s="1"/>
  <c r="BA116" s="1"/>
  <c r="AT116"/>
  <c r="AW114"/>
  <c r="AY114" s="1"/>
  <c r="BA114" s="1"/>
  <c r="BC114" s="1"/>
  <c r="BE114" s="1"/>
  <c r="AT114"/>
  <c r="AW112"/>
  <c r="AY112" s="1"/>
  <c r="BA112" s="1"/>
  <c r="AT112"/>
  <c r="AT110"/>
  <c r="AW110"/>
  <c r="AY110" s="1"/>
  <c r="BA110" s="1"/>
  <c r="AT108"/>
  <c r="AW108"/>
  <c r="AY108" s="1"/>
  <c r="BA108" s="1"/>
  <c r="AT106"/>
  <c r="AW106"/>
  <c r="AY106" s="1"/>
  <c r="BA106" s="1"/>
  <c r="BC106" s="1"/>
  <c r="BE106" s="1"/>
  <c r="AT103"/>
  <c r="AW103"/>
  <c r="AY103" s="1"/>
  <c r="BA103" s="1"/>
  <c r="AT101"/>
  <c r="AW101"/>
  <c r="AY101" s="1"/>
  <c r="BA101" s="1"/>
  <c r="AT99"/>
  <c r="AW99"/>
  <c r="AY99" s="1"/>
  <c r="BA99" s="1"/>
  <c r="BC99" s="1"/>
  <c r="BE99" s="1"/>
  <c r="AT97"/>
  <c r="AW97"/>
  <c r="AY97" s="1"/>
  <c r="BA97" s="1"/>
  <c r="AT95"/>
  <c r="AW95"/>
  <c r="AY95" s="1"/>
  <c r="BA95" s="1"/>
  <c r="BC95" s="1"/>
  <c r="BE95" s="1"/>
  <c r="AT93"/>
  <c r="AW93"/>
  <c r="AY93" s="1"/>
  <c r="BA93" s="1"/>
  <c r="AT91"/>
  <c r="AW91"/>
  <c r="AY91" s="1"/>
  <c r="BA91" s="1"/>
  <c r="BC91" s="1"/>
  <c r="BE91" s="1"/>
  <c r="AT88"/>
  <c r="AW88"/>
  <c r="AY88" s="1"/>
  <c r="BA88" s="1"/>
  <c r="AT86"/>
  <c r="AW86"/>
  <c r="AY86" s="1"/>
  <c r="BA86" s="1"/>
  <c r="AT84"/>
  <c r="AW84"/>
  <c r="AY84" s="1"/>
  <c r="BA84" s="1"/>
  <c r="AT82"/>
  <c r="AW82"/>
  <c r="AY82" s="1"/>
  <c r="BA82" s="1"/>
  <c r="BC82" s="1"/>
  <c r="BE82" s="1"/>
  <c r="AT79"/>
  <c r="AW79"/>
  <c r="AY79" s="1"/>
  <c r="BA79" s="1"/>
  <c r="BC79" s="1"/>
  <c r="BE79" s="1"/>
  <c r="AT77"/>
  <c r="AW77"/>
  <c r="AY77" s="1"/>
  <c r="BA77" s="1"/>
  <c r="BC77" s="1"/>
  <c r="BE77" s="1"/>
  <c r="AT75"/>
  <c r="AW75"/>
  <c r="AY75" s="1"/>
  <c r="BA75" s="1"/>
  <c r="BC75" s="1"/>
  <c r="BE75" s="1"/>
  <c r="AT73"/>
  <c r="AW73"/>
  <c r="AY73" s="1"/>
  <c r="BA73" s="1"/>
  <c r="AT70"/>
  <c r="AW70"/>
  <c r="AY70" s="1"/>
  <c r="BA70" s="1"/>
  <c r="BC70" s="1"/>
  <c r="BE70" s="1"/>
  <c r="AT68"/>
  <c r="AW68"/>
  <c r="AY68" s="1"/>
  <c r="BA68" s="1"/>
  <c r="BC68" s="1"/>
  <c r="BE68" s="1"/>
  <c r="AT66"/>
  <c r="AW66"/>
  <c r="AY66" s="1"/>
  <c r="BA66" s="1"/>
  <c r="BC66" s="1"/>
  <c r="BE66" s="1"/>
  <c r="AT63"/>
  <c r="AW63"/>
  <c r="AY63" s="1"/>
  <c r="BA63" s="1"/>
  <c r="BC63" s="1"/>
  <c r="BE63" s="1"/>
  <c r="AT61"/>
  <c r="AW61"/>
  <c r="AY61" s="1"/>
  <c r="BA61" s="1"/>
  <c r="BC61" s="1"/>
  <c r="BE61" s="1"/>
  <c r="AT59"/>
  <c r="AW59"/>
  <c r="AY59" s="1"/>
  <c r="BA59" s="1"/>
  <c r="BC59" s="1"/>
  <c r="BE59" s="1"/>
  <c r="AT57"/>
  <c r="AW57"/>
  <c r="AY57" s="1"/>
  <c r="BA57" s="1"/>
  <c r="AT55"/>
  <c r="AW55"/>
  <c r="AY55" s="1"/>
  <c r="BA55" s="1"/>
  <c r="BC55" s="1"/>
  <c r="BE55" s="1"/>
  <c r="AT53"/>
  <c r="AW53"/>
  <c r="AY53" s="1"/>
  <c r="BA53" s="1"/>
  <c r="AT50"/>
  <c r="AW50"/>
  <c r="AY50" s="1"/>
  <c r="BA50" s="1"/>
  <c r="AT48"/>
  <c r="AW48"/>
  <c r="AY48" s="1"/>
  <c r="BA48" s="1"/>
  <c r="AW237" l="1"/>
  <c r="AY237" s="1"/>
  <c r="BA237" s="1"/>
  <c r="AT237"/>
  <c r="AT35"/>
  <c r="AW35"/>
  <c r="AY35" s="1"/>
  <c r="BA35" s="1"/>
  <c r="BC35" s="1"/>
  <c r="BE35" s="1"/>
  <c r="BB112"/>
  <c r="BC112" s="1"/>
  <c r="BE112" s="1"/>
  <c r="BB116"/>
  <c r="BC116" s="1"/>
  <c r="BE116" s="1"/>
  <c r="BB134"/>
  <c r="BC134" s="1"/>
  <c r="BE134" s="1"/>
  <c r="BB165"/>
  <c r="BC165" s="1"/>
  <c r="BE165" s="1"/>
  <c r="BB167"/>
  <c r="BC167" s="1"/>
  <c r="BE167" s="1"/>
  <c r="BB169"/>
  <c r="BC169" s="1"/>
  <c r="BE169" s="1"/>
  <c r="BB172"/>
  <c r="BC172" s="1"/>
  <c r="BE172" s="1"/>
  <c r="BB174"/>
  <c r="BC174" s="1"/>
  <c r="BE174" s="1"/>
  <c r="BB176"/>
  <c r="BC176" s="1"/>
  <c r="BE176" s="1"/>
  <c r="BB179"/>
  <c r="BC179" s="1"/>
  <c r="BE179" s="1"/>
  <c r="BB185"/>
  <c r="BC185" s="1"/>
  <c r="BE185" s="1"/>
  <c r="BB191"/>
  <c r="BC191" s="1"/>
  <c r="BE191" s="1"/>
  <c r="BB194"/>
  <c r="BC194" s="1"/>
  <c r="BE194" s="1"/>
  <c r="BB196"/>
  <c r="BC196" s="1"/>
  <c r="BE196" s="1"/>
  <c r="BB202"/>
  <c r="BC202" s="1"/>
  <c r="BE202" s="1"/>
  <c r="BB209"/>
  <c r="BC209" s="1"/>
  <c r="BE209" s="1"/>
  <c r="BB213"/>
  <c r="BC213" s="1"/>
  <c r="BE213" s="1"/>
  <c r="BB217"/>
  <c r="BC217" s="1"/>
  <c r="BE217" s="1"/>
  <c r="BB264"/>
  <c r="BC264" s="1"/>
  <c r="BE264" s="1"/>
  <c r="BB281"/>
  <c r="BC281" s="1"/>
  <c r="BE281" s="1"/>
  <c r="BB297"/>
  <c r="BC297" s="1"/>
  <c r="BE297" s="1"/>
  <c r="BB306"/>
  <c r="BC306" s="1"/>
  <c r="BE306" s="1"/>
  <c r="BB314"/>
  <c r="BC314" s="1"/>
  <c r="BE314" s="1"/>
  <c r="BB320"/>
  <c r="BC320" s="1"/>
  <c r="BE320" s="1"/>
  <c r="BB325"/>
  <c r="BC325" s="1"/>
  <c r="BE325" s="1"/>
  <c r="BB334"/>
  <c r="BC334" s="1"/>
  <c r="BE334" s="1"/>
  <c r="BB145"/>
  <c r="BC145" s="1"/>
  <c r="BE145" s="1"/>
  <c r="BB162"/>
  <c r="BC162" s="1"/>
  <c r="BE162" s="1"/>
  <c r="BB175"/>
  <c r="BC175" s="1"/>
  <c r="BE175" s="1"/>
  <c r="BB184"/>
  <c r="BC184" s="1"/>
  <c r="BE184" s="1"/>
  <c r="BB193"/>
  <c r="BC193" s="1"/>
  <c r="BE193" s="1"/>
  <c r="BB201"/>
  <c r="BC201" s="1"/>
  <c r="BE201" s="1"/>
  <c r="BB218"/>
  <c r="BC218" s="1"/>
  <c r="BE218" s="1"/>
  <c r="BB223"/>
  <c r="BC223" s="1"/>
  <c r="BE223" s="1"/>
  <c r="BB241"/>
  <c r="BC241" s="1"/>
  <c r="BE241" s="1"/>
  <c r="BB245"/>
  <c r="BC245" s="1"/>
  <c r="BE245" s="1"/>
  <c r="BB249"/>
  <c r="BC249" s="1"/>
  <c r="BE249" s="1"/>
  <c r="BB258"/>
  <c r="BC258" s="1"/>
  <c r="BE258" s="1"/>
  <c r="BB263"/>
  <c r="BC263" s="1"/>
  <c r="BE263" s="1"/>
  <c r="BB267"/>
  <c r="BC267" s="1"/>
  <c r="BE267" s="1"/>
  <c r="BB275"/>
  <c r="BC275" s="1"/>
  <c r="BE275" s="1"/>
  <c r="BB279"/>
  <c r="BC279" s="1"/>
  <c r="BE279" s="1"/>
  <c r="BB288"/>
  <c r="BC288" s="1"/>
  <c r="BE288" s="1"/>
  <c r="BB300"/>
  <c r="BC300" s="1"/>
  <c r="BE300" s="1"/>
  <c r="BB304"/>
  <c r="BC304" s="1"/>
  <c r="BE304" s="1"/>
  <c r="BB309"/>
  <c r="BC309" s="1"/>
  <c r="BE309" s="1"/>
  <c r="BB313"/>
  <c r="BC313" s="1"/>
  <c r="BE313" s="1"/>
  <c r="BB317"/>
  <c r="BC317" s="1"/>
  <c r="BE317" s="1"/>
  <c r="BB328"/>
  <c r="BC328" s="1"/>
  <c r="BE328" s="1"/>
  <c r="BB330"/>
  <c r="BC330" s="1"/>
  <c r="BE330" s="1"/>
  <c r="BB335"/>
  <c r="BC335" s="1"/>
  <c r="BE335" s="1"/>
  <c r="BB48"/>
  <c r="BC48" s="1"/>
  <c r="BE48" s="1"/>
  <c r="BB50"/>
  <c r="BC50" s="1"/>
  <c r="BE50" s="1"/>
  <c r="BB53"/>
  <c r="BC53" s="1"/>
  <c r="BE53" s="1"/>
  <c r="BB57"/>
  <c r="BC57" s="1"/>
  <c r="BE57" s="1"/>
  <c r="BB73"/>
  <c r="BC73" s="1"/>
  <c r="BE73" s="1"/>
  <c r="BB84"/>
  <c r="BC84" s="1"/>
  <c r="BE84" s="1"/>
  <c r="BB86"/>
  <c r="BC86" s="1"/>
  <c r="BE86" s="1"/>
  <c r="BB88"/>
  <c r="BC88" s="1"/>
  <c r="BE88" s="1"/>
  <c r="BB93"/>
  <c r="BC93" s="1"/>
  <c r="BE93" s="1"/>
  <c r="BB97"/>
  <c r="BC97" s="1"/>
  <c r="BE97" s="1"/>
  <c r="BB101"/>
  <c r="BC101" s="1"/>
  <c r="BE101" s="1"/>
  <c r="BB103"/>
  <c r="BC103" s="1"/>
  <c r="BE103" s="1"/>
  <c r="BB108"/>
  <c r="BC108" s="1"/>
  <c r="BE108" s="1"/>
  <c r="BB110"/>
  <c r="BC110" s="1"/>
  <c r="BE110" s="1"/>
  <c r="BB58"/>
  <c r="BC58" s="1"/>
  <c r="BE58" s="1"/>
  <c r="BB62"/>
  <c r="BC62" s="1"/>
  <c r="BE62" s="1"/>
  <c r="BB64"/>
  <c r="BC64" s="1"/>
  <c r="BE64" s="1"/>
  <c r="BB67"/>
  <c r="BC67" s="1"/>
  <c r="BE67" s="1"/>
  <c r="BB69"/>
  <c r="BC69" s="1"/>
  <c r="BE69" s="1"/>
  <c r="BB74"/>
  <c r="BC74" s="1"/>
  <c r="BE74" s="1"/>
  <c r="BB83"/>
  <c r="BC83" s="1"/>
  <c r="BE83" s="1"/>
  <c r="BB85"/>
  <c r="BC85" s="1"/>
  <c r="BE85" s="1"/>
  <c r="BB87"/>
  <c r="BC87" s="1"/>
  <c r="BE87" s="1"/>
  <c r="BB89"/>
  <c r="BC89" s="1"/>
  <c r="BE89" s="1"/>
  <c r="BB92"/>
  <c r="BC92" s="1"/>
  <c r="BE92" s="1"/>
  <c r="BB94"/>
  <c r="BC94" s="1"/>
  <c r="BE94" s="1"/>
  <c r="BB96"/>
  <c r="BC96" s="1"/>
  <c r="BE96" s="1"/>
  <c r="BB100"/>
  <c r="BC100" s="1"/>
  <c r="BE100" s="1"/>
  <c r="BB105"/>
  <c r="BC105" s="1"/>
  <c r="BE105" s="1"/>
  <c r="BB107"/>
  <c r="BC107" s="1"/>
  <c r="BE107" s="1"/>
  <c r="BB109"/>
  <c r="BC109" s="1"/>
  <c r="BE109" s="1"/>
  <c r="BB13"/>
  <c r="BC13" s="1"/>
  <c r="BE13" s="1"/>
  <c r="BB44"/>
  <c r="BC44" s="1"/>
  <c r="BE44" s="1"/>
  <c r="BB118"/>
  <c r="BC118" s="1"/>
  <c r="BE118" s="1"/>
  <c r="BB132"/>
  <c r="BC132" s="1"/>
  <c r="BE132" s="1"/>
  <c r="BB154"/>
  <c r="BC154" s="1"/>
  <c r="BE154" s="1"/>
  <c r="BB156"/>
  <c r="BC156" s="1"/>
  <c r="BE156" s="1"/>
  <c r="BB211"/>
  <c r="BC211" s="1"/>
  <c r="BE211" s="1"/>
  <c r="BB222"/>
  <c r="BC222" s="1"/>
  <c r="BE222" s="1"/>
  <c r="BB228"/>
  <c r="BC228" s="1"/>
  <c r="BE228" s="1"/>
  <c r="BB235"/>
  <c r="BC235" s="1"/>
  <c r="BE235" s="1"/>
  <c r="BB242"/>
  <c r="BC242" s="1"/>
  <c r="BE242" s="1"/>
  <c r="BB250"/>
  <c r="BC250" s="1"/>
  <c r="BE250" s="1"/>
  <c r="BB276"/>
  <c r="BC276" s="1"/>
  <c r="BE276" s="1"/>
  <c r="BB303"/>
  <c r="BC303" s="1"/>
  <c r="BE303" s="1"/>
  <c r="BB310"/>
  <c r="BC310" s="1"/>
  <c r="BE310" s="1"/>
  <c r="BB318"/>
  <c r="BC318" s="1"/>
  <c r="BE318" s="1"/>
  <c r="BB338"/>
  <c r="BC338" s="1"/>
  <c r="BE338" s="1"/>
  <c r="BB344"/>
  <c r="BC344" s="1"/>
  <c r="BE344" s="1"/>
  <c r="BB111"/>
  <c r="BC111" s="1"/>
  <c r="BE111" s="1"/>
  <c r="BB129"/>
  <c r="BC129" s="1"/>
  <c r="BE129" s="1"/>
  <c r="BB133"/>
  <c r="BC133" s="1"/>
  <c r="BE133" s="1"/>
  <c r="BB168"/>
  <c r="BC168" s="1"/>
  <c r="BE168" s="1"/>
  <c r="BB173"/>
  <c r="BC173" s="1"/>
  <c r="BE173" s="1"/>
  <c r="BB182"/>
  <c r="BC182" s="1"/>
  <c r="BE182" s="1"/>
  <c r="BB186"/>
  <c r="BC186" s="1"/>
  <c r="BE186" s="1"/>
  <c r="BB195"/>
  <c r="BC195" s="1"/>
  <c r="BE195" s="1"/>
  <c r="BB197"/>
  <c r="BC197" s="1"/>
  <c r="BE197" s="1"/>
  <c r="BB216"/>
  <c r="BC216" s="1"/>
  <c r="BE216" s="1"/>
  <c r="BB221"/>
  <c r="BC221" s="1"/>
  <c r="BE221" s="1"/>
  <c r="BB243"/>
  <c r="BC243" s="1"/>
  <c r="BE243" s="1"/>
  <c r="BB251"/>
  <c r="BC251" s="1"/>
  <c r="BE251" s="1"/>
  <c r="BB260"/>
  <c r="BC260" s="1"/>
  <c r="BE260" s="1"/>
  <c r="BB265"/>
  <c r="BC265" s="1"/>
  <c r="BE265" s="1"/>
  <c r="BB269"/>
  <c r="BC269" s="1"/>
  <c r="BE269" s="1"/>
  <c r="BB277"/>
  <c r="BC277" s="1"/>
  <c r="BE277" s="1"/>
  <c r="BB286"/>
  <c r="BC286" s="1"/>
  <c r="BE286" s="1"/>
  <c r="BB290"/>
  <c r="BC290" s="1"/>
  <c r="BE290" s="1"/>
  <c r="BB294"/>
  <c r="BC294" s="1"/>
  <c r="BE294" s="1"/>
  <c r="BB302"/>
  <c r="BC302" s="1"/>
  <c r="BE302" s="1"/>
  <c r="BB307"/>
  <c r="BC307" s="1"/>
  <c r="BE307" s="1"/>
  <c r="BB311"/>
  <c r="BC311" s="1"/>
  <c r="BE311" s="1"/>
  <c r="BB315"/>
  <c r="BC315" s="1"/>
  <c r="BE315" s="1"/>
  <c r="BB319"/>
  <c r="BC319" s="1"/>
  <c r="BE319" s="1"/>
  <c r="BB322"/>
  <c r="BC322" s="1"/>
  <c r="BE322" s="1"/>
  <c r="BB326"/>
  <c r="BC326" s="1"/>
  <c r="BE326" s="1"/>
  <c r="BB337"/>
  <c r="BC337" s="1"/>
  <c r="BE337" s="1"/>
  <c r="BB359"/>
  <c r="BC359" s="1"/>
  <c r="BE359" s="1"/>
  <c r="BB361"/>
  <c r="BC361" s="1"/>
  <c r="BE361" s="1"/>
  <c r="BB365"/>
  <c r="BC365" s="1"/>
  <c r="BE365" s="1"/>
  <c r="BB47"/>
  <c r="BB220"/>
  <c r="BC220" s="1"/>
  <c r="BE220" s="1"/>
  <c r="BB226"/>
  <c r="BC226" s="1"/>
  <c r="BE226" s="1"/>
  <c r="BB237"/>
  <c r="BC237" s="1"/>
  <c r="BE237" s="1"/>
  <c r="BB244"/>
  <c r="BC244" s="1"/>
  <c r="BE244" s="1"/>
  <c r="BB248"/>
  <c r="BC248" s="1"/>
  <c r="BE248" s="1"/>
  <c r="BB252"/>
  <c r="BC252" s="1"/>
  <c r="BE252" s="1"/>
  <c r="BB257"/>
  <c r="BC257" s="1"/>
  <c r="BE257" s="1"/>
  <c r="BB266"/>
  <c r="BC266" s="1"/>
  <c r="BE266" s="1"/>
  <c r="BB270"/>
  <c r="BC270" s="1"/>
  <c r="BE270" s="1"/>
  <c r="BB295"/>
  <c r="BC295" s="1"/>
  <c r="BE295" s="1"/>
  <c r="BB301"/>
  <c r="BC301" s="1"/>
  <c r="BE301" s="1"/>
  <c r="BB308"/>
  <c r="BC308" s="1"/>
  <c r="BE308" s="1"/>
  <c r="BB312"/>
  <c r="BC312" s="1"/>
  <c r="BE312" s="1"/>
  <c r="BB316"/>
  <c r="BC316" s="1"/>
  <c r="BE316" s="1"/>
  <c r="BB323"/>
  <c r="BC323" s="1"/>
  <c r="BE323" s="1"/>
  <c r="BB331"/>
  <c r="BC331" s="1"/>
  <c r="BE331" s="1"/>
  <c r="BB336"/>
  <c r="BC336" s="1"/>
  <c r="BE336" s="1"/>
  <c r="BB360"/>
  <c r="BC360" s="1"/>
  <c r="BE360" s="1"/>
  <c r="BB364"/>
  <c r="BC364" s="1"/>
  <c r="BE364" s="1"/>
  <c r="BB368"/>
  <c r="BC368" s="1"/>
  <c r="BE368" s="1"/>
  <c r="BB9"/>
  <c r="BC9" s="1"/>
  <c r="BE9" s="1"/>
  <c r="BB15"/>
  <c r="BC15" s="1"/>
  <c r="BE15" s="1"/>
  <c r="BB20"/>
  <c r="BC20" s="1"/>
  <c r="BE20" s="1"/>
  <c r="BB22"/>
  <c r="BC22" s="1"/>
  <c r="BE22" s="1"/>
  <c r="BB24"/>
  <c r="BC24" s="1"/>
  <c r="BE24" s="1"/>
  <c r="BB30"/>
  <c r="BC30" s="1"/>
  <c r="BE30" s="1"/>
  <c r="BB34"/>
  <c r="BC34" s="1"/>
  <c r="BE34" s="1"/>
  <c r="BB38"/>
  <c r="BC38" s="1"/>
  <c r="BE38" s="1"/>
  <c r="BB40"/>
  <c r="BC40" s="1"/>
  <c r="BE40" s="1"/>
  <c r="BB42"/>
  <c r="BC42" s="1"/>
  <c r="BE42" s="1"/>
  <c r="BB25"/>
  <c r="BC25" s="1"/>
  <c r="BE25" s="1"/>
  <c r="BB37"/>
  <c r="BC37" s="1"/>
  <c r="BE37" s="1"/>
  <c r="BB39"/>
  <c r="BC39" s="1"/>
  <c r="BE39" s="1"/>
  <c r="AY18"/>
  <c r="AW17"/>
  <c r="AW6"/>
  <c r="BA45"/>
  <c r="AY45"/>
  <c r="AW45"/>
  <c r="AW369" s="1"/>
  <c r="O17"/>
  <c r="N17"/>
  <c r="O6"/>
  <c r="N6"/>
  <c r="BB45" l="1"/>
  <c r="BC47"/>
  <c r="BE47" s="1"/>
  <c r="BE45" s="1"/>
  <c r="BA18"/>
  <c r="AY17"/>
  <c r="AY369" s="1"/>
  <c r="BA7"/>
  <c r="AY6"/>
  <c r="B58" i="8"/>
  <c r="B47"/>
  <c r="AR17" i="7"/>
  <c r="AR6"/>
  <c r="AQ6"/>
  <c r="AQ17"/>
  <c r="AQ45"/>
  <c r="R17"/>
  <c r="S17"/>
  <c r="S369" s="1"/>
  <c r="P17"/>
  <c r="N369"/>
  <c r="P6"/>
  <c r="K17"/>
  <c r="J17"/>
  <c r="K6"/>
  <c r="K369" s="1"/>
  <c r="J6"/>
  <c r="J369" s="1"/>
  <c r="B6"/>
  <c r="B57" i="8"/>
  <c r="C7"/>
  <c r="BB7" i="7" l="1"/>
  <c r="BB6" s="1"/>
  <c r="BA17"/>
  <c r="BA369" s="1"/>
  <c r="BB18"/>
  <c r="BB17" s="1"/>
  <c r="BB369" s="1"/>
  <c r="BA6"/>
  <c r="L17"/>
  <c r="BC45"/>
  <c r="L369"/>
  <c r="AQ369"/>
  <c r="L6"/>
  <c r="O369"/>
  <c r="P369" s="1"/>
  <c r="T17"/>
  <c r="BC7" l="1"/>
  <c r="BE7" s="1"/>
  <c r="BE6" s="1"/>
  <c r="BC18"/>
  <c r="BC6"/>
  <c r="B7" i="8"/>
  <c r="AS6" i="7"/>
  <c r="R19" i="8"/>
  <c r="W45" i="7"/>
  <c r="V45"/>
  <c r="W17"/>
  <c r="X17" s="1"/>
  <c r="V17"/>
  <c r="S45"/>
  <c r="R45"/>
  <c r="L8" i="8"/>
  <c r="O45" i="7"/>
  <c r="N45"/>
  <c r="C45"/>
  <c r="B45"/>
  <c r="C17"/>
  <c r="B17"/>
  <c r="B369" s="1"/>
  <c r="C6"/>
  <c r="C369" l="1"/>
  <c r="BC17"/>
  <c r="BE18"/>
  <c r="BE17" s="1"/>
  <c r="BE369" s="1"/>
  <c r="BC369"/>
  <c r="D369"/>
  <c r="D6"/>
  <c r="D17"/>
  <c r="T45"/>
  <c r="X45"/>
  <c r="D45"/>
  <c r="P45"/>
  <c r="AR45" l="1"/>
  <c r="AR369" s="1"/>
  <c r="I7" i="8" l="1"/>
  <c r="J7" s="1"/>
  <c r="R368"/>
  <c r="S368" s="1"/>
  <c r="R367"/>
  <c r="S367" s="1"/>
  <c r="R366"/>
  <c r="S366" s="1"/>
  <c r="R365"/>
  <c r="S365" s="1"/>
  <c r="R364"/>
  <c r="S364" s="1"/>
  <c r="R363"/>
  <c r="S363" s="1"/>
  <c r="R362"/>
  <c r="S362" s="1"/>
  <c r="R361"/>
  <c r="S361" s="1"/>
  <c r="R360"/>
  <c r="S360" s="1"/>
  <c r="R359"/>
  <c r="S359" s="1"/>
  <c r="R358"/>
  <c r="S358" s="1"/>
  <c r="R357"/>
  <c r="S357" s="1"/>
  <c r="R355"/>
  <c r="S355" s="1"/>
  <c r="R354"/>
  <c r="S354" s="1"/>
  <c r="R353"/>
  <c r="S353" s="1"/>
  <c r="R352"/>
  <c r="S352" s="1"/>
  <c r="R351"/>
  <c r="S351" s="1"/>
  <c r="R350"/>
  <c r="S350" s="1"/>
  <c r="R349"/>
  <c r="S349" s="1"/>
  <c r="R348"/>
  <c r="S348" s="1"/>
  <c r="R347"/>
  <c r="S347" s="1"/>
  <c r="R346"/>
  <c r="S346" s="1"/>
  <c r="R344"/>
  <c r="S344" s="1"/>
  <c r="R343"/>
  <c r="S343" s="1"/>
  <c r="R342"/>
  <c r="S342" s="1"/>
  <c r="R341"/>
  <c r="S341" s="1"/>
  <c r="R340"/>
  <c r="S340" s="1"/>
  <c r="R339"/>
  <c r="S339" s="1"/>
  <c r="R338"/>
  <c r="S338" s="1"/>
  <c r="R337"/>
  <c r="S337" s="1"/>
  <c r="R336"/>
  <c r="S336" s="1"/>
  <c r="R335"/>
  <c r="S335" s="1"/>
  <c r="R334"/>
  <c r="S334" s="1"/>
  <c r="R332"/>
  <c r="S332" s="1"/>
  <c r="R331"/>
  <c r="S331" s="1"/>
  <c r="R330"/>
  <c r="S330" s="1"/>
  <c r="R329"/>
  <c r="S329" s="1"/>
  <c r="R328"/>
  <c r="S328" s="1"/>
  <c r="R327"/>
  <c r="S327" s="1"/>
  <c r="R326"/>
  <c r="S326" s="1"/>
  <c r="R325"/>
  <c r="S325" s="1"/>
  <c r="R324"/>
  <c r="S324" s="1"/>
  <c r="R323"/>
  <c r="S323" s="1"/>
  <c r="R322"/>
  <c r="S322" s="1"/>
  <c r="R320"/>
  <c r="S320" s="1"/>
  <c r="R319"/>
  <c r="S319" s="1"/>
  <c r="R318"/>
  <c r="S318" s="1"/>
  <c r="R317"/>
  <c r="S317" s="1"/>
  <c r="R316"/>
  <c r="S316" s="1"/>
  <c r="R315"/>
  <c r="S315" s="1"/>
  <c r="R314"/>
  <c r="S314" s="1"/>
  <c r="R313"/>
  <c r="S313" s="1"/>
  <c r="R312"/>
  <c r="S312" s="1"/>
  <c r="R311"/>
  <c r="S311" s="1"/>
  <c r="R310"/>
  <c r="S310" s="1"/>
  <c r="R309"/>
  <c r="S309" s="1"/>
  <c r="R308"/>
  <c r="S308" s="1"/>
  <c r="R307"/>
  <c r="S307" s="1"/>
  <c r="R306"/>
  <c r="S306" s="1"/>
  <c r="R304"/>
  <c r="S304" s="1"/>
  <c r="R303"/>
  <c r="S303" s="1"/>
  <c r="R302"/>
  <c r="S302" s="1"/>
  <c r="R301"/>
  <c r="S301" s="1"/>
  <c r="R300"/>
  <c r="S300" s="1"/>
  <c r="R299"/>
  <c r="S299" s="1"/>
  <c r="R298"/>
  <c r="S298" s="1"/>
  <c r="R297"/>
  <c r="S297" s="1"/>
  <c r="R296"/>
  <c r="S296" s="1"/>
  <c r="R295"/>
  <c r="S295" s="1"/>
  <c r="R294"/>
  <c r="S294" s="1"/>
  <c r="R293"/>
  <c r="S293" s="1"/>
  <c r="R292"/>
  <c r="S292" s="1"/>
  <c r="R291"/>
  <c r="S291" s="1"/>
  <c r="R290"/>
  <c r="S290" s="1"/>
  <c r="R289"/>
  <c r="S289" s="1"/>
  <c r="R288"/>
  <c r="S288" s="1"/>
  <c r="R287"/>
  <c r="S287" s="1"/>
  <c r="R286"/>
  <c r="S286" s="1"/>
  <c r="R285"/>
  <c r="S285" s="1"/>
  <c r="R284"/>
  <c r="S284" s="1"/>
  <c r="R283"/>
  <c r="S283" s="1"/>
  <c r="R282"/>
  <c r="S282" s="1"/>
  <c r="R281"/>
  <c r="S281" s="1"/>
  <c r="R279"/>
  <c r="S279" s="1"/>
  <c r="R278"/>
  <c r="S278" s="1"/>
  <c r="R277"/>
  <c r="S277" s="1"/>
  <c r="R276"/>
  <c r="S276" s="1"/>
  <c r="R275"/>
  <c r="S275" s="1"/>
  <c r="R274"/>
  <c r="S274" s="1"/>
  <c r="R273"/>
  <c r="S273" s="1"/>
  <c r="R272"/>
  <c r="S272" s="1"/>
  <c r="R271"/>
  <c r="S271" s="1"/>
  <c r="R270"/>
  <c r="S270" s="1"/>
  <c r="R269"/>
  <c r="S269" s="1"/>
  <c r="R268"/>
  <c r="S268" s="1"/>
  <c r="R267"/>
  <c r="S267" s="1"/>
  <c r="R266"/>
  <c r="S266" s="1"/>
  <c r="R265"/>
  <c r="S265" s="1"/>
  <c r="R264"/>
  <c r="S264" s="1"/>
  <c r="R263"/>
  <c r="S263" s="1"/>
  <c r="R261"/>
  <c r="S261" s="1"/>
  <c r="R260"/>
  <c r="S260" s="1"/>
  <c r="R259"/>
  <c r="S259" s="1"/>
  <c r="R258"/>
  <c r="S258" s="1"/>
  <c r="R257"/>
  <c r="S257" s="1"/>
  <c r="R256"/>
  <c r="S256" s="1"/>
  <c r="R255"/>
  <c r="S255" s="1"/>
  <c r="R253"/>
  <c r="S253" s="1"/>
  <c r="R252"/>
  <c r="S252" s="1"/>
  <c r="R251"/>
  <c r="S251" s="1"/>
  <c r="R250"/>
  <c r="S250" s="1"/>
  <c r="R249"/>
  <c r="S249" s="1"/>
  <c r="R248"/>
  <c r="S248" s="1"/>
  <c r="R247"/>
  <c r="S247" s="1"/>
  <c r="R246"/>
  <c r="S246" s="1"/>
  <c r="R245"/>
  <c r="S245" s="1"/>
  <c r="R244"/>
  <c r="S244" s="1"/>
  <c r="R243"/>
  <c r="S243" s="1"/>
  <c r="R242"/>
  <c r="S242" s="1"/>
  <c r="R241"/>
  <c r="S241" s="1"/>
  <c r="R240"/>
  <c r="S240" s="1"/>
  <c r="R239"/>
  <c r="S239" s="1"/>
  <c r="R237"/>
  <c r="S237" s="1"/>
  <c r="R236"/>
  <c r="S236" s="1"/>
  <c r="R235"/>
  <c r="S235" s="1"/>
  <c r="R234"/>
  <c r="S234" s="1"/>
  <c r="R233"/>
  <c r="S233" s="1"/>
  <c r="R232"/>
  <c r="S232" s="1"/>
  <c r="R231"/>
  <c r="S231" s="1"/>
  <c r="R230"/>
  <c r="S230" s="1"/>
  <c r="R228"/>
  <c r="S228" s="1"/>
  <c r="R227"/>
  <c r="S227" s="1"/>
  <c r="R226"/>
  <c r="S226" s="1"/>
  <c r="R225"/>
  <c r="S225" s="1"/>
  <c r="R224"/>
  <c r="S224" s="1"/>
  <c r="R223"/>
  <c r="S223" s="1"/>
  <c r="R222"/>
  <c r="S222" s="1"/>
  <c r="R221"/>
  <c r="S221" s="1"/>
  <c r="R220"/>
  <c r="S220" s="1"/>
  <c r="R218"/>
  <c r="S218" s="1"/>
  <c r="R217"/>
  <c r="S217" s="1"/>
  <c r="R216"/>
  <c r="S216" s="1"/>
  <c r="R215"/>
  <c r="S215" s="1"/>
  <c r="R214"/>
  <c r="S214" s="1"/>
  <c r="R213"/>
  <c r="S213" s="1"/>
  <c r="R212"/>
  <c r="S212" s="1"/>
  <c r="R211"/>
  <c r="S211" s="1"/>
  <c r="R210"/>
  <c r="S210" s="1"/>
  <c r="R209"/>
  <c r="S209" s="1"/>
  <c r="R208"/>
  <c r="S208" s="1"/>
  <c r="R207"/>
  <c r="S207" s="1"/>
  <c r="R206"/>
  <c r="S206" s="1"/>
  <c r="R204"/>
  <c r="S204" s="1"/>
  <c r="R203"/>
  <c r="S203" s="1"/>
  <c r="R202"/>
  <c r="S202" s="1"/>
  <c r="R201"/>
  <c r="S201" s="1"/>
  <c r="R200"/>
  <c r="S200" s="1"/>
  <c r="R199"/>
  <c r="S199" s="1"/>
  <c r="R198"/>
  <c r="S198" s="1"/>
  <c r="R197"/>
  <c r="S197" s="1"/>
  <c r="R196"/>
  <c r="S196" s="1"/>
  <c r="R195"/>
  <c r="S195" s="1"/>
  <c r="R194"/>
  <c r="S194" s="1"/>
  <c r="R193"/>
  <c r="S193" s="1"/>
  <c r="R191"/>
  <c r="S191" s="1"/>
  <c r="R190"/>
  <c r="S190" s="1"/>
  <c r="R189"/>
  <c r="S189" s="1"/>
  <c r="R188"/>
  <c r="S188" s="1"/>
  <c r="R187"/>
  <c r="S187" s="1"/>
  <c r="R186"/>
  <c r="S186" s="1"/>
  <c r="R185"/>
  <c r="S185" s="1"/>
  <c r="R184"/>
  <c r="S184" s="1"/>
  <c r="R183"/>
  <c r="S183" s="1"/>
  <c r="R182"/>
  <c r="S182" s="1"/>
  <c r="R181"/>
  <c r="S181" s="1"/>
  <c r="R180"/>
  <c r="S180" s="1"/>
  <c r="R179"/>
  <c r="S179" s="1"/>
  <c r="R177"/>
  <c r="S177" s="1"/>
  <c r="R176"/>
  <c r="S176" s="1"/>
  <c r="R175"/>
  <c r="S175" s="1"/>
  <c r="R174"/>
  <c r="S174" s="1"/>
  <c r="R173"/>
  <c r="S173" s="1"/>
  <c r="R172"/>
  <c r="S172" s="1"/>
  <c r="R170"/>
  <c r="S170" s="1"/>
  <c r="R169"/>
  <c r="S169" s="1"/>
  <c r="R168"/>
  <c r="S168" s="1"/>
  <c r="R167"/>
  <c r="S167" s="1"/>
  <c r="R166"/>
  <c r="S166" s="1"/>
  <c r="R165"/>
  <c r="S165" s="1"/>
  <c r="R164"/>
  <c r="S164" s="1"/>
  <c r="R163"/>
  <c r="S163" s="1"/>
  <c r="R162"/>
  <c r="S162" s="1"/>
  <c r="R161"/>
  <c r="S161" s="1"/>
  <c r="R160"/>
  <c r="S160" s="1"/>
  <c r="R159"/>
  <c r="S159" s="1"/>
  <c r="R158"/>
  <c r="S158" s="1"/>
  <c r="R156"/>
  <c r="S156" s="1"/>
  <c r="R155"/>
  <c r="S155" s="1"/>
  <c r="R154"/>
  <c r="S154" s="1"/>
  <c r="R153"/>
  <c r="S153" s="1"/>
  <c r="R152"/>
  <c r="S152" s="1"/>
  <c r="R151"/>
  <c r="S151" s="1"/>
  <c r="R150"/>
  <c r="S150" s="1"/>
  <c r="R149"/>
  <c r="S149" s="1"/>
  <c r="R148"/>
  <c r="S148" s="1"/>
  <c r="R147"/>
  <c r="S147" s="1"/>
  <c r="R146"/>
  <c r="S146" s="1"/>
  <c r="R145"/>
  <c r="S145" s="1"/>
  <c r="R143"/>
  <c r="S143" s="1"/>
  <c r="R142"/>
  <c r="S142" s="1"/>
  <c r="R141"/>
  <c r="S141" s="1"/>
  <c r="R140"/>
  <c r="S140" s="1"/>
  <c r="R139"/>
  <c r="S139" s="1"/>
  <c r="R138"/>
  <c r="S138" s="1"/>
  <c r="R136"/>
  <c r="S136" s="1"/>
  <c r="R135"/>
  <c r="S135" s="1"/>
  <c r="R134"/>
  <c r="S134" s="1"/>
  <c r="R133"/>
  <c r="S133" s="1"/>
  <c r="R132"/>
  <c r="S132" s="1"/>
  <c r="R131"/>
  <c r="S131" s="1"/>
  <c r="R130"/>
  <c r="S130" s="1"/>
  <c r="R129"/>
  <c r="S129" s="1"/>
  <c r="R127"/>
  <c r="S127" s="1"/>
  <c r="R126"/>
  <c r="S126" s="1"/>
  <c r="R125"/>
  <c r="S125" s="1"/>
  <c r="R124"/>
  <c r="S124" s="1"/>
  <c r="R123"/>
  <c r="S123" s="1"/>
  <c r="R122"/>
  <c r="S122" s="1"/>
  <c r="R121"/>
  <c r="S121" s="1"/>
  <c r="R119"/>
  <c r="S119" s="1"/>
  <c r="R118"/>
  <c r="S118" s="1"/>
  <c r="R117"/>
  <c r="S117" s="1"/>
  <c r="R116"/>
  <c r="S116" s="1"/>
  <c r="R115"/>
  <c r="S115" s="1"/>
  <c r="R114"/>
  <c r="S114" s="1"/>
  <c r="R113"/>
  <c r="S113" s="1"/>
  <c r="R112"/>
  <c r="S112" s="1"/>
  <c r="R111"/>
  <c r="S111" s="1"/>
  <c r="R110"/>
  <c r="S110" s="1"/>
  <c r="R109"/>
  <c r="S109" s="1"/>
  <c r="R108"/>
  <c r="S108" s="1"/>
  <c r="R107"/>
  <c r="S107" s="1"/>
  <c r="R106"/>
  <c r="S106" s="1"/>
  <c r="R105"/>
  <c r="S105" s="1"/>
  <c r="R103"/>
  <c r="S103" s="1"/>
  <c r="R102"/>
  <c r="S102" s="1"/>
  <c r="R101"/>
  <c r="S101" s="1"/>
  <c r="R100"/>
  <c r="S100" s="1"/>
  <c r="R99"/>
  <c r="S99" s="1"/>
  <c r="R98"/>
  <c r="S98" s="1"/>
  <c r="R97"/>
  <c r="S97" s="1"/>
  <c r="R96"/>
  <c r="S96" s="1"/>
  <c r="R95"/>
  <c r="S95" s="1"/>
  <c r="R94"/>
  <c r="S94" s="1"/>
  <c r="R93"/>
  <c r="S93" s="1"/>
  <c r="R92"/>
  <c r="S92" s="1"/>
  <c r="R91"/>
  <c r="S91" s="1"/>
  <c r="R89"/>
  <c r="S89" s="1"/>
  <c r="R88"/>
  <c r="S88" s="1"/>
  <c r="R87"/>
  <c r="S87" s="1"/>
  <c r="R86"/>
  <c r="S86" s="1"/>
  <c r="R85"/>
  <c r="S85" s="1"/>
  <c r="R84"/>
  <c r="S84" s="1"/>
  <c r="R83"/>
  <c r="S83" s="1"/>
  <c r="R82"/>
  <c r="S82" s="1"/>
  <c r="R81"/>
  <c r="S81" s="1"/>
  <c r="R79"/>
  <c r="S79" s="1"/>
  <c r="R78"/>
  <c r="S78" s="1"/>
  <c r="R77"/>
  <c r="S77" s="1"/>
  <c r="R76"/>
  <c r="S76" s="1"/>
  <c r="R75"/>
  <c r="S75" s="1"/>
  <c r="R74"/>
  <c r="S74" s="1"/>
  <c r="R73"/>
  <c r="S73" s="1"/>
  <c r="R72"/>
  <c r="S72" s="1"/>
  <c r="R70"/>
  <c r="S70" s="1"/>
  <c r="R69"/>
  <c r="S69" s="1"/>
  <c r="R68"/>
  <c r="S68" s="1"/>
  <c r="R67"/>
  <c r="S67" s="1"/>
  <c r="R66"/>
  <c r="S66" s="1"/>
  <c r="R64"/>
  <c r="S64" s="1"/>
  <c r="R63"/>
  <c r="S63" s="1"/>
  <c r="R62"/>
  <c r="S62" s="1"/>
  <c r="R61"/>
  <c r="S61" s="1"/>
  <c r="R60"/>
  <c r="S60" s="1"/>
  <c r="R59"/>
  <c r="S59" s="1"/>
  <c r="R58"/>
  <c r="S58" s="1"/>
  <c r="R57"/>
  <c r="S57" s="1"/>
  <c r="R56"/>
  <c r="S56" s="1"/>
  <c r="R55"/>
  <c r="S55" s="1"/>
  <c r="R54"/>
  <c r="S54" s="1"/>
  <c r="R53"/>
  <c r="S53" s="1"/>
  <c r="R51"/>
  <c r="S51" s="1"/>
  <c r="R50"/>
  <c r="S50" s="1"/>
  <c r="R49"/>
  <c r="S49" s="1"/>
  <c r="R48"/>
  <c r="S48" s="1"/>
  <c r="R47"/>
  <c r="S47" s="1"/>
  <c r="R44"/>
  <c r="S44" s="1"/>
  <c r="R43"/>
  <c r="S43" s="1"/>
  <c r="R42"/>
  <c r="S42" s="1"/>
  <c r="R41"/>
  <c r="S41" s="1"/>
  <c r="R40"/>
  <c r="S40" s="1"/>
  <c r="R39"/>
  <c r="S39" s="1"/>
  <c r="R38"/>
  <c r="S38" s="1"/>
  <c r="R37"/>
  <c r="S37" s="1"/>
  <c r="R36"/>
  <c r="S36" s="1"/>
  <c r="R35"/>
  <c r="S35" s="1"/>
  <c r="R34"/>
  <c r="S34" s="1"/>
  <c r="R33"/>
  <c r="S33" s="1"/>
  <c r="R32"/>
  <c r="S32" s="1"/>
  <c r="R31"/>
  <c r="S31" s="1"/>
  <c r="R30"/>
  <c r="S30" s="1"/>
  <c r="R29"/>
  <c r="S29" s="1"/>
  <c r="R28"/>
  <c r="S28" s="1"/>
  <c r="R27"/>
  <c r="S27" s="1"/>
  <c r="R26"/>
  <c r="S26" s="1"/>
  <c r="R25"/>
  <c r="S25" s="1"/>
  <c r="R24"/>
  <c r="S24" s="1"/>
  <c r="R23"/>
  <c r="S23" s="1"/>
  <c r="R22"/>
  <c r="S22" s="1"/>
  <c r="R21"/>
  <c r="S21" s="1"/>
  <c r="R20"/>
  <c r="S20" s="1"/>
  <c r="S19"/>
  <c r="R18"/>
  <c r="S18" s="1"/>
  <c r="O368"/>
  <c r="P368" s="1"/>
  <c r="O367"/>
  <c r="P367" s="1"/>
  <c r="O366"/>
  <c r="P366" s="1"/>
  <c r="O365"/>
  <c r="P365" s="1"/>
  <c r="O364"/>
  <c r="P364" s="1"/>
  <c r="O363"/>
  <c r="P363" s="1"/>
  <c r="O362"/>
  <c r="P362" s="1"/>
  <c r="O361"/>
  <c r="P361" s="1"/>
  <c r="O360"/>
  <c r="P360" s="1"/>
  <c r="O359"/>
  <c r="P359" s="1"/>
  <c r="O358"/>
  <c r="P358" s="1"/>
  <c r="O357"/>
  <c r="P357" s="1"/>
  <c r="O355"/>
  <c r="P355" s="1"/>
  <c r="O354"/>
  <c r="P354" s="1"/>
  <c r="O353"/>
  <c r="P353" s="1"/>
  <c r="O352"/>
  <c r="P352" s="1"/>
  <c r="O351"/>
  <c r="P351" s="1"/>
  <c r="O350"/>
  <c r="P350" s="1"/>
  <c r="O349"/>
  <c r="P349" s="1"/>
  <c r="O348"/>
  <c r="P348" s="1"/>
  <c r="O347"/>
  <c r="P347" s="1"/>
  <c r="O346"/>
  <c r="P346" s="1"/>
  <c r="O344"/>
  <c r="P344" s="1"/>
  <c r="O343"/>
  <c r="P343" s="1"/>
  <c r="O342"/>
  <c r="P342" s="1"/>
  <c r="O341"/>
  <c r="P341" s="1"/>
  <c r="O340"/>
  <c r="P340" s="1"/>
  <c r="O339"/>
  <c r="P339" s="1"/>
  <c r="O338"/>
  <c r="P338" s="1"/>
  <c r="O337"/>
  <c r="P337" s="1"/>
  <c r="O336"/>
  <c r="P336" s="1"/>
  <c r="O335"/>
  <c r="P335" s="1"/>
  <c r="O334"/>
  <c r="P334" s="1"/>
  <c r="O332"/>
  <c r="P332" s="1"/>
  <c r="O331"/>
  <c r="P331" s="1"/>
  <c r="O330"/>
  <c r="P330" s="1"/>
  <c r="O329"/>
  <c r="P329" s="1"/>
  <c r="O328"/>
  <c r="P328" s="1"/>
  <c r="O327"/>
  <c r="P327" s="1"/>
  <c r="O326"/>
  <c r="P326" s="1"/>
  <c r="O325"/>
  <c r="P325" s="1"/>
  <c r="O324"/>
  <c r="P324" s="1"/>
  <c r="O323"/>
  <c r="P323" s="1"/>
  <c r="O322"/>
  <c r="P322" s="1"/>
  <c r="O320"/>
  <c r="P320" s="1"/>
  <c r="O319"/>
  <c r="P319" s="1"/>
  <c r="O318"/>
  <c r="P318" s="1"/>
  <c r="O317"/>
  <c r="P317" s="1"/>
  <c r="O316"/>
  <c r="P316" s="1"/>
  <c r="O315"/>
  <c r="P315" s="1"/>
  <c r="O314"/>
  <c r="P314" s="1"/>
  <c r="O313"/>
  <c r="P313" s="1"/>
  <c r="O312"/>
  <c r="P312" s="1"/>
  <c r="O311"/>
  <c r="P311" s="1"/>
  <c r="O310"/>
  <c r="P310" s="1"/>
  <c r="O309"/>
  <c r="P309" s="1"/>
  <c r="O308"/>
  <c r="P308" s="1"/>
  <c r="O307"/>
  <c r="P307" s="1"/>
  <c r="O306"/>
  <c r="P306" s="1"/>
  <c r="O304"/>
  <c r="P304" s="1"/>
  <c r="O303"/>
  <c r="P303" s="1"/>
  <c r="O302"/>
  <c r="P302" s="1"/>
  <c r="O301"/>
  <c r="P301" s="1"/>
  <c r="O300"/>
  <c r="P300" s="1"/>
  <c r="O299"/>
  <c r="P299" s="1"/>
  <c r="O298"/>
  <c r="P298" s="1"/>
  <c r="O297"/>
  <c r="P297" s="1"/>
  <c r="O296"/>
  <c r="P296" s="1"/>
  <c r="O295"/>
  <c r="P295" s="1"/>
  <c r="O294"/>
  <c r="P294" s="1"/>
  <c r="O293"/>
  <c r="P293" s="1"/>
  <c r="O292"/>
  <c r="P292" s="1"/>
  <c r="O291"/>
  <c r="P291" s="1"/>
  <c r="O290"/>
  <c r="P290" s="1"/>
  <c r="O289"/>
  <c r="P289" s="1"/>
  <c r="O288"/>
  <c r="P288" s="1"/>
  <c r="O287"/>
  <c r="P287" s="1"/>
  <c r="O286"/>
  <c r="P286" s="1"/>
  <c r="O285"/>
  <c r="P285" s="1"/>
  <c r="O284"/>
  <c r="P284" s="1"/>
  <c r="O283"/>
  <c r="P283" s="1"/>
  <c r="O282"/>
  <c r="P282" s="1"/>
  <c r="O281"/>
  <c r="P281" s="1"/>
  <c r="O279"/>
  <c r="P279" s="1"/>
  <c r="O278"/>
  <c r="P278" s="1"/>
  <c r="O277"/>
  <c r="P277" s="1"/>
  <c r="O276"/>
  <c r="P276" s="1"/>
  <c r="O275"/>
  <c r="P275" s="1"/>
  <c r="O274"/>
  <c r="P274" s="1"/>
  <c r="O273"/>
  <c r="P273" s="1"/>
  <c r="O272"/>
  <c r="P272" s="1"/>
  <c r="O271"/>
  <c r="P271" s="1"/>
  <c r="O270"/>
  <c r="P270" s="1"/>
  <c r="O269"/>
  <c r="P269" s="1"/>
  <c r="O268"/>
  <c r="P268" s="1"/>
  <c r="O267"/>
  <c r="P267" s="1"/>
  <c r="O266"/>
  <c r="P266" s="1"/>
  <c r="O265"/>
  <c r="P265" s="1"/>
  <c r="O264"/>
  <c r="P264" s="1"/>
  <c r="O263"/>
  <c r="P263" s="1"/>
  <c r="O261"/>
  <c r="P261" s="1"/>
  <c r="O260"/>
  <c r="P260" s="1"/>
  <c r="O259"/>
  <c r="P259" s="1"/>
  <c r="O258"/>
  <c r="P258" s="1"/>
  <c r="O257"/>
  <c r="P257" s="1"/>
  <c r="O256"/>
  <c r="P256" s="1"/>
  <c r="O255"/>
  <c r="P255" s="1"/>
  <c r="O253"/>
  <c r="P253" s="1"/>
  <c r="O252"/>
  <c r="P252" s="1"/>
  <c r="O251"/>
  <c r="P251" s="1"/>
  <c r="O250"/>
  <c r="P250" s="1"/>
  <c r="O249"/>
  <c r="P249" s="1"/>
  <c r="O248"/>
  <c r="P248" s="1"/>
  <c r="O247"/>
  <c r="P247" s="1"/>
  <c r="O246"/>
  <c r="P246" s="1"/>
  <c r="O245"/>
  <c r="P245" s="1"/>
  <c r="O244"/>
  <c r="P244" s="1"/>
  <c r="O243"/>
  <c r="P243" s="1"/>
  <c r="O242"/>
  <c r="P242" s="1"/>
  <c r="O241"/>
  <c r="P241" s="1"/>
  <c r="O240"/>
  <c r="P240" s="1"/>
  <c r="O239"/>
  <c r="P239" s="1"/>
  <c r="O237"/>
  <c r="P237" s="1"/>
  <c r="O236"/>
  <c r="P236" s="1"/>
  <c r="O235"/>
  <c r="P235" s="1"/>
  <c r="O234"/>
  <c r="P234" s="1"/>
  <c r="O233"/>
  <c r="P233" s="1"/>
  <c r="O232"/>
  <c r="P232" s="1"/>
  <c r="O231"/>
  <c r="P231" s="1"/>
  <c r="O230"/>
  <c r="P230" s="1"/>
  <c r="O228"/>
  <c r="P228" s="1"/>
  <c r="O227"/>
  <c r="P227" s="1"/>
  <c r="O226"/>
  <c r="P226" s="1"/>
  <c r="O225"/>
  <c r="P225" s="1"/>
  <c r="O224"/>
  <c r="P224" s="1"/>
  <c r="O223"/>
  <c r="P223" s="1"/>
  <c r="O222"/>
  <c r="P222" s="1"/>
  <c r="O221"/>
  <c r="P221" s="1"/>
  <c r="O220"/>
  <c r="P220" s="1"/>
  <c r="O218"/>
  <c r="P218" s="1"/>
  <c r="O217"/>
  <c r="P217" s="1"/>
  <c r="O216"/>
  <c r="P216" s="1"/>
  <c r="O215"/>
  <c r="P215" s="1"/>
  <c r="O214"/>
  <c r="P214" s="1"/>
  <c r="O213"/>
  <c r="P213" s="1"/>
  <c r="O212"/>
  <c r="P212" s="1"/>
  <c r="O211"/>
  <c r="P211" s="1"/>
  <c r="O210"/>
  <c r="P210" s="1"/>
  <c r="O209"/>
  <c r="P209" s="1"/>
  <c r="O208"/>
  <c r="P208" s="1"/>
  <c r="O207"/>
  <c r="P207" s="1"/>
  <c r="O206"/>
  <c r="P206" s="1"/>
  <c r="O204"/>
  <c r="P204" s="1"/>
  <c r="O203"/>
  <c r="P203" s="1"/>
  <c r="O202"/>
  <c r="P202" s="1"/>
  <c r="O201"/>
  <c r="P201" s="1"/>
  <c r="O200"/>
  <c r="P200" s="1"/>
  <c r="O199"/>
  <c r="P199" s="1"/>
  <c r="O198"/>
  <c r="P198" s="1"/>
  <c r="O197"/>
  <c r="P197" s="1"/>
  <c r="O196"/>
  <c r="P196" s="1"/>
  <c r="O195"/>
  <c r="P195" s="1"/>
  <c r="O194"/>
  <c r="P194" s="1"/>
  <c r="O193"/>
  <c r="P193" s="1"/>
  <c r="O191"/>
  <c r="P191" s="1"/>
  <c r="O190"/>
  <c r="P190" s="1"/>
  <c r="O189"/>
  <c r="P189" s="1"/>
  <c r="O188"/>
  <c r="P188" s="1"/>
  <c r="O187"/>
  <c r="P187" s="1"/>
  <c r="O186"/>
  <c r="P186" s="1"/>
  <c r="O185"/>
  <c r="P185" s="1"/>
  <c r="O184"/>
  <c r="P184" s="1"/>
  <c r="O183"/>
  <c r="P183" s="1"/>
  <c r="O182"/>
  <c r="P182" s="1"/>
  <c r="O181"/>
  <c r="P181" s="1"/>
  <c r="O180"/>
  <c r="P180" s="1"/>
  <c r="O179"/>
  <c r="P179" s="1"/>
  <c r="O177"/>
  <c r="P177" s="1"/>
  <c r="O176"/>
  <c r="P176" s="1"/>
  <c r="O175"/>
  <c r="P175" s="1"/>
  <c r="O174"/>
  <c r="P174" s="1"/>
  <c r="O173"/>
  <c r="P173" s="1"/>
  <c r="O172"/>
  <c r="P172" s="1"/>
  <c r="O170"/>
  <c r="P170" s="1"/>
  <c r="O169"/>
  <c r="P169" s="1"/>
  <c r="O168"/>
  <c r="P168" s="1"/>
  <c r="O167"/>
  <c r="P167" s="1"/>
  <c r="O166"/>
  <c r="P166" s="1"/>
  <c r="O165"/>
  <c r="P165" s="1"/>
  <c r="O164"/>
  <c r="P164" s="1"/>
  <c r="O163"/>
  <c r="P163" s="1"/>
  <c r="O162"/>
  <c r="P162" s="1"/>
  <c r="O161"/>
  <c r="P161" s="1"/>
  <c r="O160"/>
  <c r="P160" s="1"/>
  <c r="O159"/>
  <c r="P159" s="1"/>
  <c r="O158"/>
  <c r="P158" s="1"/>
  <c r="O156"/>
  <c r="P156" s="1"/>
  <c r="O155"/>
  <c r="P155" s="1"/>
  <c r="O154"/>
  <c r="P154" s="1"/>
  <c r="O153"/>
  <c r="P153" s="1"/>
  <c r="O152"/>
  <c r="P152" s="1"/>
  <c r="O151"/>
  <c r="P151" s="1"/>
  <c r="O150"/>
  <c r="P150" s="1"/>
  <c r="O149"/>
  <c r="P149" s="1"/>
  <c r="O148"/>
  <c r="P148" s="1"/>
  <c r="O147"/>
  <c r="P147" s="1"/>
  <c r="O146"/>
  <c r="P146" s="1"/>
  <c r="O145"/>
  <c r="P145" s="1"/>
  <c r="O143"/>
  <c r="P143" s="1"/>
  <c r="O142"/>
  <c r="P142" s="1"/>
  <c r="O141"/>
  <c r="P141" s="1"/>
  <c r="O140"/>
  <c r="P140" s="1"/>
  <c r="O139"/>
  <c r="P139" s="1"/>
  <c r="O138"/>
  <c r="P138" s="1"/>
  <c r="O136"/>
  <c r="P136" s="1"/>
  <c r="O135"/>
  <c r="P135" s="1"/>
  <c r="O134"/>
  <c r="P134" s="1"/>
  <c r="O133"/>
  <c r="P133" s="1"/>
  <c r="O132"/>
  <c r="P132" s="1"/>
  <c r="O131"/>
  <c r="P131" s="1"/>
  <c r="O130"/>
  <c r="P130" s="1"/>
  <c r="O129"/>
  <c r="P129" s="1"/>
  <c r="O127"/>
  <c r="P127" s="1"/>
  <c r="O126"/>
  <c r="P126" s="1"/>
  <c r="O125"/>
  <c r="P125" s="1"/>
  <c r="O124"/>
  <c r="P124" s="1"/>
  <c r="O123"/>
  <c r="P123" s="1"/>
  <c r="O122"/>
  <c r="P122" s="1"/>
  <c r="O121"/>
  <c r="P121" s="1"/>
  <c r="O119"/>
  <c r="P119" s="1"/>
  <c r="O118"/>
  <c r="P118" s="1"/>
  <c r="O117"/>
  <c r="P117" s="1"/>
  <c r="O116"/>
  <c r="P116" s="1"/>
  <c r="O115"/>
  <c r="P115" s="1"/>
  <c r="O114"/>
  <c r="P114" s="1"/>
  <c r="O113"/>
  <c r="P113" s="1"/>
  <c r="O112"/>
  <c r="P112" s="1"/>
  <c r="O111"/>
  <c r="P111" s="1"/>
  <c r="O110"/>
  <c r="P110" s="1"/>
  <c r="O109"/>
  <c r="P109" s="1"/>
  <c r="O108"/>
  <c r="P108" s="1"/>
  <c r="O107"/>
  <c r="P107" s="1"/>
  <c r="O106"/>
  <c r="P106" s="1"/>
  <c r="O105"/>
  <c r="P105" s="1"/>
  <c r="O103"/>
  <c r="P103" s="1"/>
  <c r="O102"/>
  <c r="P102" s="1"/>
  <c r="O101"/>
  <c r="P101" s="1"/>
  <c r="O100"/>
  <c r="P100" s="1"/>
  <c r="O99"/>
  <c r="P99" s="1"/>
  <c r="O98"/>
  <c r="P98" s="1"/>
  <c r="O97"/>
  <c r="P97" s="1"/>
  <c r="O96"/>
  <c r="P96" s="1"/>
  <c r="O95"/>
  <c r="P95" s="1"/>
  <c r="O94"/>
  <c r="P94" s="1"/>
  <c r="O93"/>
  <c r="P93" s="1"/>
  <c r="O92"/>
  <c r="P92" s="1"/>
  <c r="O91"/>
  <c r="P91" s="1"/>
  <c r="O89"/>
  <c r="P89" s="1"/>
  <c r="O88"/>
  <c r="P88" s="1"/>
  <c r="O87"/>
  <c r="P87" s="1"/>
  <c r="O86"/>
  <c r="P86" s="1"/>
  <c r="O85"/>
  <c r="P85" s="1"/>
  <c r="O84"/>
  <c r="P84" s="1"/>
  <c r="O83"/>
  <c r="P83" s="1"/>
  <c r="O82"/>
  <c r="P82" s="1"/>
  <c r="O81"/>
  <c r="P81" s="1"/>
  <c r="O79"/>
  <c r="P79" s="1"/>
  <c r="O78"/>
  <c r="P78" s="1"/>
  <c r="O77"/>
  <c r="P77" s="1"/>
  <c r="O76"/>
  <c r="P76" s="1"/>
  <c r="O75"/>
  <c r="P75" s="1"/>
  <c r="O74"/>
  <c r="P74" s="1"/>
  <c r="O73"/>
  <c r="P73" s="1"/>
  <c r="O72"/>
  <c r="P72" s="1"/>
  <c r="O70"/>
  <c r="P70" s="1"/>
  <c r="O69"/>
  <c r="P69" s="1"/>
  <c r="O68"/>
  <c r="P68" s="1"/>
  <c r="O67"/>
  <c r="P67" s="1"/>
  <c r="O66"/>
  <c r="P66" s="1"/>
  <c r="O64"/>
  <c r="P64" s="1"/>
  <c r="O63"/>
  <c r="P63" s="1"/>
  <c r="O62"/>
  <c r="P62" s="1"/>
  <c r="O61"/>
  <c r="P61" s="1"/>
  <c r="O60"/>
  <c r="P60" s="1"/>
  <c r="O59"/>
  <c r="P59" s="1"/>
  <c r="O58"/>
  <c r="P58" s="1"/>
  <c r="O57"/>
  <c r="P57" s="1"/>
  <c r="O56"/>
  <c r="P56" s="1"/>
  <c r="O55"/>
  <c r="P55" s="1"/>
  <c r="O54"/>
  <c r="P54" s="1"/>
  <c r="O53"/>
  <c r="P53" s="1"/>
  <c r="O51"/>
  <c r="P51" s="1"/>
  <c r="O50"/>
  <c r="P50" s="1"/>
  <c r="O49"/>
  <c r="P49" s="1"/>
  <c r="O48"/>
  <c r="P48" s="1"/>
  <c r="O47"/>
  <c r="P47" s="1"/>
  <c r="O44"/>
  <c r="P44" s="1"/>
  <c r="O43"/>
  <c r="P43" s="1"/>
  <c r="O42"/>
  <c r="P42" s="1"/>
  <c r="O41"/>
  <c r="P41" s="1"/>
  <c r="O40"/>
  <c r="P40" s="1"/>
  <c r="O39"/>
  <c r="P39" s="1"/>
  <c r="O38"/>
  <c r="P38" s="1"/>
  <c r="O37"/>
  <c r="P37" s="1"/>
  <c r="O36"/>
  <c r="P36" s="1"/>
  <c r="O35"/>
  <c r="P35" s="1"/>
  <c r="O34"/>
  <c r="P34" s="1"/>
  <c r="O33"/>
  <c r="P33" s="1"/>
  <c r="O32"/>
  <c r="P32" s="1"/>
  <c r="O31"/>
  <c r="P31" s="1"/>
  <c r="O30"/>
  <c r="P30" s="1"/>
  <c r="O29"/>
  <c r="P29" s="1"/>
  <c r="O28"/>
  <c r="P28" s="1"/>
  <c r="O27"/>
  <c r="P27" s="1"/>
  <c r="O26"/>
  <c r="P26" s="1"/>
  <c r="O25"/>
  <c r="P25" s="1"/>
  <c r="O24"/>
  <c r="P24" s="1"/>
  <c r="O23"/>
  <c r="P23" s="1"/>
  <c r="O22"/>
  <c r="P22" s="1"/>
  <c r="O21"/>
  <c r="P21" s="1"/>
  <c r="O20"/>
  <c r="P20" s="1"/>
  <c r="O19"/>
  <c r="P19" s="1"/>
  <c r="O18"/>
  <c r="P18" s="1"/>
  <c r="W369" i="7"/>
  <c r="R369"/>
  <c r="T369" s="1"/>
  <c r="V369" l="1"/>
  <c r="X369" s="1"/>
  <c r="I44" i="8"/>
  <c r="J44" s="1"/>
  <c r="I43"/>
  <c r="J43" s="1"/>
  <c r="I42"/>
  <c r="J42" s="1"/>
  <c r="I41"/>
  <c r="J41" s="1"/>
  <c r="I40"/>
  <c r="J40" s="1"/>
  <c r="I39"/>
  <c r="J39" s="1"/>
  <c r="I38"/>
  <c r="J38" s="1"/>
  <c r="I37"/>
  <c r="J37" s="1"/>
  <c r="I36"/>
  <c r="J36" s="1"/>
  <c r="I35"/>
  <c r="J35" s="1"/>
  <c r="I34"/>
  <c r="J34" s="1"/>
  <c r="I33"/>
  <c r="J33" s="1"/>
  <c r="I32"/>
  <c r="J32" s="1"/>
  <c r="I31"/>
  <c r="J31" s="1"/>
  <c r="I30"/>
  <c r="J30" s="1"/>
  <c r="I29"/>
  <c r="J29" s="1"/>
  <c r="I28"/>
  <c r="J28" s="1"/>
  <c r="I27"/>
  <c r="J27" s="1"/>
  <c r="I26"/>
  <c r="J26" s="1"/>
  <c r="I25"/>
  <c r="J25" s="1"/>
  <c r="I24"/>
  <c r="J24" s="1"/>
  <c r="I23"/>
  <c r="J23" s="1"/>
  <c r="I22"/>
  <c r="J22" s="1"/>
  <c r="I21"/>
  <c r="J21" s="1"/>
  <c r="I20"/>
  <c r="J20" s="1"/>
  <c r="I19"/>
  <c r="J19" s="1"/>
  <c r="I18"/>
  <c r="J18" s="1"/>
  <c r="I16"/>
  <c r="J16" s="1"/>
  <c r="I15"/>
  <c r="J15" s="1"/>
  <c r="I14"/>
  <c r="J14" s="1"/>
  <c r="I13"/>
  <c r="J13" s="1"/>
  <c r="I12"/>
  <c r="J12" s="1"/>
  <c r="I11"/>
  <c r="J11" s="1"/>
  <c r="I10"/>
  <c r="J10" s="1"/>
  <c r="I9"/>
  <c r="J9" s="1"/>
  <c r="I8"/>
  <c r="J8" s="1"/>
  <c r="L7" l="1"/>
  <c r="M7" s="1"/>
  <c r="L9"/>
  <c r="M9" s="1"/>
  <c r="L11"/>
  <c r="M11" s="1"/>
  <c r="L13"/>
  <c r="M13" s="1"/>
  <c r="L15"/>
  <c r="M15" s="1"/>
  <c r="L18"/>
  <c r="M18" s="1"/>
  <c r="L20"/>
  <c r="M20" s="1"/>
  <c r="L22"/>
  <c r="M22" s="1"/>
  <c r="L24"/>
  <c r="M24" s="1"/>
  <c r="L26"/>
  <c r="M26" s="1"/>
  <c r="L28"/>
  <c r="M28" s="1"/>
  <c r="L30"/>
  <c r="M30" s="1"/>
  <c r="L32"/>
  <c r="M32" s="1"/>
  <c r="L34"/>
  <c r="M34" s="1"/>
  <c r="L36"/>
  <c r="M36" s="1"/>
  <c r="L38"/>
  <c r="M38" s="1"/>
  <c r="L40"/>
  <c r="M40" s="1"/>
  <c r="L42"/>
  <c r="M42" s="1"/>
  <c r="L44"/>
  <c r="M44" s="1"/>
  <c r="L48"/>
  <c r="M48" s="1"/>
  <c r="L50"/>
  <c r="M50" s="1"/>
  <c r="L53"/>
  <c r="M53" s="1"/>
  <c r="L55"/>
  <c r="M55" s="1"/>
  <c r="L57"/>
  <c r="M57" s="1"/>
  <c r="L58"/>
  <c r="M58" s="1"/>
  <c r="L60"/>
  <c r="M60" s="1"/>
  <c r="L62"/>
  <c r="M62" s="1"/>
  <c r="L64"/>
  <c r="M64" s="1"/>
  <c r="L67"/>
  <c r="M67" s="1"/>
  <c r="L69"/>
  <c r="M69" s="1"/>
  <c r="L72"/>
  <c r="M72" s="1"/>
  <c r="L74"/>
  <c r="M74" s="1"/>
  <c r="L76"/>
  <c r="M76" s="1"/>
  <c r="L78"/>
  <c r="M78" s="1"/>
  <c r="L81"/>
  <c r="M81" s="1"/>
  <c r="L83"/>
  <c r="M83" s="1"/>
  <c r="L85"/>
  <c r="M85" s="1"/>
  <c r="L87"/>
  <c r="M87" s="1"/>
  <c r="L89"/>
  <c r="M89" s="1"/>
  <c r="L92"/>
  <c r="M92" s="1"/>
  <c r="L94"/>
  <c r="M94" s="1"/>
  <c r="L96"/>
  <c r="M96" s="1"/>
  <c r="L98"/>
  <c r="M98" s="1"/>
  <c r="L100"/>
  <c r="M100" s="1"/>
  <c r="L102"/>
  <c r="M102" s="1"/>
  <c r="L105"/>
  <c r="M105" s="1"/>
  <c r="L107"/>
  <c r="M107" s="1"/>
  <c r="L109"/>
  <c r="M109" s="1"/>
  <c r="L111"/>
  <c r="M111" s="1"/>
  <c r="L113"/>
  <c r="M113" s="1"/>
  <c r="L115"/>
  <c r="M115" s="1"/>
  <c r="L117"/>
  <c r="M117" s="1"/>
  <c r="L119"/>
  <c r="M119" s="1"/>
  <c r="L122"/>
  <c r="M122" s="1"/>
  <c r="L124"/>
  <c r="M124" s="1"/>
  <c r="L126"/>
  <c r="M126" s="1"/>
  <c r="L129"/>
  <c r="M129" s="1"/>
  <c r="L131"/>
  <c r="M131" s="1"/>
  <c r="L134"/>
  <c r="M134" s="1"/>
  <c r="L136"/>
  <c r="M136" s="1"/>
  <c r="L139"/>
  <c r="M139" s="1"/>
  <c r="L141"/>
  <c r="M141" s="1"/>
  <c r="L143"/>
  <c r="M143" s="1"/>
  <c r="L146"/>
  <c r="M146" s="1"/>
  <c r="L148"/>
  <c r="M148" s="1"/>
  <c r="L150"/>
  <c r="M150" s="1"/>
  <c r="L152"/>
  <c r="M152" s="1"/>
  <c r="L154"/>
  <c r="M154" s="1"/>
  <c r="L156"/>
  <c r="M156" s="1"/>
  <c r="L159"/>
  <c r="M159" s="1"/>
  <c r="L161"/>
  <c r="M161" s="1"/>
  <c r="L163"/>
  <c r="M163" s="1"/>
  <c r="L165"/>
  <c r="M165" s="1"/>
  <c r="L167"/>
  <c r="M167" s="1"/>
  <c r="L169"/>
  <c r="M169" s="1"/>
  <c r="L172"/>
  <c r="M172" s="1"/>
  <c r="L174"/>
  <c r="M174" s="1"/>
  <c r="L176"/>
  <c r="M176" s="1"/>
  <c r="L177"/>
  <c r="M177" s="1"/>
  <c r="L180"/>
  <c r="M180" s="1"/>
  <c r="L182"/>
  <c r="M182" s="1"/>
  <c r="L184"/>
  <c r="M184" s="1"/>
  <c r="L186"/>
  <c r="M186" s="1"/>
  <c r="L188"/>
  <c r="M188" s="1"/>
  <c r="L190"/>
  <c r="M190" s="1"/>
  <c r="L193"/>
  <c r="M193" s="1"/>
  <c r="L195"/>
  <c r="M195" s="1"/>
  <c r="L197"/>
  <c r="M197" s="1"/>
  <c r="L199"/>
  <c r="M199" s="1"/>
  <c r="L201"/>
  <c r="M201" s="1"/>
  <c r="L203"/>
  <c r="M203" s="1"/>
  <c r="L206"/>
  <c r="M206" s="1"/>
  <c r="L208"/>
  <c r="M208" s="1"/>
  <c r="L210"/>
  <c r="M210" s="1"/>
  <c r="L212"/>
  <c r="M212" s="1"/>
  <c r="L214"/>
  <c r="M214" s="1"/>
  <c r="L216"/>
  <c r="M216" s="1"/>
  <c r="L218"/>
  <c r="M218" s="1"/>
  <c r="L221"/>
  <c r="M221" s="1"/>
  <c r="L223"/>
  <c r="M223" s="1"/>
  <c r="L225"/>
  <c r="M225" s="1"/>
  <c r="L227"/>
  <c r="M227" s="1"/>
  <c r="L230"/>
  <c r="M230" s="1"/>
  <c r="L232"/>
  <c r="M232" s="1"/>
  <c r="L234"/>
  <c r="M234" s="1"/>
  <c r="L236"/>
  <c r="M236" s="1"/>
  <c r="L239"/>
  <c r="M239" s="1"/>
  <c r="L241"/>
  <c r="M241" s="1"/>
  <c r="L243"/>
  <c r="M243" s="1"/>
  <c r="L245"/>
  <c r="M245" s="1"/>
  <c r="L247"/>
  <c r="M247" s="1"/>
  <c r="L249"/>
  <c r="M249" s="1"/>
  <c r="L251"/>
  <c r="M251" s="1"/>
  <c r="L253"/>
  <c r="M253" s="1"/>
  <c r="L256"/>
  <c r="M256" s="1"/>
  <c r="L258"/>
  <c r="M258" s="1"/>
  <c r="L260"/>
  <c r="M260" s="1"/>
  <c r="L263"/>
  <c r="M263" s="1"/>
  <c r="L265"/>
  <c r="M265" s="1"/>
  <c r="L267"/>
  <c r="M267" s="1"/>
  <c r="L269"/>
  <c r="M269" s="1"/>
  <c r="L271"/>
  <c r="M271" s="1"/>
  <c r="L273"/>
  <c r="M273" s="1"/>
  <c r="L275"/>
  <c r="M275" s="1"/>
  <c r="L277"/>
  <c r="M277" s="1"/>
  <c r="L279"/>
  <c r="M279" s="1"/>
  <c r="L282"/>
  <c r="M282" s="1"/>
  <c r="L284"/>
  <c r="M284" s="1"/>
  <c r="L286"/>
  <c r="M286" s="1"/>
  <c r="L288"/>
  <c r="M288" s="1"/>
  <c r="L290"/>
  <c r="M290" s="1"/>
  <c r="L292"/>
  <c r="M292" s="1"/>
  <c r="L294"/>
  <c r="M294" s="1"/>
  <c r="L296"/>
  <c r="M296" s="1"/>
  <c r="L298"/>
  <c r="M298" s="1"/>
  <c r="L300"/>
  <c r="M300" s="1"/>
  <c r="L302"/>
  <c r="M302" s="1"/>
  <c r="L304"/>
  <c r="M304" s="1"/>
  <c r="L307"/>
  <c r="M307" s="1"/>
  <c r="L309"/>
  <c r="M309" s="1"/>
  <c r="L311"/>
  <c r="M311" s="1"/>
  <c r="L313"/>
  <c r="M313" s="1"/>
  <c r="L315"/>
  <c r="M315" s="1"/>
  <c r="L317"/>
  <c r="M317" s="1"/>
  <c r="L319"/>
  <c r="M319" s="1"/>
  <c r="L322"/>
  <c r="M322" s="1"/>
  <c r="L324"/>
  <c r="M324" s="1"/>
  <c r="L326"/>
  <c r="M326" s="1"/>
  <c r="L328"/>
  <c r="M328" s="1"/>
  <c r="L330"/>
  <c r="M330" s="1"/>
  <c r="L332"/>
  <c r="M332" s="1"/>
  <c r="L335"/>
  <c r="M335" s="1"/>
  <c r="L337"/>
  <c r="M337" s="1"/>
  <c r="L339"/>
  <c r="M339" s="1"/>
  <c r="L341"/>
  <c r="M341" s="1"/>
  <c r="L343"/>
  <c r="M343" s="1"/>
  <c r="L346"/>
  <c r="M346" s="1"/>
  <c r="L348"/>
  <c r="M348" s="1"/>
  <c r="L350"/>
  <c r="M350" s="1"/>
  <c r="L351"/>
  <c r="M351" s="1"/>
  <c r="L353"/>
  <c r="M353" s="1"/>
  <c r="L355"/>
  <c r="M355" s="1"/>
  <c r="L358"/>
  <c r="M358" s="1"/>
  <c r="L360"/>
  <c r="M360" s="1"/>
  <c r="L362"/>
  <c r="M362" s="1"/>
  <c r="L364"/>
  <c r="M364" s="1"/>
  <c r="L366"/>
  <c r="M366" s="1"/>
  <c r="L368"/>
  <c r="M368" s="1"/>
  <c r="M8"/>
  <c r="L10"/>
  <c r="M10" s="1"/>
  <c r="L12"/>
  <c r="M12" s="1"/>
  <c r="L14"/>
  <c r="M14" s="1"/>
  <c r="L16"/>
  <c r="M16" s="1"/>
  <c r="L19"/>
  <c r="M19" s="1"/>
  <c r="L21"/>
  <c r="M21" s="1"/>
  <c r="L23"/>
  <c r="M23" s="1"/>
  <c r="L25"/>
  <c r="M25" s="1"/>
  <c r="L27"/>
  <c r="M27" s="1"/>
  <c r="L29"/>
  <c r="M29" s="1"/>
  <c r="L31"/>
  <c r="M31" s="1"/>
  <c r="L33"/>
  <c r="M33" s="1"/>
  <c r="L35"/>
  <c r="M35" s="1"/>
  <c r="L37"/>
  <c r="M37" s="1"/>
  <c r="L39"/>
  <c r="M39" s="1"/>
  <c r="L41"/>
  <c r="M41" s="1"/>
  <c r="L43"/>
  <c r="M43" s="1"/>
  <c r="L47"/>
  <c r="M47" s="1"/>
  <c r="L49"/>
  <c r="M49" s="1"/>
  <c r="L51"/>
  <c r="M51" s="1"/>
  <c r="L54"/>
  <c r="M54" s="1"/>
  <c r="L56"/>
  <c r="M56" s="1"/>
  <c r="L59"/>
  <c r="M59" s="1"/>
  <c r="L61"/>
  <c r="M61" s="1"/>
  <c r="L63"/>
  <c r="M63" s="1"/>
  <c r="L66"/>
  <c r="M66" s="1"/>
  <c r="L68"/>
  <c r="M68" s="1"/>
  <c r="L70"/>
  <c r="M70" s="1"/>
  <c r="L73"/>
  <c r="M73" s="1"/>
  <c r="L75"/>
  <c r="M75" s="1"/>
  <c r="L77"/>
  <c r="M77" s="1"/>
  <c r="L79"/>
  <c r="M79" s="1"/>
  <c r="L82"/>
  <c r="M82" s="1"/>
  <c r="L84"/>
  <c r="M84" s="1"/>
  <c r="L86"/>
  <c r="M86" s="1"/>
  <c r="L88"/>
  <c r="M88" s="1"/>
  <c r="L91"/>
  <c r="M91" s="1"/>
  <c r="L93"/>
  <c r="M93" s="1"/>
  <c r="L95"/>
  <c r="M95" s="1"/>
  <c r="L97"/>
  <c r="M97" s="1"/>
  <c r="L99"/>
  <c r="M99" s="1"/>
  <c r="L101"/>
  <c r="M101" s="1"/>
  <c r="L103"/>
  <c r="M103" s="1"/>
  <c r="L106"/>
  <c r="M106" s="1"/>
  <c r="L108"/>
  <c r="M108" s="1"/>
  <c r="L110"/>
  <c r="M110" s="1"/>
  <c r="L112"/>
  <c r="M112" s="1"/>
  <c r="L114"/>
  <c r="M114" s="1"/>
  <c r="L116"/>
  <c r="M116" s="1"/>
  <c r="L118"/>
  <c r="M118" s="1"/>
  <c r="L121"/>
  <c r="M121" s="1"/>
  <c r="L123"/>
  <c r="M123" s="1"/>
  <c r="L125"/>
  <c r="M125" s="1"/>
  <c r="L127"/>
  <c r="M127" s="1"/>
  <c r="L130"/>
  <c r="M130" s="1"/>
  <c r="L132"/>
  <c r="M132" s="1"/>
  <c r="L133"/>
  <c r="M133" s="1"/>
  <c r="L135"/>
  <c r="M135" s="1"/>
  <c r="L138"/>
  <c r="M138" s="1"/>
  <c r="L140"/>
  <c r="M140" s="1"/>
  <c r="L142"/>
  <c r="M142" s="1"/>
  <c r="L145"/>
  <c r="M145" s="1"/>
  <c r="L147"/>
  <c r="M147" s="1"/>
  <c r="L149"/>
  <c r="M149" s="1"/>
  <c r="L151"/>
  <c r="M151" s="1"/>
  <c r="L153"/>
  <c r="M153" s="1"/>
  <c r="L155"/>
  <c r="M155" s="1"/>
  <c r="L158"/>
  <c r="M158" s="1"/>
  <c r="L160"/>
  <c r="M160" s="1"/>
  <c r="L162"/>
  <c r="M162" s="1"/>
  <c r="L164"/>
  <c r="M164" s="1"/>
  <c r="L166"/>
  <c r="M166" s="1"/>
  <c r="L168"/>
  <c r="M168" s="1"/>
  <c r="L170"/>
  <c r="M170" s="1"/>
  <c r="L173"/>
  <c r="M173" s="1"/>
  <c r="L175"/>
  <c r="M175" s="1"/>
  <c r="L179"/>
  <c r="M179" s="1"/>
  <c r="L181"/>
  <c r="M181" s="1"/>
  <c r="L183"/>
  <c r="M183" s="1"/>
  <c r="L185"/>
  <c r="M185" s="1"/>
  <c r="L187"/>
  <c r="M187" s="1"/>
  <c r="L189"/>
  <c r="M189" s="1"/>
  <c r="L191"/>
  <c r="M191" s="1"/>
  <c r="L194"/>
  <c r="M194" s="1"/>
  <c r="L196"/>
  <c r="M196" s="1"/>
  <c r="L198"/>
  <c r="M198" s="1"/>
  <c r="L200"/>
  <c r="M200" s="1"/>
  <c r="L202"/>
  <c r="M202" s="1"/>
  <c r="L204"/>
  <c r="M204" s="1"/>
  <c r="L207"/>
  <c r="M207" s="1"/>
  <c r="L209"/>
  <c r="M209" s="1"/>
  <c r="L211"/>
  <c r="M211" s="1"/>
  <c r="L213"/>
  <c r="M213" s="1"/>
  <c r="L215"/>
  <c r="M215" s="1"/>
  <c r="L217"/>
  <c r="M217" s="1"/>
  <c r="L220"/>
  <c r="M220" s="1"/>
  <c r="L222"/>
  <c r="M222" s="1"/>
  <c r="L224"/>
  <c r="M224" s="1"/>
  <c r="L226"/>
  <c r="M226" s="1"/>
  <c r="L228"/>
  <c r="M228" s="1"/>
  <c r="L231"/>
  <c r="M231" s="1"/>
  <c r="L233"/>
  <c r="M233" s="1"/>
  <c r="L235"/>
  <c r="M235" s="1"/>
  <c r="L237"/>
  <c r="M237" s="1"/>
  <c r="L240"/>
  <c r="M240" s="1"/>
  <c r="L242"/>
  <c r="M242" s="1"/>
  <c r="L244"/>
  <c r="M244" s="1"/>
  <c r="L246"/>
  <c r="M246" s="1"/>
  <c r="L248"/>
  <c r="M248" s="1"/>
  <c r="L250"/>
  <c r="M250" s="1"/>
  <c r="L252"/>
  <c r="M252" s="1"/>
  <c r="L255"/>
  <c r="M255" s="1"/>
  <c r="L257"/>
  <c r="M257" s="1"/>
  <c r="L259"/>
  <c r="M259" s="1"/>
  <c r="L261"/>
  <c r="M261" s="1"/>
  <c r="L264"/>
  <c r="M264" s="1"/>
  <c r="L266"/>
  <c r="M266" s="1"/>
  <c r="L268"/>
  <c r="M268" s="1"/>
  <c r="L270"/>
  <c r="M270" s="1"/>
  <c r="L272"/>
  <c r="M272" s="1"/>
  <c r="L274"/>
  <c r="M274" s="1"/>
  <c r="L276"/>
  <c r="M276" s="1"/>
  <c r="L278"/>
  <c r="M278" s="1"/>
  <c r="L281"/>
  <c r="M281" s="1"/>
  <c r="L283"/>
  <c r="M283" s="1"/>
  <c r="L285"/>
  <c r="M285" s="1"/>
  <c r="L287"/>
  <c r="M287" s="1"/>
  <c r="L289"/>
  <c r="M289" s="1"/>
  <c r="L291"/>
  <c r="M291" s="1"/>
  <c r="L293"/>
  <c r="M293" s="1"/>
  <c r="L295"/>
  <c r="M295" s="1"/>
  <c r="L297"/>
  <c r="M297" s="1"/>
  <c r="L299"/>
  <c r="M299" s="1"/>
  <c r="L301"/>
  <c r="M301" s="1"/>
  <c r="L303"/>
  <c r="M303" s="1"/>
  <c r="L306"/>
  <c r="M306" s="1"/>
  <c r="L308"/>
  <c r="M308" s="1"/>
  <c r="L310"/>
  <c r="M310" s="1"/>
  <c r="L312"/>
  <c r="M312" s="1"/>
  <c r="L314"/>
  <c r="M314" s="1"/>
  <c r="L316"/>
  <c r="M316" s="1"/>
  <c r="L318"/>
  <c r="M318" s="1"/>
  <c r="L320"/>
  <c r="M320" s="1"/>
  <c r="L323"/>
  <c r="M323" s="1"/>
  <c r="L325"/>
  <c r="M325" s="1"/>
  <c r="L327"/>
  <c r="M327" s="1"/>
  <c r="L329"/>
  <c r="M329" s="1"/>
  <c r="L331"/>
  <c r="M331" s="1"/>
  <c r="L334"/>
  <c r="M334" s="1"/>
  <c r="L336"/>
  <c r="M336" s="1"/>
  <c r="L338"/>
  <c r="M338" s="1"/>
  <c r="L340"/>
  <c r="M340" s="1"/>
  <c r="L342"/>
  <c r="M342" s="1"/>
  <c r="L344"/>
  <c r="M344" s="1"/>
  <c r="L347"/>
  <c r="M347" s="1"/>
  <c r="L349"/>
  <c r="M349" s="1"/>
  <c r="L352"/>
  <c r="M352" s="1"/>
  <c r="L354"/>
  <c r="M354" s="1"/>
  <c r="L357"/>
  <c r="M357" s="1"/>
  <c r="L359"/>
  <c r="M359" s="1"/>
  <c r="L361"/>
  <c r="M361" s="1"/>
  <c r="L363"/>
  <c r="M363" s="1"/>
  <c r="L365"/>
  <c r="M365" s="1"/>
  <c r="L367"/>
  <c r="M367" s="1"/>
  <c r="C18"/>
  <c r="D18" s="1"/>
  <c r="C34"/>
  <c r="D34" s="1"/>
  <c r="C11"/>
  <c r="D11" s="1"/>
  <c r="C20"/>
  <c r="D20" s="1"/>
  <c r="C28"/>
  <c r="D28" s="1"/>
  <c r="C36"/>
  <c r="D36" s="1"/>
  <c r="C44"/>
  <c r="D44" s="1"/>
  <c r="C50"/>
  <c r="D50" s="1"/>
  <c r="C58"/>
  <c r="D58" s="1"/>
  <c r="Z58" s="1"/>
  <c r="C62"/>
  <c r="D62" s="1"/>
  <c r="C72"/>
  <c r="D72" s="1"/>
  <c r="C81"/>
  <c r="D81" s="1"/>
  <c r="C89"/>
  <c r="D89" s="1"/>
  <c r="C98"/>
  <c r="D98" s="1"/>
  <c r="C107"/>
  <c r="D107" s="1"/>
  <c r="C115"/>
  <c r="D115" s="1"/>
  <c r="C119"/>
  <c r="D119" s="1"/>
  <c r="C129"/>
  <c r="D129" s="1"/>
  <c r="C136"/>
  <c r="D136" s="1"/>
  <c r="C146"/>
  <c r="D146" s="1"/>
  <c r="C154"/>
  <c r="D154" s="1"/>
  <c r="C167"/>
  <c r="D167" s="1"/>
  <c r="C184"/>
  <c r="D184" s="1"/>
  <c r="C8"/>
  <c r="D8" s="1"/>
  <c r="C12"/>
  <c r="D12" s="1"/>
  <c r="C16"/>
  <c r="D16" s="1"/>
  <c r="C21"/>
  <c r="D21" s="1"/>
  <c r="C25"/>
  <c r="D25" s="1"/>
  <c r="C29"/>
  <c r="D29" s="1"/>
  <c r="C33"/>
  <c r="D33" s="1"/>
  <c r="C37"/>
  <c r="D37" s="1"/>
  <c r="C41"/>
  <c r="D41" s="1"/>
  <c r="C47"/>
  <c r="D47" s="1"/>
  <c r="Z47" s="1"/>
  <c r="C51"/>
  <c r="D51" s="1"/>
  <c r="C56"/>
  <c r="D56" s="1"/>
  <c r="C59"/>
  <c r="D59" s="1"/>
  <c r="C63"/>
  <c r="D63" s="1"/>
  <c r="C68"/>
  <c r="D68" s="1"/>
  <c r="C73"/>
  <c r="D73" s="1"/>
  <c r="C77"/>
  <c r="D77" s="1"/>
  <c r="C82"/>
  <c r="D82" s="1"/>
  <c r="C86"/>
  <c r="D86" s="1"/>
  <c r="C91"/>
  <c r="D91" s="1"/>
  <c r="C95"/>
  <c r="D95" s="1"/>
  <c r="C99"/>
  <c r="D99" s="1"/>
  <c r="C103"/>
  <c r="D103" s="1"/>
  <c r="C108"/>
  <c r="D108" s="1"/>
  <c r="C112"/>
  <c r="D112" s="1"/>
  <c r="C116"/>
  <c r="D116" s="1"/>
  <c r="C121"/>
  <c r="D121" s="1"/>
  <c r="C125"/>
  <c r="D125" s="1"/>
  <c r="C130"/>
  <c r="D130" s="1"/>
  <c r="C133"/>
  <c r="D133" s="1"/>
  <c r="C138"/>
  <c r="D138" s="1"/>
  <c r="C142"/>
  <c r="D142" s="1"/>
  <c r="C147"/>
  <c r="D147" s="1"/>
  <c r="C151"/>
  <c r="D151" s="1"/>
  <c r="C155"/>
  <c r="D155" s="1"/>
  <c r="C160"/>
  <c r="D160" s="1"/>
  <c r="C164"/>
  <c r="D164" s="1"/>
  <c r="C168"/>
  <c r="D168" s="1"/>
  <c r="C173"/>
  <c r="D173" s="1"/>
  <c r="C175"/>
  <c r="D175" s="1"/>
  <c r="C181"/>
  <c r="D181" s="1"/>
  <c r="C185"/>
  <c r="D185" s="1"/>
  <c r="C189"/>
  <c r="D189" s="1"/>
  <c r="C194"/>
  <c r="D194" s="1"/>
  <c r="C198"/>
  <c r="D198" s="1"/>
  <c r="C202"/>
  <c r="D202" s="1"/>
  <c r="C207"/>
  <c r="D207" s="1"/>
  <c r="C211"/>
  <c r="D211" s="1"/>
  <c r="C215"/>
  <c r="D215" s="1"/>
  <c r="C220"/>
  <c r="D220" s="1"/>
  <c r="C224"/>
  <c r="D224" s="1"/>
  <c r="C228"/>
  <c r="D228" s="1"/>
  <c r="C233"/>
  <c r="D233" s="1"/>
  <c r="C237"/>
  <c r="D237" s="1"/>
  <c r="AG237" s="1"/>
  <c r="C242"/>
  <c r="D242" s="1"/>
  <c r="C246"/>
  <c r="D246" s="1"/>
  <c r="C250"/>
  <c r="D250" s="1"/>
  <c r="C255"/>
  <c r="D255" s="1"/>
  <c r="C259"/>
  <c r="D259" s="1"/>
  <c r="C264"/>
  <c r="D264" s="1"/>
  <c r="C268"/>
  <c r="D268" s="1"/>
  <c r="C272"/>
  <c r="D272" s="1"/>
  <c r="C276"/>
  <c r="D276" s="1"/>
  <c r="C281"/>
  <c r="D281" s="1"/>
  <c r="C285"/>
  <c r="D285" s="1"/>
  <c r="C289"/>
  <c r="D289" s="1"/>
  <c r="C293"/>
  <c r="D293" s="1"/>
  <c r="C297"/>
  <c r="D297" s="1"/>
  <c r="C301"/>
  <c r="D301" s="1"/>
  <c r="C306"/>
  <c r="D306" s="1"/>
  <c r="C310"/>
  <c r="D310" s="1"/>
  <c r="C314"/>
  <c r="D314" s="1"/>
  <c r="C318"/>
  <c r="D318" s="1"/>
  <c r="C323"/>
  <c r="D323" s="1"/>
  <c r="C327"/>
  <c r="D327" s="1"/>
  <c r="C331"/>
  <c r="D331" s="1"/>
  <c r="C336"/>
  <c r="D336" s="1"/>
  <c r="C340"/>
  <c r="D340" s="1"/>
  <c r="C344"/>
  <c r="D344" s="1"/>
  <c r="C349"/>
  <c r="D349" s="1"/>
  <c r="C352"/>
  <c r="D352" s="1"/>
  <c r="C357"/>
  <c r="D357" s="1"/>
  <c r="C361"/>
  <c r="D361" s="1"/>
  <c r="C365"/>
  <c r="D365" s="1"/>
  <c r="C9"/>
  <c r="D9" s="1"/>
  <c r="C26"/>
  <c r="D26" s="1"/>
  <c r="C42"/>
  <c r="D42" s="1"/>
  <c r="C53"/>
  <c r="D53" s="1"/>
  <c r="C60"/>
  <c r="D60" s="1"/>
  <c r="C74"/>
  <c r="D74" s="1"/>
  <c r="C83"/>
  <c r="D83" s="1"/>
  <c r="C92"/>
  <c r="D92" s="1"/>
  <c r="C100"/>
  <c r="D100" s="1"/>
  <c r="C113"/>
  <c r="D113" s="1"/>
  <c r="C122"/>
  <c r="D122" s="1"/>
  <c r="C126"/>
  <c r="D126" s="1"/>
  <c r="C134"/>
  <c r="D134" s="1"/>
  <c r="C139"/>
  <c r="D139" s="1"/>
  <c r="C143"/>
  <c r="D143" s="1"/>
  <c r="C148"/>
  <c r="D148" s="1"/>
  <c r="C152"/>
  <c r="D152" s="1"/>
  <c r="C156"/>
  <c r="D156" s="1"/>
  <c r="C161"/>
  <c r="D161" s="1"/>
  <c r="C165"/>
  <c r="D165" s="1"/>
  <c r="C169"/>
  <c r="D169" s="1"/>
  <c r="C174"/>
  <c r="D174" s="1"/>
  <c r="C177"/>
  <c r="D177" s="1"/>
  <c r="C182"/>
  <c r="D182" s="1"/>
  <c r="C186"/>
  <c r="D186" s="1"/>
  <c r="C190"/>
  <c r="D190" s="1"/>
  <c r="C195"/>
  <c r="D195" s="1"/>
  <c r="C199"/>
  <c r="D199" s="1"/>
  <c r="C203"/>
  <c r="D203" s="1"/>
  <c r="C208"/>
  <c r="D208" s="1"/>
  <c r="C212"/>
  <c r="D212" s="1"/>
  <c r="C216"/>
  <c r="D216" s="1"/>
  <c r="C221"/>
  <c r="D221" s="1"/>
  <c r="C225"/>
  <c r="D225" s="1"/>
  <c r="C230"/>
  <c r="D230" s="1"/>
  <c r="C234"/>
  <c r="D234" s="1"/>
  <c r="C239"/>
  <c r="D239" s="1"/>
  <c r="C243"/>
  <c r="D243" s="1"/>
  <c r="C247"/>
  <c r="D247" s="1"/>
  <c r="C251"/>
  <c r="D251" s="1"/>
  <c r="C256"/>
  <c r="D256" s="1"/>
  <c r="C260"/>
  <c r="D260" s="1"/>
  <c r="C265"/>
  <c r="D265" s="1"/>
  <c r="C269"/>
  <c r="D269" s="1"/>
  <c r="C273"/>
  <c r="D273" s="1"/>
  <c r="C277"/>
  <c r="D277" s="1"/>
  <c r="C282"/>
  <c r="D282" s="1"/>
  <c r="C286"/>
  <c r="D286" s="1"/>
  <c r="C290"/>
  <c r="D290" s="1"/>
  <c r="C294"/>
  <c r="D294" s="1"/>
  <c r="C298"/>
  <c r="D298" s="1"/>
  <c r="C302"/>
  <c r="D302" s="1"/>
  <c r="C307"/>
  <c r="D307" s="1"/>
  <c r="C311"/>
  <c r="D311" s="1"/>
  <c r="C315"/>
  <c r="D315" s="1"/>
  <c r="C319"/>
  <c r="D319" s="1"/>
  <c r="C324"/>
  <c r="D324" s="1"/>
  <c r="C328"/>
  <c r="D328" s="1"/>
  <c r="C332"/>
  <c r="D332" s="1"/>
  <c r="C337"/>
  <c r="D337" s="1"/>
  <c r="C341"/>
  <c r="D341" s="1"/>
  <c r="C346"/>
  <c r="D346" s="1"/>
  <c r="C350"/>
  <c r="D350" s="1"/>
  <c r="C353"/>
  <c r="D353" s="1"/>
  <c r="C358"/>
  <c r="D358" s="1"/>
  <c r="C362"/>
  <c r="D362" s="1"/>
  <c r="C366"/>
  <c r="D366" s="1"/>
  <c r="C22"/>
  <c r="D22" s="1"/>
  <c r="C38"/>
  <c r="D38" s="1"/>
  <c r="C48"/>
  <c r="D48" s="1"/>
  <c r="C57"/>
  <c r="D57" s="1"/>
  <c r="Z57" s="1"/>
  <c r="C64"/>
  <c r="D64" s="1"/>
  <c r="C69"/>
  <c r="D69" s="1"/>
  <c r="C78"/>
  <c r="D78" s="1"/>
  <c r="C87"/>
  <c r="D87" s="1"/>
  <c r="C96"/>
  <c r="D96" s="1"/>
  <c r="C105"/>
  <c r="D105" s="1"/>
  <c r="C109"/>
  <c r="D109" s="1"/>
  <c r="C117"/>
  <c r="D117" s="1"/>
  <c r="C131"/>
  <c r="D131" s="1"/>
  <c r="C10"/>
  <c r="D10" s="1"/>
  <c r="C14"/>
  <c r="D14" s="1"/>
  <c r="C19"/>
  <c r="D19" s="1"/>
  <c r="C23"/>
  <c r="D23" s="1"/>
  <c r="C27"/>
  <c r="D27" s="1"/>
  <c r="C31"/>
  <c r="D31" s="1"/>
  <c r="C35"/>
  <c r="D35" s="1"/>
  <c r="AG35" s="1"/>
  <c r="C39"/>
  <c r="D39" s="1"/>
  <c r="C43"/>
  <c r="D43" s="1"/>
  <c r="C49"/>
  <c r="D49" s="1"/>
  <c r="C54"/>
  <c r="D54" s="1"/>
  <c r="C61"/>
  <c r="D61" s="1"/>
  <c r="C66"/>
  <c r="D66" s="1"/>
  <c r="C70"/>
  <c r="D70" s="1"/>
  <c r="C75"/>
  <c r="D75" s="1"/>
  <c r="C79"/>
  <c r="D79" s="1"/>
  <c r="C84"/>
  <c r="D84" s="1"/>
  <c r="C88"/>
  <c r="D88" s="1"/>
  <c r="C93"/>
  <c r="D93" s="1"/>
  <c r="C97"/>
  <c r="D97" s="1"/>
  <c r="C101"/>
  <c r="D101" s="1"/>
  <c r="C106"/>
  <c r="D106" s="1"/>
  <c r="C110"/>
  <c r="D110" s="1"/>
  <c r="C114"/>
  <c r="D114" s="1"/>
  <c r="C118"/>
  <c r="D118" s="1"/>
  <c r="C123"/>
  <c r="D123" s="1"/>
  <c r="C127"/>
  <c r="D127" s="1"/>
  <c r="C132"/>
  <c r="D132" s="1"/>
  <c r="C135"/>
  <c r="D135" s="1"/>
  <c r="C140"/>
  <c r="D140" s="1"/>
  <c r="C145"/>
  <c r="D145" s="1"/>
  <c r="C149"/>
  <c r="D149" s="1"/>
  <c r="C153"/>
  <c r="D153" s="1"/>
  <c r="C158"/>
  <c r="D158" s="1"/>
  <c r="C162"/>
  <c r="D162" s="1"/>
  <c r="C166"/>
  <c r="D166" s="1"/>
  <c r="C170"/>
  <c r="D170" s="1"/>
  <c r="C179"/>
  <c r="D179" s="1"/>
  <c r="C183"/>
  <c r="D183" s="1"/>
  <c r="C187"/>
  <c r="D187" s="1"/>
  <c r="C191"/>
  <c r="D191" s="1"/>
  <c r="C196"/>
  <c r="D196" s="1"/>
  <c r="C200"/>
  <c r="D200" s="1"/>
  <c r="C204"/>
  <c r="D204" s="1"/>
  <c r="C209"/>
  <c r="D209" s="1"/>
  <c r="C213"/>
  <c r="D213" s="1"/>
  <c r="C217"/>
  <c r="D217" s="1"/>
  <c r="C222"/>
  <c r="D222" s="1"/>
  <c r="C226"/>
  <c r="D226" s="1"/>
  <c r="C231"/>
  <c r="D231" s="1"/>
  <c r="C235"/>
  <c r="D235" s="1"/>
  <c r="C240"/>
  <c r="D240" s="1"/>
  <c r="C244"/>
  <c r="D244" s="1"/>
  <c r="C248"/>
  <c r="D248" s="1"/>
  <c r="C252"/>
  <c r="D252" s="1"/>
  <c r="C257"/>
  <c r="D257" s="1"/>
  <c r="C261"/>
  <c r="D261" s="1"/>
  <c r="C266"/>
  <c r="D266" s="1"/>
  <c r="C270"/>
  <c r="D270" s="1"/>
  <c r="C274"/>
  <c r="D274" s="1"/>
  <c r="C278"/>
  <c r="D278" s="1"/>
  <c r="C283"/>
  <c r="D283" s="1"/>
  <c r="C287"/>
  <c r="D287" s="1"/>
  <c r="C291"/>
  <c r="D291" s="1"/>
  <c r="C295"/>
  <c r="D295" s="1"/>
  <c r="C299"/>
  <c r="D299" s="1"/>
  <c r="C303"/>
  <c r="D303" s="1"/>
  <c r="C308"/>
  <c r="D308" s="1"/>
  <c r="C312"/>
  <c r="D312" s="1"/>
  <c r="C316"/>
  <c r="D316" s="1"/>
  <c r="C320"/>
  <c r="D320" s="1"/>
  <c r="C325"/>
  <c r="D325" s="1"/>
  <c r="C329"/>
  <c r="D329" s="1"/>
  <c r="C334"/>
  <c r="D334" s="1"/>
  <c r="C338"/>
  <c r="D338" s="1"/>
  <c r="C342"/>
  <c r="D342" s="1"/>
  <c r="C347"/>
  <c r="D347" s="1"/>
  <c r="C354"/>
  <c r="D354" s="1"/>
  <c r="C359"/>
  <c r="D359" s="1"/>
  <c r="C363"/>
  <c r="D363" s="1"/>
  <c r="C367"/>
  <c r="D367" s="1"/>
  <c r="C13"/>
  <c r="D13" s="1"/>
  <c r="C30"/>
  <c r="D30" s="1"/>
  <c r="D7"/>
  <c r="C15"/>
  <c r="D15" s="1"/>
  <c r="C24"/>
  <c r="D24" s="1"/>
  <c r="C32"/>
  <c r="D32" s="1"/>
  <c r="C40"/>
  <c r="D40" s="1"/>
  <c r="C55"/>
  <c r="D55" s="1"/>
  <c r="C67"/>
  <c r="D67" s="1"/>
  <c r="C76"/>
  <c r="D76" s="1"/>
  <c r="C85"/>
  <c r="D85" s="1"/>
  <c r="C94"/>
  <c r="D94" s="1"/>
  <c r="C102"/>
  <c r="D102" s="1"/>
  <c r="C111"/>
  <c r="D111" s="1"/>
  <c r="C124"/>
  <c r="D124" s="1"/>
  <c r="C141"/>
  <c r="D141" s="1"/>
  <c r="C150"/>
  <c r="D150" s="1"/>
  <c r="C159"/>
  <c r="D159" s="1"/>
  <c r="C163"/>
  <c r="D163" s="1"/>
  <c r="C172"/>
  <c r="D172" s="1"/>
  <c r="C176"/>
  <c r="D176" s="1"/>
  <c r="C180"/>
  <c r="D180" s="1"/>
  <c r="C188"/>
  <c r="D188" s="1"/>
  <c r="C193"/>
  <c r="D193" s="1"/>
  <c r="C197"/>
  <c r="D197" s="1"/>
  <c r="C201"/>
  <c r="D201" s="1"/>
  <c r="C206"/>
  <c r="D206" s="1"/>
  <c r="C210"/>
  <c r="D210" s="1"/>
  <c r="C214"/>
  <c r="D214" s="1"/>
  <c r="C218"/>
  <c r="D218" s="1"/>
  <c r="C223"/>
  <c r="D223" s="1"/>
  <c r="C227"/>
  <c r="D227" s="1"/>
  <c r="C232"/>
  <c r="D232" s="1"/>
  <c r="C236"/>
  <c r="D236" s="1"/>
  <c r="C241"/>
  <c r="D241" s="1"/>
  <c r="C245"/>
  <c r="D245" s="1"/>
  <c r="C249"/>
  <c r="D249" s="1"/>
  <c r="C253"/>
  <c r="D253" s="1"/>
  <c r="C258"/>
  <c r="D258" s="1"/>
  <c r="C263"/>
  <c r="D263" s="1"/>
  <c r="C267"/>
  <c r="D267" s="1"/>
  <c r="C271"/>
  <c r="D271" s="1"/>
  <c r="C275"/>
  <c r="D275" s="1"/>
  <c r="C279"/>
  <c r="D279" s="1"/>
  <c r="C284"/>
  <c r="D284" s="1"/>
  <c r="C288"/>
  <c r="D288" s="1"/>
  <c r="C292"/>
  <c r="D292" s="1"/>
  <c r="C296"/>
  <c r="D296" s="1"/>
  <c r="C300"/>
  <c r="D300" s="1"/>
  <c r="C304"/>
  <c r="D304" s="1"/>
  <c r="C309"/>
  <c r="D309" s="1"/>
  <c r="C313"/>
  <c r="D313" s="1"/>
  <c r="C317"/>
  <c r="D317" s="1"/>
  <c r="C322"/>
  <c r="D322" s="1"/>
  <c r="C326"/>
  <c r="D326" s="1"/>
  <c r="C330"/>
  <c r="D330" s="1"/>
  <c r="C335"/>
  <c r="D335" s="1"/>
  <c r="C339"/>
  <c r="D339" s="1"/>
  <c r="C343"/>
  <c r="D343" s="1"/>
  <c r="C348"/>
  <c r="D348" s="1"/>
  <c r="C351"/>
  <c r="D351" s="1"/>
  <c r="C355"/>
  <c r="D355" s="1"/>
  <c r="C360"/>
  <c r="D360" s="1"/>
  <c r="C364"/>
  <c r="D364" s="1"/>
  <c r="C368"/>
  <c r="D368" s="1"/>
  <c r="B367" l="1"/>
  <c r="Z367" s="1"/>
  <c r="B334"/>
  <c r="Z334" s="1"/>
  <c r="B316"/>
  <c r="Z316" s="1"/>
  <c r="B299"/>
  <c r="Z299" s="1"/>
  <c r="B283"/>
  <c r="Z283" s="1"/>
  <c r="B266"/>
  <c r="Z266" s="1"/>
  <c r="B248"/>
  <c r="Z248" s="1"/>
  <c r="B231"/>
  <c r="Z231" s="1"/>
  <c r="B213"/>
  <c r="Z213" s="1"/>
  <c r="B196"/>
  <c r="Z196" s="1"/>
  <c r="B187"/>
  <c r="Z187" s="1"/>
  <c r="B158"/>
  <c r="Z158" s="1"/>
  <c r="B140"/>
  <c r="Z140" s="1"/>
  <c r="B123"/>
  <c r="Z123" s="1"/>
  <c r="B106"/>
  <c r="Z106" s="1"/>
  <c r="B88"/>
  <c r="Z88" s="1"/>
  <c r="B61"/>
  <c r="Z61" s="1"/>
  <c r="B368"/>
  <c r="Z368" s="1"/>
  <c r="B360"/>
  <c r="Z360" s="1"/>
  <c r="B351"/>
  <c r="Z351" s="1"/>
  <c r="B343"/>
  <c r="Z343" s="1"/>
  <c r="B335"/>
  <c r="Z335" s="1"/>
  <c r="B326"/>
  <c r="Z326" s="1"/>
  <c r="B317"/>
  <c r="Z317" s="1"/>
  <c r="B309"/>
  <c r="Z309" s="1"/>
  <c r="B300"/>
  <c r="Z300" s="1"/>
  <c r="B292"/>
  <c r="Z292" s="1"/>
  <c r="B284"/>
  <c r="Z284" s="1"/>
  <c r="B275"/>
  <c r="Z275" s="1"/>
  <c r="B267"/>
  <c r="Z267" s="1"/>
  <c r="B258"/>
  <c r="Z258" s="1"/>
  <c r="B249"/>
  <c r="Z249" s="1"/>
  <c r="B241"/>
  <c r="Z241" s="1"/>
  <c r="B232"/>
  <c r="Z232" s="1"/>
  <c r="B223"/>
  <c r="Z223" s="1"/>
  <c r="B214"/>
  <c r="Z214" s="1"/>
  <c r="B206"/>
  <c r="Z206" s="1"/>
  <c r="B197"/>
  <c r="Z197" s="1"/>
  <c r="B188"/>
  <c r="Z188" s="1"/>
  <c r="B176"/>
  <c r="Z176" s="1"/>
  <c r="B172"/>
  <c r="Z172" s="1"/>
  <c r="B159"/>
  <c r="Z159" s="1"/>
  <c r="B141"/>
  <c r="Z141" s="1"/>
  <c r="B124"/>
  <c r="Z124" s="1"/>
  <c r="B102"/>
  <c r="Z102" s="1"/>
  <c r="B85"/>
  <c r="Z85" s="1"/>
  <c r="B67"/>
  <c r="Z67" s="1"/>
  <c r="B40"/>
  <c r="B24"/>
  <c r="B13"/>
  <c r="B167"/>
  <c r="Z167" s="1"/>
  <c r="B146"/>
  <c r="Z146" s="1"/>
  <c r="B129"/>
  <c r="Z129" s="1"/>
  <c r="B115"/>
  <c r="Z115" s="1"/>
  <c r="B98"/>
  <c r="Z98" s="1"/>
  <c r="B81"/>
  <c r="Z81" s="1"/>
  <c r="B62"/>
  <c r="Z62" s="1"/>
  <c r="B50"/>
  <c r="Z50" s="1"/>
  <c r="B36"/>
  <c r="B20"/>
  <c r="B34"/>
  <c r="B354"/>
  <c r="Z354" s="1"/>
  <c r="B338"/>
  <c r="Z338" s="1"/>
  <c r="B320"/>
  <c r="Z320" s="1"/>
  <c r="B303"/>
  <c r="Z303" s="1"/>
  <c r="B287"/>
  <c r="Z287" s="1"/>
  <c r="B270"/>
  <c r="Z270" s="1"/>
  <c r="B252"/>
  <c r="Z252" s="1"/>
  <c r="B235"/>
  <c r="Z235" s="1"/>
  <c r="B217"/>
  <c r="Z217" s="1"/>
  <c r="B200"/>
  <c r="Z200" s="1"/>
  <c r="B162"/>
  <c r="Z162" s="1"/>
  <c r="B145"/>
  <c r="Z145" s="1"/>
  <c r="B127"/>
  <c r="Z127" s="1"/>
  <c r="B110"/>
  <c r="Z110" s="1"/>
  <c r="B93"/>
  <c r="Z93" s="1"/>
  <c r="B75"/>
  <c r="Z75" s="1"/>
  <c r="B66"/>
  <c r="Z66" s="1"/>
  <c r="B49"/>
  <c r="Z49" s="1"/>
  <c r="B39"/>
  <c r="B31"/>
  <c r="B23"/>
  <c r="B14"/>
  <c r="B131"/>
  <c r="Z131" s="1"/>
  <c r="B109"/>
  <c r="Z109" s="1"/>
  <c r="B96"/>
  <c r="Z96" s="1"/>
  <c r="B78"/>
  <c r="Z78" s="1"/>
  <c r="B64"/>
  <c r="Z64" s="1"/>
  <c r="B48"/>
  <c r="Z48" s="1"/>
  <c r="B22"/>
  <c r="B362"/>
  <c r="Z362" s="1"/>
  <c r="B353"/>
  <c r="Z353" s="1"/>
  <c r="B346"/>
  <c r="Z346" s="1"/>
  <c r="B337"/>
  <c r="Z337" s="1"/>
  <c r="B328"/>
  <c r="Z328" s="1"/>
  <c r="B319"/>
  <c r="Z319" s="1"/>
  <c r="B311"/>
  <c r="Z311" s="1"/>
  <c r="B302"/>
  <c r="Z302" s="1"/>
  <c r="B294"/>
  <c r="Z294" s="1"/>
  <c r="B286"/>
  <c r="Z286" s="1"/>
  <c r="B277"/>
  <c r="Z277" s="1"/>
  <c r="B269"/>
  <c r="Z269" s="1"/>
  <c r="B260"/>
  <c r="Z260" s="1"/>
  <c r="B251"/>
  <c r="Z251" s="1"/>
  <c r="B243"/>
  <c r="Z243" s="1"/>
  <c r="B234"/>
  <c r="Z234" s="1"/>
  <c r="B225"/>
  <c r="Z225" s="1"/>
  <c r="B216"/>
  <c r="Z216" s="1"/>
  <c r="B208"/>
  <c r="Z208" s="1"/>
  <c r="B199"/>
  <c r="Z199" s="1"/>
  <c r="B190"/>
  <c r="Z190" s="1"/>
  <c r="B182"/>
  <c r="Z182" s="1"/>
  <c r="B169"/>
  <c r="Z169" s="1"/>
  <c r="B161"/>
  <c r="Z161" s="1"/>
  <c r="B152"/>
  <c r="Z152" s="1"/>
  <c r="B143"/>
  <c r="Z143" s="1"/>
  <c r="B134"/>
  <c r="Z134" s="1"/>
  <c r="B122"/>
  <c r="Z122" s="1"/>
  <c r="B100"/>
  <c r="Z100" s="1"/>
  <c r="B83"/>
  <c r="Z83" s="1"/>
  <c r="B60"/>
  <c r="Z60" s="1"/>
  <c r="B42"/>
  <c r="B9"/>
  <c r="B361"/>
  <c r="Z361" s="1"/>
  <c r="B352"/>
  <c r="Z352" s="1"/>
  <c r="B344"/>
  <c r="Z344" s="1"/>
  <c r="B336"/>
  <c r="Z336" s="1"/>
  <c r="B327"/>
  <c r="Z327" s="1"/>
  <c r="B318"/>
  <c r="Z318" s="1"/>
  <c r="B310"/>
  <c r="Z310" s="1"/>
  <c r="B301"/>
  <c r="Z301" s="1"/>
  <c r="B293"/>
  <c r="Z293" s="1"/>
  <c r="B285"/>
  <c r="Z285" s="1"/>
  <c r="B276"/>
  <c r="Z276" s="1"/>
  <c r="B268"/>
  <c r="Z268" s="1"/>
  <c r="B259"/>
  <c r="Z259" s="1"/>
  <c r="B250"/>
  <c r="Z250" s="1"/>
  <c r="B242"/>
  <c r="Z242" s="1"/>
  <c r="B233"/>
  <c r="Z233" s="1"/>
  <c r="B224"/>
  <c r="Z224" s="1"/>
  <c r="B215"/>
  <c r="Z215" s="1"/>
  <c r="B207"/>
  <c r="Z207" s="1"/>
  <c r="B198"/>
  <c r="Z198" s="1"/>
  <c r="B189"/>
  <c r="Z189" s="1"/>
  <c r="B181"/>
  <c r="Z181" s="1"/>
  <c r="B175"/>
  <c r="Z175" s="1"/>
  <c r="B168"/>
  <c r="Z168" s="1"/>
  <c r="B160"/>
  <c r="Z160" s="1"/>
  <c r="B151"/>
  <c r="Z151" s="1"/>
  <c r="B142"/>
  <c r="Z142" s="1"/>
  <c r="B133"/>
  <c r="Z133" s="1"/>
  <c r="B125"/>
  <c r="Z125" s="1"/>
  <c r="B116"/>
  <c r="Z116" s="1"/>
  <c r="B108"/>
  <c r="Z108" s="1"/>
  <c r="B99"/>
  <c r="Z99" s="1"/>
  <c r="B91"/>
  <c r="Z91" s="1"/>
  <c r="B82"/>
  <c r="Z82" s="1"/>
  <c r="B73"/>
  <c r="Z73" s="1"/>
  <c r="B63"/>
  <c r="Z63" s="1"/>
  <c r="B56"/>
  <c r="Z56" s="1"/>
  <c r="AS45" i="7"/>
  <c r="B37" i="8"/>
  <c r="B29"/>
  <c r="B21"/>
  <c r="B12"/>
  <c r="B363"/>
  <c r="Z363" s="1"/>
  <c r="B347"/>
  <c r="Z347" s="1"/>
  <c r="B329"/>
  <c r="Z329" s="1"/>
  <c r="B312"/>
  <c r="Z312" s="1"/>
  <c r="B295"/>
  <c r="Z295" s="1"/>
  <c r="B278"/>
  <c r="Z278" s="1"/>
  <c r="B261"/>
  <c r="Z261" s="1"/>
  <c r="B244"/>
  <c r="Z244" s="1"/>
  <c r="B226"/>
  <c r="Z226" s="1"/>
  <c r="B209"/>
  <c r="Z209" s="1"/>
  <c r="B191"/>
  <c r="Z191" s="1"/>
  <c r="B183"/>
  <c r="Z183" s="1"/>
  <c r="B170"/>
  <c r="Z170" s="1"/>
  <c r="B153"/>
  <c r="Z153" s="1"/>
  <c r="B135"/>
  <c r="Z135" s="1"/>
  <c r="B118"/>
  <c r="Z118" s="1"/>
  <c r="B101"/>
  <c r="Z101" s="1"/>
  <c r="B84"/>
  <c r="Z84" s="1"/>
  <c r="B364"/>
  <c r="Z364" s="1"/>
  <c r="B355"/>
  <c r="Z355" s="1"/>
  <c r="B348"/>
  <c r="Z348" s="1"/>
  <c r="B339"/>
  <c r="Z339" s="1"/>
  <c r="B330"/>
  <c r="Z330" s="1"/>
  <c r="B322"/>
  <c r="Z322" s="1"/>
  <c r="B313"/>
  <c r="Z313" s="1"/>
  <c r="B304"/>
  <c r="Z304" s="1"/>
  <c r="B296"/>
  <c r="Z296" s="1"/>
  <c r="B288"/>
  <c r="Z288" s="1"/>
  <c r="B279"/>
  <c r="Z279" s="1"/>
  <c r="B271"/>
  <c r="Z271" s="1"/>
  <c r="B263"/>
  <c r="Z263" s="1"/>
  <c r="B253"/>
  <c r="Z253" s="1"/>
  <c r="B245"/>
  <c r="Z245" s="1"/>
  <c r="B236"/>
  <c r="Z236" s="1"/>
  <c r="B227"/>
  <c r="Z227" s="1"/>
  <c r="B218"/>
  <c r="Z218" s="1"/>
  <c r="B210"/>
  <c r="Z210" s="1"/>
  <c r="B201"/>
  <c r="Z201" s="1"/>
  <c r="B193"/>
  <c r="Z193" s="1"/>
  <c r="B180"/>
  <c r="Z180" s="1"/>
  <c r="B163"/>
  <c r="Z163" s="1"/>
  <c r="B150"/>
  <c r="Z150" s="1"/>
  <c r="B111"/>
  <c r="Z111" s="1"/>
  <c r="B94"/>
  <c r="Z94" s="1"/>
  <c r="B76"/>
  <c r="Z76" s="1"/>
  <c r="B55"/>
  <c r="Z55" s="1"/>
  <c r="B32"/>
  <c r="B15"/>
  <c r="B30"/>
  <c r="B184"/>
  <c r="Z184" s="1"/>
  <c r="B154"/>
  <c r="Z154" s="1"/>
  <c r="B136"/>
  <c r="Z136" s="1"/>
  <c r="B119"/>
  <c r="Z119" s="1"/>
  <c r="B107"/>
  <c r="Z107" s="1"/>
  <c r="B89"/>
  <c r="Z89" s="1"/>
  <c r="B72"/>
  <c r="Z72" s="1"/>
  <c r="B44"/>
  <c r="B28"/>
  <c r="B11"/>
  <c r="AS17" i="7"/>
  <c r="B359" i="8"/>
  <c r="Z359" s="1"/>
  <c r="B342"/>
  <c r="Z342" s="1"/>
  <c r="B325"/>
  <c r="Z325" s="1"/>
  <c r="B308"/>
  <c r="Z308" s="1"/>
  <c r="B291"/>
  <c r="Z291" s="1"/>
  <c r="B274"/>
  <c r="Z274" s="1"/>
  <c r="B257"/>
  <c r="Z257" s="1"/>
  <c r="B240"/>
  <c r="Z240" s="1"/>
  <c r="B222"/>
  <c r="Z222" s="1"/>
  <c r="B204"/>
  <c r="Z204" s="1"/>
  <c r="B179"/>
  <c r="Z179" s="1"/>
  <c r="B166"/>
  <c r="Z166" s="1"/>
  <c r="B149"/>
  <c r="Z149" s="1"/>
  <c r="B132"/>
  <c r="Z132" s="1"/>
  <c r="B114"/>
  <c r="Z114" s="1"/>
  <c r="B97"/>
  <c r="Z97" s="1"/>
  <c r="B79"/>
  <c r="Z79" s="1"/>
  <c r="B70"/>
  <c r="Z70" s="1"/>
  <c r="B54"/>
  <c r="Z54" s="1"/>
  <c r="B43"/>
  <c r="B35"/>
  <c r="B27"/>
  <c r="B19"/>
  <c r="B10"/>
  <c r="B117"/>
  <c r="Z117" s="1"/>
  <c r="B105"/>
  <c r="Z105" s="1"/>
  <c r="B87"/>
  <c r="Z87" s="1"/>
  <c r="B69"/>
  <c r="Z69" s="1"/>
  <c r="B38"/>
  <c r="B366"/>
  <c r="Z366" s="1"/>
  <c r="B358"/>
  <c r="Z358" s="1"/>
  <c r="B350"/>
  <c r="Z350" s="1"/>
  <c r="B341"/>
  <c r="Z341" s="1"/>
  <c r="B332"/>
  <c r="Z332" s="1"/>
  <c r="B324"/>
  <c r="Z324" s="1"/>
  <c r="B315"/>
  <c r="Z315" s="1"/>
  <c r="B307"/>
  <c r="Z307" s="1"/>
  <c r="B298"/>
  <c r="Z298" s="1"/>
  <c r="B290"/>
  <c r="Z290" s="1"/>
  <c r="B282"/>
  <c r="Z282" s="1"/>
  <c r="B273"/>
  <c r="Z273" s="1"/>
  <c r="B265"/>
  <c r="Z265" s="1"/>
  <c r="B256"/>
  <c r="Z256" s="1"/>
  <c r="B247"/>
  <c r="Z247" s="1"/>
  <c r="B239"/>
  <c r="Z239" s="1"/>
  <c r="B230"/>
  <c r="Z230" s="1"/>
  <c r="B221"/>
  <c r="Z221" s="1"/>
  <c r="B212"/>
  <c r="Z212" s="1"/>
  <c r="B203"/>
  <c r="Z203" s="1"/>
  <c r="B195"/>
  <c r="Z195" s="1"/>
  <c r="B186"/>
  <c r="Z186" s="1"/>
  <c r="B177"/>
  <c r="Z177" s="1"/>
  <c r="B174"/>
  <c r="Z174" s="1"/>
  <c r="B165"/>
  <c r="Z165" s="1"/>
  <c r="B156"/>
  <c r="Z156" s="1"/>
  <c r="B148"/>
  <c r="Z148" s="1"/>
  <c r="B139"/>
  <c r="Z139" s="1"/>
  <c r="B126"/>
  <c r="Z126" s="1"/>
  <c r="B113"/>
  <c r="Z113" s="1"/>
  <c r="B92"/>
  <c r="Z92" s="1"/>
  <c r="B74"/>
  <c r="Z74" s="1"/>
  <c r="B53"/>
  <c r="Z53" s="1"/>
  <c r="B26"/>
  <c r="B365"/>
  <c r="Z365" s="1"/>
  <c r="B357"/>
  <c r="Z357" s="1"/>
  <c r="B349"/>
  <c r="Z349" s="1"/>
  <c r="B340"/>
  <c r="Z340" s="1"/>
  <c r="B331"/>
  <c r="Z331" s="1"/>
  <c r="B323"/>
  <c r="Z323" s="1"/>
  <c r="B314"/>
  <c r="Z314" s="1"/>
  <c r="B306"/>
  <c r="Z306" s="1"/>
  <c r="B297"/>
  <c r="Z297" s="1"/>
  <c r="B289"/>
  <c r="Z289" s="1"/>
  <c r="B281"/>
  <c r="Z281" s="1"/>
  <c r="B272"/>
  <c r="Z272" s="1"/>
  <c r="B264"/>
  <c r="Z264" s="1"/>
  <c r="B255"/>
  <c r="Z255" s="1"/>
  <c r="B246"/>
  <c r="Z246" s="1"/>
  <c r="B237"/>
  <c r="B228"/>
  <c r="Z228" s="1"/>
  <c r="B220"/>
  <c r="Z220" s="1"/>
  <c r="B211"/>
  <c r="Z211" s="1"/>
  <c r="B202"/>
  <c r="Z202" s="1"/>
  <c r="B194"/>
  <c r="Z194" s="1"/>
  <c r="B185"/>
  <c r="Z185" s="1"/>
  <c r="B173"/>
  <c r="Z173" s="1"/>
  <c r="B164"/>
  <c r="Z164" s="1"/>
  <c r="B155"/>
  <c r="Z155" s="1"/>
  <c r="B147"/>
  <c r="Z147" s="1"/>
  <c r="B138"/>
  <c r="Z138" s="1"/>
  <c r="B130"/>
  <c r="Z130" s="1"/>
  <c r="B121"/>
  <c r="Z121" s="1"/>
  <c r="B112"/>
  <c r="Z112" s="1"/>
  <c r="B103"/>
  <c r="Z103" s="1"/>
  <c r="B95"/>
  <c r="Z95" s="1"/>
  <c r="B86"/>
  <c r="Z86" s="1"/>
  <c r="B77"/>
  <c r="Z77" s="1"/>
  <c r="B68"/>
  <c r="Z68" s="1"/>
  <c r="B59"/>
  <c r="Z59" s="1"/>
  <c r="B51"/>
  <c r="Z51" s="1"/>
  <c r="B41"/>
  <c r="B33"/>
  <c r="B25"/>
  <c r="B16"/>
  <c r="B8"/>
  <c r="N8" s="1"/>
  <c r="Z237" l="1"/>
  <c r="W237"/>
  <c r="W45" s="1"/>
  <c r="W35"/>
  <c r="W17" s="1"/>
  <c r="H35"/>
  <c r="Z45"/>
  <c r="Z33"/>
  <c r="AC33"/>
  <c r="AF33"/>
  <c r="Z25"/>
  <c r="AC25"/>
  <c r="AF25"/>
  <c r="Z41"/>
  <c r="AC41"/>
  <c r="AF41"/>
  <c r="Z26"/>
  <c r="AC26"/>
  <c r="AF26"/>
  <c r="Z38"/>
  <c r="AF38"/>
  <c r="AC38"/>
  <c r="T19"/>
  <c r="Z19"/>
  <c r="AC19"/>
  <c r="AF19"/>
  <c r="Z35"/>
  <c r="AC35"/>
  <c r="AF35"/>
  <c r="Z44"/>
  <c r="AF44"/>
  <c r="AC44"/>
  <c r="Z30"/>
  <c r="AC30"/>
  <c r="AF30"/>
  <c r="AF32"/>
  <c r="Z32"/>
  <c r="AC32"/>
  <c r="Z21"/>
  <c r="AF21"/>
  <c r="AC21"/>
  <c r="Z37"/>
  <c r="AC37"/>
  <c r="AF37"/>
  <c r="Z42"/>
  <c r="AF42"/>
  <c r="AC42"/>
  <c r="Z22"/>
  <c r="AF22"/>
  <c r="AC22"/>
  <c r="Z23"/>
  <c r="AF23"/>
  <c r="AC23"/>
  <c r="Z39"/>
  <c r="AF39"/>
  <c r="AC39"/>
  <c r="Z20"/>
  <c r="AC20"/>
  <c r="AF20"/>
  <c r="Z40"/>
  <c r="AC40"/>
  <c r="AF40"/>
  <c r="Z27"/>
  <c r="AC27"/>
  <c r="AF27"/>
  <c r="Z43"/>
  <c r="AF43"/>
  <c r="AC43"/>
  <c r="Z28"/>
  <c r="AC28"/>
  <c r="AF28"/>
  <c r="Z29"/>
  <c r="AF29"/>
  <c r="AC29"/>
  <c r="Z31"/>
  <c r="AF31"/>
  <c r="AC31"/>
  <c r="Z34"/>
  <c r="AF34"/>
  <c r="AC34"/>
  <c r="Z36"/>
  <c r="AF36"/>
  <c r="AC36"/>
  <c r="Z24"/>
  <c r="AF24"/>
  <c r="AC24"/>
  <c r="Q19"/>
  <c r="K8"/>
  <c r="AS369" i="7"/>
  <c r="N354" i="8"/>
  <c r="E8"/>
  <c r="K16"/>
  <c r="E16"/>
  <c r="N16"/>
  <c r="Q25"/>
  <c r="T25"/>
  <c r="K25"/>
  <c r="E25"/>
  <c r="N25"/>
  <c r="Q33"/>
  <c r="T33"/>
  <c r="K33"/>
  <c r="E33"/>
  <c r="N33"/>
  <c r="Q41"/>
  <c r="T41"/>
  <c r="K41"/>
  <c r="E41"/>
  <c r="N41"/>
  <c r="Q51"/>
  <c r="T51"/>
  <c r="E51"/>
  <c r="N51"/>
  <c r="Q59"/>
  <c r="T59"/>
  <c r="E59"/>
  <c r="N59"/>
  <c r="Q68"/>
  <c r="T68"/>
  <c r="E68"/>
  <c r="N68"/>
  <c r="Q77"/>
  <c r="T77"/>
  <c r="E77"/>
  <c r="N77"/>
  <c r="T86"/>
  <c r="Q86"/>
  <c r="E86"/>
  <c r="N86"/>
  <c r="T95"/>
  <c r="Q95"/>
  <c r="E95"/>
  <c r="N95"/>
  <c r="T103"/>
  <c r="Q103"/>
  <c r="E103"/>
  <c r="N103"/>
  <c r="T112"/>
  <c r="Q112"/>
  <c r="E112"/>
  <c r="N112"/>
  <c r="T121"/>
  <c r="Q121"/>
  <c r="E121"/>
  <c r="N121"/>
  <c r="T130"/>
  <c r="Q130"/>
  <c r="E130"/>
  <c r="N130"/>
  <c r="T138"/>
  <c r="Q138"/>
  <c r="E138"/>
  <c r="N138"/>
  <c r="T147"/>
  <c r="Q147"/>
  <c r="E147"/>
  <c r="N147"/>
  <c r="T155"/>
  <c r="Q155"/>
  <c r="N155"/>
  <c r="E155"/>
  <c r="T164"/>
  <c r="Q164"/>
  <c r="N164"/>
  <c r="E164"/>
  <c r="T173"/>
  <c r="Q173"/>
  <c r="N173"/>
  <c r="E173"/>
  <c r="T185"/>
  <c r="Q185"/>
  <c r="N185"/>
  <c r="E185"/>
  <c r="T194"/>
  <c r="Q194"/>
  <c r="N194"/>
  <c r="E194"/>
  <c r="T202"/>
  <c r="Q202"/>
  <c r="N202"/>
  <c r="E202"/>
  <c r="T211"/>
  <c r="Q211"/>
  <c r="N211"/>
  <c r="E211"/>
  <c r="T220"/>
  <c r="Q220"/>
  <c r="N220"/>
  <c r="E220"/>
  <c r="T228"/>
  <c r="Q228"/>
  <c r="N228"/>
  <c r="E228"/>
  <c r="T237"/>
  <c r="Q237"/>
  <c r="N237"/>
  <c r="E237"/>
  <c r="T246"/>
  <c r="Q246"/>
  <c r="N246"/>
  <c r="E246"/>
  <c r="T255"/>
  <c r="Q255"/>
  <c r="N255"/>
  <c r="E255"/>
  <c r="T264"/>
  <c r="Q264"/>
  <c r="N264"/>
  <c r="E264"/>
  <c r="T272"/>
  <c r="Q272"/>
  <c r="N272"/>
  <c r="E272"/>
  <c r="T281"/>
  <c r="Q281"/>
  <c r="N281"/>
  <c r="E281"/>
  <c r="T289"/>
  <c r="Q289"/>
  <c r="N289"/>
  <c r="E289"/>
  <c r="T297"/>
  <c r="Q297"/>
  <c r="N297"/>
  <c r="E297"/>
  <c r="T306"/>
  <c r="Q306"/>
  <c r="N306"/>
  <c r="E306"/>
  <c r="T314"/>
  <c r="Q314"/>
  <c r="N314"/>
  <c r="E314"/>
  <c r="T323"/>
  <c r="Q323"/>
  <c r="N323"/>
  <c r="E323"/>
  <c r="T331"/>
  <c r="Q331"/>
  <c r="N331"/>
  <c r="E331"/>
  <c r="T340"/>
  <c r="Q340"/>
  <c r="N340"/>
  <c r="E340"/>
  <c r="T349"/>
  <c r="Q349"/>
  <c r="N349"/>
  <c r="E349"/>
  <c r="T357"/>
  <c r="Q357"/>
  <c r="N357"/>
  <c r="E357"/>
  <c r="T365"/>
  <c r="Q365"/>
  <c r="N365"/>
  <c r="E365"/>
  <c r="T26"/>
  <c r="Q26"/>
  <c r="N26"/>
  <c r="K26"/>
  <c r="E26"/>
  <c r="T53"/>
  <c r="Q53"/>
  <c r="N53"/>
  <c r="E53"/>
  <c r="T74"/>
  <c r="Q74"/>
  <c r="N74"/>
  <c r="E74"/>
  <c r="T92"/>
  <c r="Q92"/>
  <c r="N92"/>
  <c r="E92"/>
  <c r="T113"/>
  <c r="Q113"/>
  <c r="N113"/>
  <c r="E113"/>
  <c r="T126"/>
  <c r="Q126"/>
  <c r="N126"/>
  <c r="E126"/>
  <c r="T139"/>
  <c r="Q139"/>
  <c r="N139"/>
  <c r="E139"/>
  <c r="T148"/>
  <c r="Q148"/>
  <c r="N148"/>
  <c r="E148"/>
  <c r="T156"/>
  <c r="Q156"/>
  <c r="N156"/>
  <c r="E156"/>
  <c r="T165"/>
  <c r="Q165"/>
  <c r="N165"/>
  <c r="E165"/>
  <c r="T174"/>
  <c r="Q174"/>
  <c r="N174"/>
  <c r="E174"/>
  <c r="T177"/>
  <c r="Q177"/>
  <c r="N177"/>
  <c r="E177"/>
  <c r="T186"/>
  <c r="Q186"/>
  <c r="N186"/>
  <c r="E186"/>
  <c r="T195"/>
  <c r="Q195"/>
  <c r="N195"/>
  <c r="E195"/>
  <c r="T203"/>
  <c r="Q203"/>
  <c r="N203"/>
  <c r="E203"/>
  <c r="T212"/>
  <c r="Q212"/>
  <c r="N212"/>
  <c r="E212"/>
  <c r="T221"/>
  <c r="Q221"/>
  <c r="N221"/>
  <c r="E221"/>
  <c r="T230"/>
  <c r="Q230"/>
  <c r="N230"/>
  <c r="E230"/>
  <c r="T239"/>
  <c r="Q239"/>
  <c r="N239"/>
  <c r="E239"/>
  <c r="T247"/>
  <c r="Q247"/>
  <c r="N247"/>
  <c r="E247"/>
  <c r="T256"/>
  <c r="Q256"/>
  <c r="N256"/>
  <c r="E256"/>
  <c r="T265"/>
  <c r="Q265"/>
  <c r="N265"/>
  <c r="E265"/>
  <c r="T273"/>
  <c r="Q273"/>
  <c r="N273"/>
  <c r="E273"/>
  <c r="T282"/>
  <c r="Q282"/>
  <c r="N282"/>
  <c r="E282"/>
  <c r="T290"/>
  <c r="Q290"/>
  <c r="N290"/>
  <c r="E290"/>
  <c r="T298"/>
  <c r="Q298"/>
  <c r="N298"/>
  <c r="E298"/>
  <c r="T307"/>
  <c r="Q307"/>
  <c r="N307"/>
  <c r="E307"/>
  <c r="T315"/>
  <c r="Q315"/>
  <c r="N315"/>
  <c r="E315"/>
  <c r="T324"/>
  <c r="Q324"/>
  <c r="N324"/>
  <c r="E324"/>
  <c r="T332"/>
  <c r="Q332"/>
  <c r="N332"/>
  <c r="E332"/>
  <c r="T341"/>
  <c r="Q341"/>
  <c r="N341"/>
  <c r="E341"/>
  <c r="T350"/>
  <c r="Q350"/>
  <c r="N350"/>
  <c r="E350"/>
  <c r="T358"/>
  <c r="Q358"/>
  <c r="N358"/>
  <c r="E358"/>
  <c r="T366"/>
  <c r="Q366"/>
  <c r="N366"/>
  <c r="E366"/>
  <c r="T38"/>
  <c r="Q38"/>
  <c r="N38"/>
  <c r="K38"/>
  <c r="E38"/>
  <c r="T57"/>
  <c r="Q57"/>
  <c r="N57"/>
  <c r="E57"/>
  <c r="T69"/>
  <c r="Q69"/>
  <c r="N69"/>
  <c r="E69"/>
  <c r="T87"/>
  <c r="Q87"/>
  <c r="N87"/>
  <c r="E87"/>
  <c r="T105"/>
  <c r="Q105"/>
  <c r="N105"/>
  <c r="E105"/>
  <c r="T117"/>
  <c r="Q117"/>
  <c r="N117"/>
  <c r="E117"/>
  <c r="K10"/>
  <c r="E10"/>
  <c r="N10"/>
  <c r="K19"/>
  <c r="E19"/>
  <c r="N19"/>
  <c r="Q27"/>
  <c r="T27"/>
  <c r="K27"/>
  <c r="E27"/>
  <c r="N27"/>
  <c r="T35"/>
  <c r="Q35"/>
  <c r="N35"/>
  <c r="K35"/>
  <c r="E35"/>
  <c r="T43"/>
  <c r="Q43"/>
  <c r="N43"/>
  <c r="K43"/>
  <c r="E43"/>
  <c r="T54"/>
  <c r="Q54"/>
  <c r="N54"/>
  <c r="E54"/>
  <c r="T70"/>
  <c r="Q70"/>
  <c r="N70"/>
  <c r="E70"/>
  <c r="T79"/>
  <c r="Q79"/>
  <c r="N79"/>
  <c r="E79"/>
  <c r="T97"/>
  <c r="Q97"/>
  <c r="N97"/>
  <c r="E97"/>
  <c r="T114"/>
  <c r="Q114"/>
  <c r="N114"/>
  <c r="E114"/>
  <c r="T132"/>
  <c r="Q132"/>
  <c r="N132"/>
  <c r="E132"/>
  <c r="T149"/>
  <c r="Q149"/>
  <c r="N149"/>
  <c r="E149"/>
  <c r="T166"/>
  <c r="Q166"/>
  <c r="N166"/>
  <c r="E166"/>
  <c r="T179"/>
  <c r="Q179"/>
  <c r="N179"/>
  <c r="E179"/>
  <c r="T204"/>
  <c r="Q204"/>
  <c r="N204"/>
  <c r="E204"/>
  <c r="T222"/>
  <c r="Q222"/>
  <c r="N222"/>
  <c r="E222"/>
  <c r="T240"/>
  <c r="Q240"/>
  <c r="N240"/>
  <c r="E240"/>
  <c r="T257"/>
  <c r="Q257"/>
  <c r="N257"/>
  <c r="E257"/>
  <c r="T274"/>
  <c r="Q274"/>
  <c r="N274"/>
  <c r="E274"/>
  <c r="T291"/>
  <c r="Q291"/>
  <c r="N291"/>
  <c r="E291"/>
  <c r="T308"/>
  <c r="Q308"/>
  <c r="N308"/>
  <c r="E308"/>
  <c r="T325"/>
  <c r="Q325"/>
  <c r="N325"/>
  <c r="E325"/>
  <c r="T342"/>
  <c r="Q342"/>
  <c r="N342"/>
  <c r="E342"/>
  <c r="T359"/>
  <c r="Q359"/>
  <c r="N359"/>
  <c r="E359"/>
  <c r="N11"/>
  <c r="K11"/>
  <c r="E11"/>
  <c r="T28"/>
  <c r="Q28"/>
  <c r="N28"/>
  <c r="K28"/>
  <c r="E28"/>
  <c r="T44"/>
  <c r="Q44"/>
  <c r="N44"/>
  <c r="K44"/>
  <c r="E44"/>
  <c r="T58"/>
  <c r="Q58"/>
  <c r="N58"/>
  <c r="E58"/>
  <c r="T72"/>
  <c r="Q72"/>
  <c r="N72"/>
  <c r="E72"/>
  <c r="T89"/>
  <c r="Q89"/>
  <c r="N89"/>
  <c r="E89"/>
  <c r="T107"/>
  <c r="Q107"/>
  <c r="N107"/>
  <c r="E107"/>
  <c r="T119"/>
  <c r="Q119"/>
  <c r="N119"/>
  <c r="E119"/>
  <c r="T136"/>
  <c r="Q136"/>
  <c r="N136"/>
  <c r="E136"/>
  <c r="T154"/>
  <c r="Q154"/>
  <c r="N154"/>
  <c r="E154"/>
  <c r="T184"/>
  <c r="Q184"/>
  <c r="N184"/>
  <c r="E184"/>
  <c r="T30"/>
  <c r="Q30"/>
  <c r="N30"/>
  <c r="K30"/>
  <c r="E30"/>
  <c r="N15"/>
  <c r="K15"/>
  <c r="E15"/>
  <c r="T32"/>
  <c r="Q32"/>
  <c r="N32"/>
  <c r="K32"/>
  <c r="E32"/>
  <c r="T55"/>
  <c r="Q55"/>
  <c r="N55"/>
  <c r="E55"/>
  <c r="T76"/>
  <c r="Q76"/>
  <c r="N76"/>
  <c r="E76"/>
  <c r="T94"/>
  <c r="Q94"/>
  <c r="N94"/>
  <c r="E94"/>
  <c r="T111"/>
  <c r="Q111"/>
  <c r="N111"/>
  <c r="E111"/>
  <c r="T150"/>
  <c r="Q150"/>
  <c r="N150"/>
  <c r="E150"/>
  <c r="T163"/>
  <c r="Q163"/>
  <c r="N163"/>
  <c r="E163"/>
  <c r="T180"/>
  <c r="Q180"/>
  <c r="N180"/>
  <c r="E180"/>
  <c r="T193"/>
  <c r="Q193"/>
  <c r="N193"/>
  <c r="E193"/>
  <c r="T201"/>
  <c r="Q201"/>
  <c r="N201"/>
  <c r="E201"/>
  <c r="T210"/>
  <c r="Q210"/>
  <c r="N210"/>
  <c r="E210"/>
  <c r="T218"/>
  <c r="Q218"/>
  <c r="N218"/>
  <c r="E218"/>
  <c r="T227"/>
  <c r="Q227"/>
  <c r="N227"/>
  <c r="E227"/>
  <c r="T236"/>
  <c r="Q236"/>
  <c r="N236"/>
  <c r="E236"/>
  <c r="T245"/>
  <c r="Q245"/>
  <c r="N245"/>
  <c r="E245"/>
  <c r="T253"/>
  <c r="Q253"/>
  <c r="N253"/>
  <c r="E253"/>
  <c r="T263"/>
  <c r="Q263"/>
  <c r="N263"/>
  <c r="E263"/>
  <c r="T271"/>
  <c r="Q271"/>
  <c r="N271"/>
  <c r="E271"/>
  <c r="T279"/>
  <c r="Q279"/>
  <c r="N279"/>
  <c r="E279"/>
  <c r="T288"/>
  <c r="Q288"/>
  <c r="N288"/>
  <c r="E288"/>
  <c r="T296"/>
  <c r="Q296"/>
  <c r="N296"/>
  <c r="E296"/>
  <c r="T304"/>
  <c r="Q304"/>
  <c r="N304"/>
  <c r="E304"/>
  <c r="T313"/>
  <c r="Q313"/>
  <c r="N313"/>
  <c r="E313"/>
  <c r="T322"/>
  <c r="Q322"/>
  <c r="N322"/>
  <c r="E322"/>
  <c r="T330"/>
  <c r="Q330"/>
  <c r="N330"/>
  <c r="E330"/>
  <c r="T339"/>
  <c r="Q339"/>
  <c r="N339"/>
  <c r="E339"/>
  <c r="T348"/>
  <c r="Q348"/>
  <c r="N348"/>
  <c r="E348"/>
  <c r="T355"/>
  <c r="Q355"/>
  <c r="N355"/>
  <c r="E355"/>
  <c r="T364"/>
  <c r="Q364"/>
  <c r="N364"/>
  <c r="E364"/>
  <c r="T84"/>
  <c r="Q84"/>
  <c r="N84"/>
  <c r="E84"/>
  <c r="T101"/>
  <c r="Q101"/>
  <c r="N101"/>
  <c r="E101"/>
  <c r="T118"/>
  <c r="Q118"/>
  <c r="N118"/>
  <c r="E118"/>
  <c r="T135"/>
  <c r="Q135"/>
  <c r="N135"/>
  <c r="E135"/>
  <c r="T153"/>
  <c r="Q153"/>
  <c r="N153"/>
  <c r="E153"/>
  <c r="T170"/>
  <c r="Q170"/>
  <c r="N170"/>
  <c r="E170"/>
  <c r="T183"/>
  <c r="Q183"/>
  <c r="N183"/>
  <c r="E183"/>
  <c r="T191"/>
  <c r="Q191"/>
  <c r="N191"/>
  <c r="E191"/>
  <c r="T209"/>
  <c r="Q209"/>
  <c r="N209"/>
  <c r="E209"/>
  <c r="T226"/>
  <c r="Q226"/>
  <c r="N226"/>
  <c r="E226"/>
  <c r="T244"/>
  <c r="Q244"/>
  <c r="N244"/>
  <c r="E244"/>
  <c r="T261"/>
  <c r="Q261"/>
  <c r="N261"/>
  <c r="E261"/>
  <c r="T278"/>
  <c r="Q278"/>
  <c r="N278"/>
  <c r="E278"/>
  <c r="T295"/>
  <c r="Q295"/>
  <c r="N295"/>
  <c r="E295"/>
  <c r="T312"/>
  <c r="Q312"/>
  <c r="N312"/>
  <c r="E312"/>
  <c r="T329"/>
  <c r="Q329"/>
  <c r="N329"/>
  <c r="E329"/>
  <c r="T347"/>
  <c r="Q347"/>
  <c r="N347"/>
  <c r="E347"/>
  <c r="T363"/>
  <c r="Q363"/>
  <c r="N363"/>
  <c r="E363"/>
  <c r="K12"/>
  <c r="E12"/>
  <c r="N12"/>
  <c r="Q21"/>
  <c r="T21"/>
  <c r="K21"/>
  <c r="E21"/>
  <c r="N21"/>
  <c r="Q29"/>
  <c r="T29"/>
  <c r="K29"/>
  <c r="E29"/>
  <c r="N29"/>
  <c r="Q37"/>
  <c r="T37"/>
  <c r="K37"/>
  <c r="E37"/>
  <c r="N37"/>
  <c r="Q56"/>
  <c r="T56"/>
  <c r="E56"/>
  <c r="N56"/>
  <c r="Q63"/>
  <c r="T63"/>
  <c r="E63"/>
  <c r="N63"/>
  <c r="Q73"/>
  <c r="T73"/>
  <c r="E73"/>
  <c r="N73"/>
  <c r="T82"/>
  <c r="Q82"/>
  <c r="E82"/>
  <c r="N82"/>
  <c r="T91"/>
  <c r="Q91"/>
  <c r="E91"/>
  <c r="N91"/>
  <c r="T99"/>
  <c r="Q99"/>
  <c r="E99"/>
  <c r="N99"/>
  <c r="T108"/>
  <c r="Q108"/>
  <c r="E108"/>
  <c r="N108"/>
  <c r="T116"/>
  <c r="Q116"/>
  <c r="E116"/>
  <c r="N116"/>
  <c r="T125"/>
  <c r="Q125"/>
  <c r="E125"/>
  <c r="N125"/>
  <c r="T133"/>
  <c r="Q133"/>
  <c r="E133"/>
  <c r="N133"/>
  <c r="T142"/>
  <c r="Q142"/>
  <c r="E142"/>
  <c r="N142"/>
  <c r="T151"/>
  <c r="Q151"/>
  <c r="N151"/>
  <c r="E151"/>
  <c r="T160"/>
  <c r="Q160"/>
  <c r="N160"/>
  <c r="E160"/>
  <c r="T168"/>
  <c r="Q168"/>
  <c r="N168"/>
  <c r="E168"/>
  <c r="T175"/>
  <c r="Q175"/>
  <c r="N175"/>
  <c r="E175"/>
  <c r="T181"/>
  <c r="Q181"/>
  <c r="N181"/>
  <c r="E181"/>
  <c r="T189"/>
  <c r="Q189"/>
  <c r="N189"/>
  <c r="E189"/>
  <c r="T198"/>
  <c r="Q198"/>
  <c r="N198"/>
  <c r="E198"/>
  <c r="T207"/>
  <c r="Q207"/>
  <c r="N207"/>
  <c r="E207"/>
  <c r="T215"/>
  <c r="Q215"/>
  <c r="N215"/>
  <c r="E215"/>
  <c r="T224"/>
  <c r="Q224"/>
  <c r="N224"/>
  <c r="E224"/>
  <c r="T233"/>
  <c r="Q233"/>
  <c r="N233"/>
  <c r="E233"/>
  <c r="T242"/>
  <c r="Q242"/>
  <c r="N242"/>
  <c r="E242"/>
  <c r="T250"/>
  <c r="Q250"/>
  <c r="N250"/>
  <c r="E250"/>
  <c r="T259"/>
  <c r="Q259"/>
  <c r="N259"/>
  <c r="E259"/>
  <c r="T268"/>
  <c r="Q268"/>
  <c r="N268"/>
  <c r="E268"/>
  <c r="T276"/>
  <c r="Q276"/>
  <c r="N276"/>
  <c r="E276"/>
  <c r="T285"/>
  <c r="Q285"/>
  <c r="N285"/>
  <c r="E285"/>
  <c r="T293"/>
  <c r="Q293"/>
  <c r="N293"/>
  <c r="E293"/>
  <c r="T301"/>
  <c r="Q301"/>
  <c r="N301"/>
  <c r="E301"/>
  <c r="T310"/>
  <c r="Q310"/>
  <c r="N310"/>
  <c r="E310"/>
  <c r="T318"/>
  <c r="Q318"/>
  <c r="N318"/>
  <c r="E318"/>
  <c r="T327"/>
  <c r="Q327"/>
  <c r="N327"/>
  <c r="E327"/>
  <c r="T336"/>
  <c r="Q336"/>
  <c r="N336"/>
  <c r="E336"/>
  <c r="T344"/>
  <c r="Q344"/>
  <c r="N344"/>
  <c r="E344"/>
  <c r="T352"/>
  <c r="Q352"/>
  <c r="N352"/>
  <c r="E352"/>
  <c r="T361"/>
  <c r="Q361"/>
  <c r="N361"/>
  <c r="E361"/>
  <c r="N9"/>
  <c r="K9"/>
  <c r="E9"/>
  <c r="T42"/>
  <c r="Q42"/>
  <c r="N42"/>
  <c r="K42"/>
  <c r="E42"/>
  <c r="T60"/>
  <c r="Q60"/>
  <c r="N60"/>
  <c r="E60"/>
  <c r="T83"/>
  <c r="Q83"/>
  <c r="N83"/>
  <c r="E83"/>
  <c r="T100"/>
  <c r="Q100"/>
  <c r="N100"/>
  <c r="E100"/>
  <c r="T122"/>
  <c r="Q122"/>
  <c r="N122"/>
  <c r="E122"/>
  <c r="T134"/>
  <c r="Q134"/>
  <c r="N134"/>
  <c r="E134"/>
  <c r="T143"/>
  <c r="Q143"/>
  <c r="N143"/>
  <c r="E143"/>
  <c r="T152"/>
  <c r="Q152"/>
  <c r="N152"/>
  <c r="E152"/>
  <c r="T161"/>
  <c r="Q161"/>
  <c r="N161"/>
  <c r="E161"/>
  <c r="T169"/>
  <c r="Q169"/>
  <c r="N169"/>
  <c r="E169"/>
  <c r="T182"/>
  <c r="Q182"/>
  <c r="N182"/>
  <c r="E182"/>
  <c r="T190"/>
  <c r="Q190"/>
  <c r="N190"/>
  <c r="E190"/>
  <c r="T199"/>
  <c r="Q199"/>
  <c r="N199"/>
  <c r="E199"/>
  <c r="T208"/>
  <c r="Q208"/>
  <c r="N208"/>
  <c r="E208"/>
  <c r="T216"/>
  <c r="Q216"/>
  <c r="N216"/>
  <c r="E216"/>
  <c r="T225"/>
  <c r="Q225"/>
  <c r="N225"/>
  <c r="E225"/>
  <c r="T234"/>
  <c r="Q234"/>
  <c r="N234"/>
  <c r="E234"/>
  <c r="T243"/>
  <c r="Q243"/>
  <c r="N243"/>
  <c r="E243"/>
  <c r="T251"/>
  <c r="Q251"/>
  <c r="N251"/>
  <c r="E251"/>
  <c r="T260"/>
  <c r="Q260"/>
  <c r="N260"/>
  <c r="E260"/>
  <c r="T269"/>
  <c r="Q269"/>
  <c r="N269"/>
  <c r="E269"/>
  <c r="T277"/>
  <c r="Q277"/>
  <c r="N277"/>
  <c r="E277"/>
  <c r="T286"/>
  <c r="Q286"/>
  <c r="N286"/>
  <c r="E286"/>
  <c r="T294"/>
  <c r="Q294"/>
  <c r="N294"/>
  <c r="E294"/>
  <c r="T302"/>
  <c r="Q302"/>
  <c r="N302"/>
  <c r="E302"/>
  <c r="T311"/>
  <c r="Q311"/>
  <c r="N311"/>
  <c r="E311"/>
  <c r="T319"/>
  <c r="Q319"/>
  <c r="N319"/>
  <c r="E319"/>
  <c r="T328"/>
  <c r="Q328"/>
  <c r="N328"/>
  <c r="E328"/>
  <c r="T337"/>
  <c r="Q337"/>
  <c r="N337"/>
  <c r="E337"/>
  <c r="T346"/>
  <c r="Q346"/>
  <c r="N346"/>
  <c r="E346"/>
  <c r="T353"/>
  <c r="Q353"/>
  <c r="N353"/>
  <c r="E353"/>
  <c r="T362"/>
  <c r="Q362"/>
  <c r="N362"/>
  <c r="E362"/>
  <c r="T22"/>
  <c r="Q22"/>
  <c r="N22"/>
  <c r="K22"/>
  <c r="E22"/>
  <c r="T48"/>
  <c r="Q48"/>
  <c r="N48"/>
  <c r="E48"/>
  <c r="T64"/>
  <c r="Q64"/>
  <c r="N64"/>
  <c r="E64"/>
  <c r="T78"/>
  <c r="Q78"/>
  <c r="N78"/>
  <c r="E78"/>
  <c r="T96"/>
  <c r="Q96"/>
  <c r="N96"/>
  <c r="E96"/>
  <c r="T109"/>
  <c r="Q109"/>
  <c r="N109"/>
  <c r="E109"/>
  <c r="T131"/>
  <c r="Q131"/>
  <c r="N131"/>
  <c r="E131"/>
  <c r="K14"/>
  <c r="E14"/>
  <c r="N14"/>
  <c r="Q23"/>
  <c r="T23"/>
  <c r="K23"/>
  <c r="E23"/>
  <c r="N23"/>
  <c r="Q31"/>
  <c r="T31"/>
  <c r="K31"/>
  <c r="E31"/>
  <c r="N31"/>
  <c r="T39"/>
  <c r="Q39"/>
  <c r="N39"/>
  <c r="K39"/>
  <c r="E39"/>
  <c r="T49"/>
  <c r="Q49"/>
  <c r="N49"/>
  <c r="E49"/>
  <c r="T66"/>
  <c r="Q66"/>
  <c r="N66"/>
  <c r="E66"/>
  <c r="T75"/>
  <c r="Q75"/>
  <c r="N75"/>
  <c r="E75"/>
  <c r="T93"/>
  <c r="Q93"/>
  <c r="N93"/>
  <c r="E93"/>
  <c r="T110"/>
  <c r="Q110"/>
  <c r="N110"/>
  <c r="E110"/>
  <c r="T127"/>
  <c r="Q127"/>
  <c r="N127"/>
  <c r="E127"/>
  <c r="T145"/>
  <c r="Q145"/>
  <c r="N145"/>
  <c r="E145"/>
  <c r="T162"/>
  <c r="Q162"/>
  <c r="N162"/>
  <c r="E162"/>
  <c r="T200"/>
  <c r="Q200"/>
  <c r="N200"/>
  <c r="E200"/>
  <c r="T217"/>
  <c r="Q217"/>
  <c r="N217"/>
  <c r="E217"/>
  <c r="T235"/>
  <c r="Q235"/>
  <c r="N235"/>
  <c r="E235"/>
  <c r="T252"/>
  <c r="Q252"/>
  <c r="N252"/>
  <c r="E252"/>
  <c r="T270"/>
  <c r="Q270"/>
  <c r="N270"/>
  <c r="E270"/>
  <c r="T287"/>
  <c r="Q287"/>
  <c r="N287"/>
  <c r="E287"/>
  <c r="T303"/>
  <c r="Q303"/>
  <c r="N303"/>
  <c r="E303"/>
  <c r="T320"/>
  <c r="Q320"/>
  <c r="N320"/>
  <c r="E320"/>
  <c r="T338"/>
  <c r="Q338"/>
  <c r="N338"/>
  <c r="E338"/>
  <c r="T354"/>
  <c r="Q354"/>
  <c r="E354"/>
  <c r="T34"/>
  <c r="Q34"/>
  <c r="N34"/>
  <c r="K34"/>
  <c r="E34"/>
  <c r="T20"/>
  <c r="Q20"/>
  <c r="N20"/>
  <c r="K20"/>
  <c r="E20"/>
  <c r="T36"/>
  <c r="Q36"/>
  <c r="N36"/>
  <c r="K36"/>
  <c r="E36"/>
  <c r="T50"/>
  <c r="Q50"/>
  <c r="N50"/>
  <c r="E50"/>
  <c r="T62"/>
  <c r="Q62"/>
  <c r="N62"/>
  <c r="E62"/>
  <c r="T81"/>
  <c r="Q81"/>
  <c r="N81"/>
  <c r="E81"/>
  <c r="T98"/>
  <c r="Q98"/>
  <c r="N98"/>
  <c r="E98"/>
  <c r="T115"/>
  <c r="Q115"/>
  <c r="N115"/>
  <c r="E115"/>
  <c r="T129"/>
  <c r="Q129"/>
  <c r="N129"/>
  <c r="E129"/>
  <c r="T146"/>
  <c r="Q146"/>
  <c r="N146"/>
  <c r="E146"/>
  <c r="T167"/>
  <c r="Q167"/>
  <c r="N167"/>
  <c r="E167"/>
  <c r="N13"/>
  <c r="K13"/>
  <c r="E13"/>
  <c r="T24"/>
  <c r="Q24"/>
  <c r="N24"/>
  <c r="K24"/>
  <c r="E24"/>
  <c r="T40"/>
  <c r="Q40"/>
  <c r="N40"/>
  <c r="K40"/>
  <c r="E40"/>
  <c r="T67"/>
  <c r="Q67"/>
  <c r="N67"/>
  <c r="E67"/>
  <c r="T85"/>
  <c r="Q85"/>
  <c r="N85"/>
  <c r="E85"/>
  <c r="T102"/>
  <c r="Q102"/>
  <c r="N102"/>
  <c r="E102"/>
  <c r="T124"/>
  <c r="Q124"/>
  <c r="N124"/>
  <c r="E124"/>
  <c r="T141"/>
  <c r="Q141"/>
  <c r="N141"/>
  <c r="E141"/>
  <c r="T159"/>
  <c r="Q159"/>
  <c r="N159"/>
  <c r="E159"/>
  <c r="T172"/>
  <c r="Q172"/>
  <c r="N172"/>
  <c r="E172"/>
  <c r="T176"/>
  <c r="Q176"/>
  <c r="N176"/>
  <c r="E176"/>
  <c r="T188"/>
  <c r="Q188"/>
  <c r="N188"/>
  <c r="E188"/>
  <c r="T197"/>
  <c r="Q197"/>
  <c r="N197"/>
  <c r="E197"/>
  <c r="T206"/>
  <c r="Q206"/>
  <c r="N206"/>
  <c r="E206"/>
  <c r="T214"/>
  <c r="Q214"/>
  <c r="N214"/>
  <c r="E214"/>
  <c r="T223"/>
  <c r="Q223"/>
  <c r="N223"/>
  <c r="E223"/>
  <c r="T232"/>
  <c r="Q232"/>
  <c r="N232"/>
  <c r="E232"/>
  <c r="T241"/>
  <c r="Q241"/>
  <c r="N241"/>
  <c r="E241"/>
  <c r="T249"/>
  <c r="Q249"/>
  <c r="N249"/>
  <c r="E249"/>
  <c r="T258"/>
  <c r="Q258"/>
  <c r="N258"/>
  <c r="E258"/>
  <c r="T267"/>
  <c r="Q267"/>
  <c r="N267"/>
  <c r="E267"/>
  <c r="T275"/>
  <c r="Q275"/>
  <c r="N275"/>
  <c r="E275"/>
  <c r="T284"/>
  <c r="Q284"/>
  <c r="N284"/>
  <c r="E284"/>
  <c r="T292"/>
  <c r="Q292"/>
  <c r="N292"/>
  <c r="E292"/>
  <c r="T300"/>
  <c r="Q300"/>
  <c r="N300"/>
  <c r="E300"/>
  <c r="T309"/>
  <c r="Q309"/>
  <c r="N309"/>
  <c r="E309"/>
  <c r="T317"/>
  <c r="Q317"/>
  <c r="N317"/>
  <c r="E317"/>
  <c r="T326"/>
  <c r="Q326"/>
  <c r="N326"/>
  <c r="E326"/>
  <c r="T335"/>
  <c r="Q335"/>
  <c r="N335"/>
  <c r="E335"/>
  <c r="T343"/>
  <c r="Q343"/>
  <c r="N343"/>
  <c r="E343"/>
  <c r="T351"/>
  <c r="Q351"/>
  <c r="N351"/>
  <c r="E351"/>
  <c r="T360"/>
  <c r="Q360"/>
  <c r="N360"/>
  <c r="E360"/>
  <c r="T368"/>
  <c r="Q368"/>
  <c r="N368"/>
  <c r="E368"/>
  <c r="T61"/>
  <c r="Q61"/>
  <c r="N61"/>
  <c r="E61"/>
  <c r="T88"/>
  <c r="Q88"/>
  <c r="N88"/>
  <c r="E88"/>
  <c r="T106"/>
  <c r="Q106"/>
  <c r="N106"/>
  <c r="E106"/>
  <c r="T123"/>
  <c r="Q123"/>
  <c r="N123"/>
  <c r="E123"/>
  <c r="T140"/>
  <c r="Q140"/>
  <c r="N140"/>
  <c r="E140"/>
  <c r="T158"/>
  <c r="Q158"/>
  <c r="N158"/>
  <c r="E158"/>
  <c r="T187"/>
  <c r="Q187"/>
  <c r="N187"/>
  <c r="E187"/>
  <c r="T196"/>
  <c r="Q196"/>
  <c r="N196"/>
  <c r="E196"/>
  <c r="T213"/>
  <c r="Q213"/>
  <c r="N213"/>
  <c r="E213"/>
  <c r="T231"/>
  <c r="Q231"/>
  <c r="N231"/>
  <c r="E231"/>
  <c r="T248"/>
  <c r="Q248"/>
  <c r="N248"/>
  <c r="E248"/>
  <c r="T266"/>
  <c r="Q266"/>
  <c r="N266"/>
  <c r="E266"/>
  <c r="T283"/>
  <c r="Q283"/>
  <c r="N283"/>
  <c r="E283"/>
  <c r="T299"/>
  <c r="Q299"/>
  <c r="N299"/>
  <c r="E299"/>
  <c r="T316"/>
  <c r="Q316"/>
  <c r="N316"/>
  <c r="E316"/>
  <c r="T334"/>
  <c r="Q334"/>
  <c r="N334"/>
  <c r="E334"/>
  <c r="T367"/>
  <c r="Q367"/>
  <c r="N367"/>
  <c r="E367"/>
  <c r="AT45" i="7"/>
  <c r="B18" i="8"/>
  <c r="AT17" i="7"/>
  <c r="B17" i="8" s="1"/>
  <c r="AT6" i="7"/>
  <c r="B6" i="8" s="1"/>
  <c r="W369" l="1"/>
  <c r="AC18"/>
  <c r="AC17" s="1"/>
  <c r="AC369" s="1"/>
  <c r="AF18"/>
  <c r="AF17" s="1"/>
  <c r="AF369" s="1"/>
  <c r="Z18"/>
  <c r="Z17" s="1"/>
  <c r="Z369" s="1"/>
  <c r="B45"/>
  <c r="AT369" i="7"/>
  <c r="B369" i="8" s="1"/>
  <c r="Q18"/>
  <c r="Q17" s="1"/>
  <c r="T18"/>
  <c r="T17" s="1"/>
  <c r="N7"/>
  <c r="N6" s="1"/>
  <c r="K7"/>
  <c r="K6" s="1"/>
  <c r="H6"/>
  <c r="E6"/>
  <c r="N18"/>
  <c r="N17" s="1"/>
  <c r="K18"/>
  <c r="K17" s="1"/>
  <c r="E18"/>
  <c r="Q47"/>
  <c r="Q45" s="1"/>
  <c r="T47"/>
  <c r="T45" s="1"/>
  <c r="E47"/>
  <c r="E45" s="1"/>
  <c r="N47"/>
  <c r="N45" s="1"/>
  <c r="H17"/>
  <c r="E17"/>
  <c r="H369" l="1"/>
  <c r="T369"/>
  <c r="Q369"/>
  <c r="E369"/>
  <c r="K369"/>
  <c r="N369"/>
</calcChain>
</file>

<file path=xl/sharedStrings.xml><?xml version="1.0" encoding="utf-8"?>
<sst xmlns="http://schemas.openxmlformats.org/spreadsheetml/2006/main" count="9499" uniqueCount="431">
  <si>
    <t>Алексеевский</t>
  </si>
  <si>
    <t>Красноярский</t>
  </si>
  <si>
    <t>Хворостянский</t>
  </si>
  <si>
    <t>Шенталинский</t>
  </si>
  <si>
    <t>Городские округа</t>
  </si>
  <si>
    <t>Самара</t>
  </si>
  <si>
    <t>Тольятти</t>
  </si>
  <si>
    <t>Сызрань</t>
  </si>
  <si>
    <t>Новокуйбышевск</t>
  </si>
  <si>
    <t>Чапаевск</t>
  </si>
  <si>
    <t>Отрадный</t>
  </si>
  <si>
    <t>Жигулевск</t>
  </si>
  <si>
    <t>Октябрьск</t>
  </si>
  <si>
    <t>Кинель</t>
  </si>
  <si>
    <t>Похвистнево</t>
  </si>
  <si>
    <t>Наименование муниципального образования</t>
  </si>
  <si>
    <t>Вес</t>
  </si>
  <si>
    <t>Темп роста среднемесячной номинальной заработной платы (по крупным и средним организациям)</t>
  </si>
  <si>
    <t>Объем закупок молока во всех категориях хозяйств</t>
  </si>
  <si>
    <t>Объем закупок скота и птицы во всех категориях хозяйств</t>
  </si>
  <si>
    <t>Муниципальные районы</t>
  </si>
  <si>
    <t>Безенчукский</t>
  </si>
  <si>
    <t>Богатовский</t>
  </si>
  <si>
    <t>Большеглушицкий</t>
  </si>
  <si>
    <t>Большечерниговский</t>
  </si>
  <si>
    <t>Борский</t>
  </si>
  <si>
    <t>Волжский</t>
  </si>
  <si>
    <t>Елховский</t>
  </si>
  <si>
    <t>Исаклинский</t>
  </si>
  <si>
    <t>Камышлинский</t>
  </si>
  <si>
    <t>Кинельский</t>
  </si>
  <si>
    <t>Кинель-Черкасский</t>
  </si>
  <si>
    <t>Клявлинский</t>
  </si>
  <si>
    <t>Кошкинский</t>
  </si>
  <si>
    <t>Красноармейский</t>
  </si>
  <si>
    <t>Нефтегорский</t>
  </si>
  <si>
    <t>Пестравский</t>
  </si>
  <si>
    <t>Похвистневский</t>
  </si>
  <si>
    <t>Приволжский</t>
  </si>
  <si>
    <t>Сергиевский</t>
  </si>
  <si>
    <t>Ставропольский</t>
  </si>
  <si>
    <t>Сызранский</t>
  </si>
  <si>
    <t>Челно-Вершинский</t>
  </si>
  <si>
    <t>Шигонский</t>
  </si>
  <si>
    <t>Городские и сельские поселения</t>
  </si>
  <si>
    <t xml:space="preserve">Муниципальный район Алексеевский </t>
  </si>
  <si>
    <t>Сельское поселение Авангард</t>
  </si>
  <si>
    <t>Сельское поселение Алексеевка</t>
  </si>
  <si>
    <t>Сельское поселение Гавриловка</t>
  </si>
  <si>
    <t>Сельское поселение Герасимовка</t>
  </si>
  <si>
    <t>Сельское поселение Летниково</t>
  </si>
  <si>
    <t xml:space="preserve">Муниципальный район Безенчукский </t>
  </si>
  <si>
    <t>Городское поселение Безенчук</t>
  </si>
  <si>
    <t>Сельское поселение Васильевка</t>
  </si>
  <si>
    <t>Сельское поселение Екатериновка</t>
  </si>
  <si>
    <t>Сельское поселение Звезда</t>
  </si>
  <si>
    <t>Сельское поселение Купино</t>
  </si>
  <si>
    <t>Сельское поселение Натальино</t>
  </si>
  <si>
    <t>Сельское поселение Ольгино</t>
  </si>
  <si>
    <t>Городское поселение Осинки</t>
  </si>
  <si>
    <t>Сельское поселение Переволоки</t>
  </si>
  <si>
    <t>Сельское поселение Песочное</t>
  </si>
  <si>
    <t>Сельское поселение Преполовенка</t>
  </si>
  <si>
    <t>Сельское поселение Прибой</t>
  </si>
  <si>
    <t xml:space="preserve">Муниципальный район Богатовский </t>
  </si>
  <si>
    <t>Сельское поселение Арзамасцевка</t>
  </si>
  <si>
    <t>Сельское поселение Богатое</t>
  </si>
  <si>
    <t>Сельское поселение Виловатое</t>
  </si>
  <si>
    <t>Сельское поселение Максимовка</t>
  </si>
  <si>
    <t>Сельское поселение Печинено</t>
  </si>
  <si>
    <t xml:space="preserve">Муниципальный район Большеглушицкий </t>
  </si>
  <si>
    <t>Сельское поселение Александровка</t>
  </si>
  <si>
    <t>Сельское поселение Большая Глушица</t>
  </si>
  <si>
    <t>Сельское поселение Большая Дергуновка</t>
  </si>
  <si>
    <t>Сельское поселение Малая Глушица</t>
  </si>
  <si>
    <t>Сельское поселение Мокша</t>
  </si>
  <si>
    <t>Сельское поселение Новопавловка</t>
  </si>
  <si>
    <t>Сельское поселение Фрунзенское</t>
  </si>
  <si>
    <t>Сельское поселение Южное</t>
  </si>
  <si>
    <t xml:space="preserve">Муниципальный район Большечерниговский </t>
  </si>
  <si>
    <t>Сельское поселение Августовка</t>
  </si>
  <si>
    <t>Сельское поселение Большая Черниговка</t>
  </si>
  <si>
    <t>Сельское поселение Восточный</t>
  </si>
  <si>
    <t>Сельское поселение Глушицкий</t>
  </si>
  <si>
    <t>Сельское поселение Краснооктябрьский</t>
  </si>
  <si>
    <t>Сельское поселение Пензено</t>
  </si>
  <si>
    <t>Сельское поселение Петровский</t>
  </si>
  <si>
    <t>Сельское поселение Поляков</t>
  </si>
  <si>
    <t>Сельское поселение Украинка</t>
  </si>
  <si>
    <t xml:space="preserve">Муниципальный район Борский </t>
  </si>
  <si>
    <t>Сельское поселение Большое Алдаркино</t>
  </si>
  <si>
    <t>Сельское поселение Борское</t>
  </si>
  <si>
    <t>Сельское поселение Гвардейцы</t>
  </si>
  <si>
    <t>Сельское поселение Долматовка</t>
  </si>
  <si>
    <t>Сельское поселение Заплавное</t>
  </si>
  <si>
    <t>Сельское поселение Коноваловка</t>
  </si>
  <si>
    <t>Сельское поселение Новоборское</t>
  </si>
  <si>
    <t>Сельское поселение Новый Кутулук</t>
  </si>
  <si>
    <t>Сельское поселение Петровка</t>
  </si>
  <si>
    <t>Сельское поселение Подгорное</t>
  </si>
  <si>
    <t>Сельское поселение Подсолнечное</t>
  </si>
  <si>
    <t>Сельское поселение Таволжанка</t>
  </si>
  <si>
    <t>Сельское поселение Усманка</t>
  </si>
  <si>
    <t xml:space="preserve">Муниципальный район Волжский </t>
  </si>
  <si>
    <t>Сельское поселение Верхняя Подстепновка</t>
  </si>
  <si>
    <t>Сельское поселение Воскресенка</t>
  </si>
  <si>
    <t>Сельское поселение Дубовый Умет</t>
  </si>
  <si>
    <t>Сельское поселение Курумоч</t>
  </si>
  <si>
    <t>Сельское поселение Лопатино</t>
  </si>
  <si>
    <t>Городское поселение Петра Дубрава</t>
  </si>
  <si>
    <t>Сельское поселение Подъем-Михайловка</t>
  </si>
  <si>
    <t>Сельское поселение Просвет</t>
  </si>
  <si>
    <t>Сельское поселение Рождествено</t>
  </si>
  <si>
    <t>Городское поселение Рощинский</t>
  </si>
  <si>
    <t>Городское поселение Смышляевка</t>
  </si>
  <si>
    <t>Сельское поселение Спиридоновка</t>
  </si>
  <si>
    <t>Сельское поселение Сухая Вязовка</t>
  </si>
  <si>
    <t>Сельское поселение Черновский</t>
  </si>
  <si>
    <t>Сельское поселение Черноречье</t>
  </si>
  <si>
    <t xml:space="preserve">Муниципальный район Елховский </t>
  </si>
  <si>
    <t>Сельское поселение Березовка</t>
  </si>
  <si>
    <t>Сельское поселение Елховка</t>
  </si>
  <si>
    <t>Сельское поселение Красное Поселение</t>
  </si>
  <si>
    <t>Сельское поселение Красные Дома</t>
  </si>
  <si>
    <t>Сельское поселение Никитинка</t>
  </si>
  <si>
    <t>Сельское поселение Сухие Аврали</t>
  </si>
  <si>
    <t>Сельское поселение Теплый Стан</t>
  </si>
  <si>
    <t xml:space="preserve">Муниципальный район Исаклинский </t>
  </si>
  <si>
    <t>Сельское поселение Большое Микушкино</t>
  </si>
  <si>
    <t>Сельское поселение Два Ключа</t>
  </si>
  <si>
    <t>Сельское поселение Исаклы</t>
  </si>
  <si>
    <t>Сельское поселение Ключи</t>
  </si>
  <si>
    <t>Сельское поселение Мордово-Ишуткино</t>
  </si>
  <si>
    <t>Сельское поселение Новое Ганькино</t>
  </si>
  <si>
    <t>Сельское поселение Новое Якушкино</t>
  </si>
  <si>
    <t>Сельское поселение Старое Вечканово</t>
  </si>
  <si>
    <t xml:space="preserve">Муниципальный район Камышлинский </t>
  </si>
  <si>
    <t>Сельское поселение Байтуган</t>
  </si>
  <si>
    <t>Сельское поселение Балыкла</t>
  </si>
  <si>
    <t>Сельское поселение Ермаково</t>
  </si>
  <si>
    <t>Сельское поселение Камышла</t>
  </si>
  <si>
    <t>Сельское поселение Новое Усманово</t>
  </si>
  <si>
    <t>Сельское поселение Старое Усманово</t>
  </si>
  <si>
    <t xml:space="preserve">Муниципальный район Кинельский </t>
  </si>
  <si>
    <t>Сельское поселение Алакаевка</t>
  </si>
  <si>
    <t>Сельское поселение Бобровка</t>
  </si>
  <si>
    <t>Сельское поселение Богдановка</t>
  </si>
  <si>
    <t>Сельское поселение Георгиевка</t>
  </si>
  <si>
    <t>Сельское поселение Домашка</t>
  </si>
  <si>
    <t>Сельское поселение Кинельский</t>
  </si>
  <si>
    <t>Сельское поселение Комсомольский</t>
  </si>
  <si>
    <t>Сельское поселение Красносамарское</t>
  </si>
  <si>
    <t>Сельское поселение Малая Малышевка</t>
  </si>
  <si>
    <t>Сельское поселение Новый Сарбай</t>
  </si>
  <si>
    <t>Сельское поселение Сколково</t>
  </si>
  <si>
    <t>Сельское поселение Чубовка</t>
  </si>
  <si>
    <t xml:space="preserve">Муниципальный район Кинель-Черкасский </t>
  </si>
  <si>
    <t>Сельское поселение Березняки</t>
  </si>
  <si>
    <t>Сельское поселение Ерзовка</t>
  </si>
  <si>
    <t>Сельское поселение Кабановка</t>
  </si>
  <si>
    <t>Сельское поселение Кинель-Черкассы</t>
  </si>
  <si>
    <t>Сельское поселение Красная Горка</t>
  </si>
  <si>
    <t>Сельское поселение Кротовка</t>
  </si>
  <si>
    <t>Сельское поселение Муханово</t>
  </si>
  <si>
    <t>Сельское поселение Новые Ключи</t>
  </si>
  <si>
    <t>Сельское поселение Садгород</t>
  </si>
  <si>
    <t>Сельское поселение Тимашево</t>
  </si>
  <si>
    <t>Сельское поселение Черновка</t>
  </si>
  <si>
    <t xml:space="preserve">Муниципальный район Клявлинский </t>
  </si>
  <si>
    <t>Сельское поселение Борискино-Игар</t>
  </si>
  <si>
    <t>Сельское поселение станция Клявлино</t>
  </si>
  <si>
    <t>Сельское поселение Назаровка</t>
  </si>
  <si>
    <t>Сельское поселение Старое Семенкино</t>
  </si>
  <si>
    <t>Сельское поселение Старый Маклауш</t>
  </si>
  <si>
    <t>Сельское поселение Черный Ключ</t>
  </si>
  <si>
    <t xml:space="preserve">Муниципальный район Кошкинский </t>
  </si>
  <si>
    <t>Сельское поселение Большая Константиновка</t>
  </si>
  <si>
    <t>Сельское поселение Большая Романовка</t>
  </si>
  <si>
    <t>Сельское поселение Большое Ермаково</t>
  </si>
  <si>
    <t>Сельское поселение Кошки</t>
  </si>
  <si>
    <t>Сельское поселение Надеждино</t>
  </si>
  <si>
    <t>Сельское поселение Нижняя Быковка</t>
  </si>
  <si>
    <t>Сельское поселение Новая Кармала</t>
  </si>
  <si>
    <t>Сельское поселение Орловка</t>
  </si>
  <si>
    <t>Сельское поселение Русская Васильевка</t>
  </si>
  <si>
    <t>Сельское поселение Старое Максимкино</t>
  </si>
  <si>
    <t>Сельское поселение Степная Шентала</t>
  </si>
  <si>
    <t>Сельское поселение Четыровка</t>
  </si>
  <si>
    <t>Сельское поселение Шпановка</t>
  </si>
  <si>
    <t xml:space="preserve">Муниципальный район Красноармейский </t>
  </si>
  <si>
    <t>Сельское поселение Алексеевский</t>
  </si>
  <si>
    <t>Сельское поселение Андросовка</t>
  </si>
  <si>
    <t>Сельское поселение Волчанка</t>
  </si>
  <si>
    <t>Сельское поселение Гражданский</t>
  </si>
  <si>
    <t>Сельское поселение Кировский</t>
  </si>
  <si>
    <t>Сельское поселение Колывань</t>
  </si>
  <si>
    <t>Сельское поселение Красноармейское</t>
  </si>
  <si>
    <t>Сельское поселение Криволучье-Ивановка</t>
  </si>
  <si>
    <t>Сельское поселение Куйбышевский</t>
  </si>
  <si>
    <t>Сельское поселение Ленинский</t>
  </si>
  <si>
    <t>Сельское поселение Павловка</t>
  </si>
  <si>
    <t>Сельское поселение Чапаевский</t>
  </si>
  <si>
    <t xml:space="preserve">Муниципальный район Красноярский </t>
  </si>
  <si>
    <t>Сельское поселение Большая Каменка</t>
  </si>
  <si>
    <t>Сельское поселение Большая Раковка</t>
  </si>
  <si>
    <t>Городское поселение Волжский</t>
  </si>
  <si>
    <t>Сельское поселение Коммунарский</t>
  </si>
  <si>
    <t>Сельское поселение Красный Яр</t>
  </si>
  <si>
    <t>Городское поселение Мирный</t>
  </si>
  <si>
    <t>Городское поселение Новосемейкино</t>
  </si>
  <si>
    <t>Сельское поселение Новый Буян</t>
  </si>
  <si>
    <t>Сельское поселение Светлое Поле</t>
  </si>
  <si>
    <t>Сельское поселение Старая Бинарадка</t>
  </si>
  <si>
    <t>Сельское поселение Хилково</t>
  </si>
  <si>
    <t>Сельское поселение Хорошенькое</t>
  </si>
  <si>
    <t>Сельское поселение Шилан</t>
  </si>
  <si>
    <t xml:space="preserve">Муниципальный район Нефтегорский </t>
  </si>
  <si>
    <t>Сельское поселение Бариновка</t>
  </si>
  <si>
    <t>Сельское поселение Дмитриевка</t>
  </si>
  <si>
    <t>Сельское поселение Зуевка</t>
  </si>
  <si>
    <t>Сельское поселение Кулешовка</t>
  </si>
  <si>
    <t>Городское поселение Нефтегорск</t>
  </si>
  <si>
    <t>Сельское поселение Покровка</t>
  </si>
  <si>
    <t>Сельское поселение Семеновка</t>
  </si>
  <si>
    <t>Сельское поселение Утевка</t>
  </si>
  <si>
    <t xml:space="preserve">Муниципальный район Пестравский </t>
  </si>
  <si>
    <t>Сельское поселение Высокое</t>
  </si>
  <si>
    <t>Сельское поселение Красная Поляна</t>
  </si>
  <si>
    <t>Сельское поселение Майское</t>
  </si>
  <si>
    <t>Сельское поселение Марьевка</t>
  </si>
  <si>
    <t>Сельское поселение Михайло-Овсянка</t>
  </si>
  <si>
    <t>Сельское поселение Мосты</t>
  </si>
  <si>
    <t>Сельское поселение Падовка</t>
  </si>
  <si>
    <t>Сельское поселение Пестравка</t>
  </si>
  <si>
    <t xml:space="preserve">Муниципальный район Похвистневский </t>
  </si>
  <si>
    <t>Сельское поселение Алькино</t>
  </si>
  <si>
    <t>Сельское поселение Большой Толкай</t>
  </si>
  <si>
    <t>Сельское поселение Красные Ключи</t>
  </si>
  <si>
    <t>Сельское поселение Кротково</t>
  </si>
  <si>
    <t>Сельское поселение Малое Ибряйкино</t>
  </si>
  <si>
    <t>Сельское поселение Малый Толкай</t>
  </si>
  <si>
    <t>Сельское поселение Мочалеевка</t>
  </si>
  <si>
    <t>Сельское поселение Новое Мансуркино</t>
  </si>
  <si>
    <t>Сельское поселение Подбельск</t>
  </si>
  <si>
    <t>Сельское поселение Рысайкино</t>
  </si>
  <si>
    <t>Сельское поселение Савруха</t>
  </si>
  <si>
    <t>Сельское поселение Среднее Аверкино</t>
  </si>
  <si>
    <t>Сельское поселение Староганькино</t>
  </si>
  <si>
    <t>Сельское поселение Старопохвистнево</t>
  </si>
  <si>
    <t>Сельское поселение Старый Аманак</t>
  </si>
  <si>
    <t xml:space="preserve">Муниципальный район Приволжский </t>
  </si>
  <si>
    <t>Сельское поселение Давыдовка</t>
  </si>
  <si>
    <t>Сельское поселение Заволжье</t>
  </si>
  <si>
    <t>Сельское поселение Ильмень</t>
  </si>
  <si>
    <t>Сельское поселение Новоспасский</t>
  </si>
  <si>
    <t>Сельское поселение Обшаровка</t>
  </si>
  <si>
    <t>Сельское поселение Приволжье</t>
  </si>
  <si>
    <t>Сельское поселение Спасское</t>
  </si>
  <si>
    <t xml:space="preserve">Муниципальный район Сергиевский </t>
  </si>
  <si>
    <t>Сельское поселение Антоновка</t>
  </si>
  <si>
    <t>Сельское поселение Верхняя Орлянка</t>
  </si>
  <si>
    <t>Сельское поселение Воротнее</t>
  </si>
  <si>
    <t>Сельское поселение Елшанка</t>
  </si>
  <si>
    <t>Сельское поселение Захаркино</t>
  </si>
  <si>
    <t>Сельское поселение Калиновка</t>
  </si>
  <si>
    <t>Сельское поселение Кандабулак</t>
  </si>
  <si>
    <t>Сельское поселение Кармало-Аделяково</t>
  </si>
  <si>
    <t>Сельское поселение Красносельское</t>
  </si>
  <si>
    <t>Сельское поселение Кутузовский</t>
  </si>
  <si>
    <t>Сельское поселение Липовка</t>
  </si>
  <si>
    <t>Сельское поселение Светлодольск</t>
  </si>
  <si>
    <t>Сельское поселение  Сергиевск</t>
  </si>
  <si>
    <t>Сельское поселение Серноводск</t>
  </si>
  <si>
    <t>Сельское поселение Сургут</t>
  </si>
  <si>
    <t>Городское поселение Суходол</t>
  </si>
  <si>
    <t xml:space="preserve">Муниципальный район Ставропольский </t>
  </si>
  <si>
    <t>Сельское поселение Бахилово</t>
  </si>
  <si>
    <t>Сельское поселение Большая Рязань</t>
  </si>
  <si>
    <t>Сельское поселение Верхнее Санчелеево</t>
  </si>
  <si>
    <t>Сельское поселение Верхние Белозерки</t>
  </si>
  <si>
    <t>Сельское поселение Выселки</t>
  </si>
  <si>
    <t>Сельское поселение Жигули</t>
  </si>
  <si>
    <t>Сельское поселение Кирилловка</t>
  </si>
  <si>
    <t>Сельское поселение Луначарский</t>
  </si>
  <si>
    <t>Сельское поселение Мусорка</t>
  </si>
  <si>
    <t>Сельское поселение Нижнее Санчелеево</t>
  </si>
  <si>
    <t>Сельское поселение Новая Бинарадка</t>
  </si>
  <si>
    <t>Сельское поселение Осиновка</t>
  </si>
  <si>
    <t>Сельское поселение Пискалы</t>
  </si>
  <si>
    <t>Сельское поселение Подстепки</t>
  </si>
  <si>
    <t>Сельское поселение Приморский</t>
  </si>
  <si>
    <t>Сельское поселение Севрюкаево</t>
  </si>
  <si>
    <t>Сельское поселение Сосновый Солонец</t>
  </si>
  <si>
    <t>Сельское поселение Ташелка</t>
  </si>
  <si>
    <t>Сельское поселение Тимофеевка</t>
  </si>
  <si>
    <t>Сельское поселение Узюково</t>
  </si>
  <si>
    <t>Сельское поселение Хрящевка</t>
  </si>
  <si>
    <t>Сельское поселение Ягодное</t>
  </si>
  <si>
    <t xml:space="preserve">Муниципальный район Сызранский </t>
  </si>
  <si>
    <t>Городское поселение Балашейка</t>
  </si>
  <si>
    <t>Сельское поселение Варламово</t>
  </si>
  <si>
    <t>Сельское поселение Волжское</t>
  </si>
  <si>
    <t>Сельское поселение Жемковка</t>
  </si>
  <si>
    <t>Сельское поселение Заборовка</t>
  </si>
  <si>
    <t>Сельское поселение Ивашевка</t>
  </si>
  <si>
    <t>Городское поселение Междуреченск</t>
  </si>
  <si>
    <t>Сельское поселение Новая Рачейка</t>
  </si>
  <si>
    <t>Сельское поселение Новозаборовский</t>
  </si>
  <si>
    <t>Сельское поселение Печерское</t>
  </si>
  <si>
    <t>Сельское поселение Рамено</t>
  </si>
  <si>
    <t>Сельское поселение Старая Рачейка</t>
  </si>
  <si>
    <t>Сельское поселение Троицкое</t>
  </si>
  <si>
    <t>Сельское поселение Усинское</t>
  </si>
  <si>
    <t>Сельское поселение Чекалино</t>
  </si>
  <si>
    <t xml:space="preserve">Муниципальный район Хворостянский </t>
  </si>
  <si>
    <t>Сельское поселение Абашево</t>
  </si>
  <si>
    <t>Сельское поселение Владимировка</t>
  </si>
  <si>
    <t>Сельское поселение Масленниково</t>
  </si>
  <si>
    <t>Сельское поселение Новокуровка</t>
  </si>
  <si>
    <t>Сельское поселение Новотулка</t>
  </si>
  <si>
    <t>Сельское поселение Прогресс</t>
  </si>
  <si>
    <t>Сельское поселение Романовка</t>
  </si>
  <si>
    <t>Сельское поселение Соловьево</t>
  </si>
  <si>
    <t>Сельское поселение Студенцы</t>
  </si>
  <si>
    <t>Сельское поселение Хворостянка</t>
  </si>
  <si>
    <t xml:space="preserve">Муниципальный район Челно-Вершинский </t>
  </si>
  <si>
    <t>Сельское поселение Девлезеркино</t>
  </si>
  <si>
    <t>Сельское поселение Каменный Брод</t>
  </si>
  <si>
    <t>Сельское поселение Краснояриха</t>
  </si>
  <si>
    <t>Сельское поселение Красный Строитель</t>
  </si>
  <si>
    <t>Сельское поселение Новое Аделяково</t>
  </si>
  <si>
    <t>Сельское поселение Озерки</t>
  </si>
  <si>
    <t>Сельское поселение Сиделькино</t>
  </si>
  <si>
    <t>Сельское поселение Токмакла</t>
  </si>
  <si>
    <t>Сельское поселение Челно-Вершины</t>
  </si>
  <si>
    <t>Сельское поселение Чувашское Урметьево</t>
  </si>
  <si>
    <t>Сельское поселение Эштебенькино</t>
  </si>
  <si>
    <t xml:space="preserve">Муниципальный район Шенталинский </t>
  </si>
  <si>
    <t>Сельское поселение Артюшкино</t>
  </si>
  <si>
    <t>Сельское поселение Денискино</t>
  </si>
  <si>
    <t>Сельское поселение Каменка</t>
  </si>
  <si>
    <t>Сельское поселение Канаш</t>
  </si>
  <si>
    <t>Сельское поселение Салейкино</t>
  </si>
  <si>
    <t>Сельское поселение Старая Шентала</t>
  </si>
  <si>
    <t>Сельское поселение Туарма</t>
  </si>
  <si>
    <t>Сельское поселение Четырла</t>
  </si>
  <si>
    <t>Сельское поселение Шентала</t>
  </si>
  <si>
    <t xml:space="preserve">Муниципальный район Шигонский </t>
  </si>
  <si>
    <t>Сельское поселение Береговой</t>
  </si>
  <si>
    <t>Сельское поселение Бичевная</t>
  </si>
  <si>
    <t>Сельское поселение Волжский Утес</t>
  </si>
  <si>
    <t>Сельское поселение Малячкино</t>
  </si>
  <si>
    <t>Сельское поселение Муранка</t>
  </si>
  <si>
    <t>Сельское поселение Новодевичье</t>
  </si>
  <si>
    <t>Сельское поселение Пионерский</t>
  </si>
  <si>
    <t>Сельское поселение Подвалье</t>
  </si>
  <si>
    <t>Сельское поселение Суринск</t>
  </si>
  <si>
    <t>Сельское поселение Тайдаково</t>
  </si>
  <si>
    <t>Сельское поселение Усолье</t>
  </si>
  <si>
    <t>Сельское поселение Шигоны</t>
  </si>
  <si>
    <t>Прогнозное значение</t>
  </si>
  <si>
    <t>Фактически сложившийся уровень</t>
  </si>
  <si>
    <t>x</t>
  </si>
  <si>
    <t xml:space="preserve"> +/- по итогам отчётного периода</t>
  </si>
  <si>
    <t>Отклонение от прогноза</t>
  </si>
  <si>
    <t>Вес влияния на результат</t>
  </si>
  <si>
    <t>Общая сумма весов влияния</t>
  </si>
  <si>
    <t>X</t>
  </si>
  <si>
    <t>Отклонение от планируемого распределения</t>
  </si>
  <si>
    <t>ИТОГО</t>
  </si>
  <si>
    <t>Объем отгруженных товаров собственного производства, выполнения работ и услуг собственными силами по видам экономической деятельности "Обрабатывающие производства", "Производство и распределение электроэнергии, газа и воды"</t>
  </si>
  <si>
    <t>Годовое значение</t>
  </si>
  <si>
    <t>Распределение субсидий местным бюджетам для софинансирования расходных обязательств по вопросам местного значения, предоставляемых с учетом выполнения показателей социально-экономического развития</t>
  </si>
  <si>
    <t>Объем закупок скота и птицы во всех категориях хозяйств (тонн)</t>
  </si>
  <si>
    <t>Объем закупок молока во всех категориях хозяйств (тонн)</t>
  </si>
  <si>
    <t>Темп роста среднемесячной номинальной заработной платы (по крупным и средним организациям) (%)</t>
  </si>
  <si>
    <t>План распределения за период</t>
  </si>
  <si>
    <t>Распределение за отчетный период</t>
  </si>
  <si>
    <t>Объем поступления в местный бюджет (консолидированный бюджет муниципального района) собственных доходов, за исключением безвозмездных поступлений, доходов от продажи материальных и нематериальных активов, доходов от уплаты акцизов на автомобильный и прямогонный бензин, дизельное топливо, моторные масла для дизельных и (или) карбюраторных (инжекторных) двигателей, подлежащих зачислению в консолидированные бюджеты субъектов Российской Федерации (тыс.рублей)</t>
  </si>
  <si>
    <t>4=3/2</t>
  </si>
  <si>
    <t>8=7/6</t>
  </si>
  <si>
    <t>12=10/11</t>
  </si>
  <si>
    <t>16=15/14</t>
  </si>
  <si>
    <t>тыс. рублей</t>
  </si>
  <si>
    <t>Объем поступления в местный бюджет (консолидированный бюджет муниципального района) собственных доходов, за исключением безвозмездных поступлений, доходов от продажи материальных и нематериальных активов, доходов от уплаты акцизов на автомобильный и прямогонный бензин, дизельное топливо, моторные масла для дизельных и (или) карбюраторных (инжекторных) двигателей, подлежащих зачислению в консолидированные бюджеты субъектов Российской Федерации</t>
  </si>
  <si>
    <t>Численность официально зарегистрированных безработных граждан (на конец периода) (человек)</t>
  </si>
  <si>
    <t>20=19/18</t>
  </si>
  <si>
    <t>24=23/22</t>
  </si>
  <si>
    <t>Объем отгруженных товаров собственного производства, выполненных работ и услуг собственными силами по видам экономической деятельности, относящимся к промышленному производству (тыс.рублей)</t>
  </si>
  <si>
    <t>Сводная оценка выполнения социально-экономических показателей</t>
  </si>
  <si>
    <t>Исполнение с уч. корректир. макс.  перевыполнения</t>
  </si>
  <si>
    <t>Распределение за отчётный период с учетом корректировок</t>
  </si>
  <si>
    <t>За I квартал 2016 года</t>
  </si>
  <si>
    <t>Оборот розничной торговли (тыс. рублей)</t>
  </si>
  <si>
    <t>Поголовье коров (голов)</t>
  </si>
  <si>
    <t>Производство молока во всех категориях хозяйств (тонн)</t>
  </si>
  <si>
    <t>Производство скота и птицы на убой (в живом весе) во всех категориях хозяйств (тонн)</t>
  </si>
  <si>
    <t>Раннее предоставленные субсидии</t>
  </si>
  <si>
    <t>За январь</t>
  </si>
  <si>
    <t>За февраль</t>
  </si>
  <si>
    <t>44=43/11мес.*3 мес.</t>
  </si>
  <si>
    <t>45=44*42</t>
  </si>
  <si>
    <t>46=45-44</t>
  </si>
  <si>
    <t>28=27/26</t>
  </si>
  <si>
    <t>32=31/30</t>
  </si>
  <si>
    <t>36=35/34</t>
  </si>
  <si>
    <t>40=39/38</t>
  </si>
  <si>
    <t>49=45-47-48</t>
  </si>
  <si>
    <t>Распределение за отчётный период за вычетом предоставленных субсидий за январь-февраль 2016 года</t>
  </si>
  <si>
    <t>Нарушен норматив формирования расходов на содержание органов местного самоуправления</t>
  </si>
  <si>
    <t>Распределение за отчётный период с учетом нарушения норматива формирования расходов на содержание органов местного самоуправления</t>
  </si>
  <si>
    <t>Корректировка распределения с учетом использования показателя 
"темп роста среднемесячной номинальной заработной платы" за февраль 2016 года</t>
  </si>
  <si>
    <t>53=51+52</t>
  </si>
  <si>
    <t>Распределение за отчётный период с учетом корректировки и удержания</t>
  </si>
  <si>
    <t>Размер ежемесячного удержания субсидий в связи с исполнением показателей за 2015 год</t>
  </si>
  <si>
    <t>55=53-54</t>
  </si>
  <si>
    <t>Оборот розничной торговли</t>
  </si>
  <si>
    <t xml:space="preserve"> + / -
(5)=(2)*(4)/(33)</t>
  </si>
  <si>
    <t xml:space="preserve"> + / -
(8)=(2)*(7)/(33)</t>
  </si>
  <si>
    <t xml:space="preserve"> + / -
(11)=(2)*(10)/(33)</t>
  </si>
  <si>
    <t xml:space="preserve"> + / -
(14)=(2)*(13)/(33)</t>
  </si>
  <si>
    <t xml:space="preserve"> + / -
(17)=(2)*(16)/(33)</t>
  </si>
  <si>
    <t xml:space="preserve"> + / -
(20)=(2)*(19)/(33)</t>
  </si>
  <si>
    <t xml:space="preserve"> + / -
(20)=(2)*(22)/(33)</t>
  </si>
  <si>
    <t xml:space="preserve"> + / -
(20)=(2)*(25)/(33)</t>
  </si>
  <si>
    <t xml:space="preserve"> + / -
(20)=(2)*(28)/(33)</t>
  </si>
  <si>
    <t xml:space="preserve"> + / -
(20)=(2)*(31)/(33)</t>
  </si>
  <si>
    <t>Факторный анализ влияния отдельных показателей на итоговое распределение за I квартал 2016 года</t>
  </si>
  <si>
    <t>57=55-56</t>
  </si>
  <si>
    <t>Корректировка распределения стимулирующих субсидий за 
I квартал 2016 года</t>
  </si>
  <si>
    <t>Предоставлено субсидий 
за I квартал без учета показателей "темп роста среднемесячной номинальной заработной платы" и "оборот розничной торговли" и уточнения выполнения показателя "Объем отгруженных товаров..." для м.р. Пестравский и с.п. Пестравка (м.р. Пестравский) за I квартал 2016 года</t>
  </si>
</sst>
</file>

<file path=xl/styles.xml><?xml version="1.0" encoding="utf-8"?>
<styleSheet xmlns="http://schemas.openxmlformats.org/spreadsheetml/2006/main">
  <numFmts count="8">
    <numFmt numFmtId="43" formatCode="_-* #,##0.00_р_._-;\-* #,##0.00_р_._-;_-* &quot;-&quot;??_р_._-;_-@_-"/>
    <numFmt numFmtId="164" formatCode="_-* #,##0_р_._-;\-* #,##0_р_._-;_-* &quot;-&quot;??_р_._-;_-@_-"/>
    <numFmt numFmtId="165" formatCode="#,##0.0"/>
    <numFmt numFmtId="166" formatCode="#,##0_ ;[Red]\-#,##0\ "/>
    <numFmt numFmtId="167" formatCode="#,##0.000_ ;[Red]\-#,##0.000\ "/>
    <numFmt numFmtId="168" formatCode="#,##0.0_ ;[Red]\-#,##0.0\ "/>
    <numFmt numFmtId="169" formatCode="#,##0.00_ ;[Red]\-#,##0.00\ "/>
    <numFmt numFmtId="170" formatCode="0.00_ ;[Red]\-0.00\ "/>
  </numFmts>
  <fonts count="22">
    <font>
      <sz val="10"/>
      <name val="Arial Cyr"/>
      <charset val="204"/>
    </font>
    <font>
      <sz val="10"/>
      <name val="Arial Cyr"/>
      <charset val="204"/>
    </font>
    <font>
      <sz val="9"/>
      <name val="Arial Narrow"/>
      <family val="2"/>
      <charset val="204"/>
    </font>
    <font>
      <sz val="10"/>
      <name val="Arial Narrow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 Cyr"/>
      <charset val="204"/>
    </font>
    <font>
      <i/>
      <sz val="8"/>
      <color indexed="23"/>
      <name val="Arial Cyr"/>
      <charset val="204"/>
    </font>
    <font>
      <sz val="10"/>
      <color indexed="62"/>
      <name val="Arial Cyr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Arial Narrow"/>
      <family val="2"/>
      <charset val="204"/>
    </font>
  </fonts>
  <fills count="20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darkDown">
        <fgColor indexed="10"/>
      </patternFill>
    </fill>
    <fill>
      <patternFill patternType="solid">
        <fgColor indexed="51"/>
      </patternFill>
    </fill>
    <fill>
      <patternFill patternType="solid">
        <fgColor indexed="31"/>
      </patternFill>
    </fill>
    <fill>
      <patternFill patternType="solid">
        <fgColor indexed="15"/>
      </patternFill>
    </fill>
    <fill>
      <patternFill patternType="solid">
        <fgColor indexed="13"/>
      </patternFill>
    </fill>
    <fill>
      <patternFill patternType="solid">
        <fgColor indexed="4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9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ashed">
        <color indexed="12"/>
      </left>
      <right style="dashed">
        <color indexed="12"/>
      </right>
      <top style="dashed">
        <color indexed="12"/>
      </top>
      <bottom style="dashed">
        <color indexed="1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6">
    <xf numFmtId="0" fontId="0" fillId="0" borderId="0"/>
    <xf numFmtId="0" fontId="4" fillId="0" borderId="1" applyNumberFormat="0">
      <alignment horizontal="right" vertical="top"/>
    </xf>
    <xf numFmtId="0" fontId="4" fillId="0" borderId="1" applyNumberFormat="0">
      <alignment horizontal="right" vertical="top"/>
    </xf>
    <xf numFmtId="0" fontId="4" fillId="4" borderId="1" applyNumberFormat="0">
      <alignment horizontal="right" vertical="top"/>
    </xf>
    <xf numFmtId="49" fontId="4" fillId="2" borderId="1">
      <alignment horizontal="left" vertical="top"/>
    </xf>
    <xf numFmtId="49" fontId="7" fillId="0" borderId="1">
      <alignment horizontal="left" vertical="top"/>
    </xf>
    <xf numFmtId="0" fontId="4" fillId="5" borderId="1">
      <alignment horizontal="left" vertical="top" wrapText="1"/>
    </xf>
    <xf numFmtId="0" fontId="7" fillId="0" borderId="1">
      <alignment horizontal="left" vertical="top" wrapText="1"/>
    </xf>
    <xf numFmtId="0" fontId="4" fillId="6" borderId="1">
      <alignment horizontal="left" vertical="top" wrapText="1"/>
    </xf>
    <xf numFmtId="0" fontId="4" fillId="7" borderId="1">
      <alignment horizontal="left" vertical="top" wrapText="1"/>
    </xf>
    <xf numFmtId="0" fontId="4" fillId="8" borderId="1">
      <alignment horizontal="left" vertical="top" wrapText="1"/>
    </xf>
    <xf numFmtId="0" fontId="4" fillId="9" borderId="1">
      <alignment horizontal="left" vertical="top" wrapText="1"/>
    </xf>
    <xf numFmtId="0" fontId="4" fillId="0" borderId="1">
      <alignment horizontal="left" vertical="top" wrapText="1"/>
    </xf>
    <xf numFmtId="0" fontId="8" fillId="0" borderId="0">
      <alignment horizontal="left" vertical="top"/>
    </xf>
    <xf numFmtId="0" fontId="11" fillId="0" borderId="0"/>
    <xf numFmtId="0" fontId="4" fillId="0" borderId="0">
      <alignment vertical="center" wrapText="1"/>
    </xf>
    <xf numFmtId="0" fontId="4" fillId="0" borderId="0">
      <alignment vertical="center" wrapText="1"/>
    </xf>
    <xf numFmtId="0" fontId="6" fillId="0" borderId="0">
      <alignment vertical="top" wrapText="1"/>
    </xf>
    <xf numFmtId="0" fontId="5" fillId="0" borderId="0">
      <alignment vertical="top" wrapText="1"/>
    </xf>
    <xf numFmtId="0" fontId="5" fillId="0" borderId="0">
      <alignment vertical="top" wrapText="1"/>
    </xf>
    <xf numFmtId="0" fontId="5" fillId="0" borderId="0"/>
    <xf numFmtId="0" fontId="4" fillId="0" borderId="0">
      <alignment vertical="center" wrapText="1"/>
    </xf>
    <xf numFmtId="0" fontId="5" fillId="0" borderId="0"/>
    <xf numFmtId="0" fontId="10" fillId="0" borderId="0"/>
    <xf numFmtId="0" fontId="11" fillId="0" borderId="0"/>
    <xf numFmtId="0" fontId="12" fillId="0" borderId="0"/>
    <xf numFmtId="0" fontId="4" fillId="0" borderId="0"/>
    <xf numFmtId="0" fontId="11" fillId="0" borderId="0"/>
    <xf numFmtId="0" fontId="11" fillId="0" borderId="0"/>
    <xf numFmtId="0" fontId="11" fillId="0" borderId="0"/>
    <xf numFmtId="0" fontId="4" fillId="5" borderId="2" applyNumberFormat="0">
      <alignment horizontal="right" vertical="top"/>
    </xf>
    <xf numFmtId="0" fontId="4" fillId="6" borderId="2" applyNumberFormat="0">
      <alignment horizontal="right" vertical="top"/>
    </xf>
    <xf numFmtId="0" fontId="4" fillId="0" borderId="1" applyNumberFormat="0">
      <alignment horizontal="right" vertical="top"/>
    </xf>
    <xf numFmtId="0" fontId="4" fillId="0" borderId="1" applyNumberFormat="0">
      <alignment horizontal="right" vertical="top"/>
    </xf>
    <xf numFmtId="0" fontId="4" fillId="7" borderId="2" applyNumberFormat="0">
      <alignment horizontal="right" vertical="top"/>
    </xf>
    <xf numFmtId="0" fontId="4" fillId="0" borderId="1" applyNumberFormat="0">
      <alignment horizontal="right" vertical="top"/>
    </xf>
    <xf numFmtId="49" fontId="9" fillId="3" borderId="1">
      <alignment horizontal="left" vertical="top" wrapText="1"/>
    </xf>
    <xf numFmtId="49" fontId="4" fillId="0" borderId="1">
      <alignment horizontal="left" vertical="top" wrapText="1"/>
    </xf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9" borderId="1">
      <alignment horizontal="left" vertical="top" wrapText="1"/>
    </xf>
    <xf numFmtId="0" fontId="4" fillId="0" borderId="1">
      <alignment horizontal="left" vertical="top" wrapText="1"/>
    </xf>
    <xf numFmtId="0" fontId="13" fillId="0" borderId="0"/>
  </cellStyleXfs>
  <cellXfs count="90">
    <xf numFmtId="0" fontId="0" fillId="0" borderId="0" xfId="0"/>
    <xf numFmtId="0" fontId="3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4" fontId="14" fillId="0" borderId="3" xfId="0" applyNumberFormat="1" applyFont="1" applyFill="1" applyBorder="1" applyAlignment="1">
      <alignment horizontal="center" vertical="center"/>
    </xf>
    <xf numFmtId="3" fontId="14" fillId="0" borderId="3" xfId="0" applyNumberFormat="1" applyFont="1" applyFill="1" applyBorder="1" applyAlignment="1">
      <alignment horizontal="center" vertical="center"/>
    </xf>
    <xf numFmtId="4" fontId="16" fillId="12" borderId="3" xfId="0" applyNumberFormat="1" applyFont="1" applyFill="1" applyBorder="1" applyAlignment="1">
      <alignment horizontal="center" vertical="center"/>
    </xf>
    <xf numFmtId="3" fontId="16" fillId="12" borderId="3" xfId="0" applyNumberFormat="1" applyFont="1" applyFill="1" applyBorder="1" applyAlignment="1">
      <alignment horizontal="center" vertical="center"/>
    </xf>
    <xf numFmtId="0" fontId="14" fillId="12" borderId="3" xfId="0" applyFont="1" applyFill="1" applyBorder="1" applyAlignment="1">
      <alignment vertical="center"/>
    </xf>
    <xf numFmtId="4" fontId="14" fillId="0" borderId="0" xfId="0" applyNumberFormat="1" applyFont="1" applyFill="1" applyBorder="1" applyAlignment="1">
      <alignment horizontal="center" vertical="center"/>
    </xf>
    <xf numFmtId="164" fontId="14" fillId="0" borderId="0" xfId="38" applyNumberFormat="1" applyFont="1" applyFill="1" applyBorder="1" applyAlignment="1">
      <alignment horizontal="left" vertical="center" wrapText="1"/>
    </xf>
    <xf numFmtId="0" fontId="15" fillId="0" borderId="3" xfId="45" applyFont="1" applyFill="1" applyBorder="1" applyAlignment="1">
      <alignment horizontal="center" vertical="top" wrapText="1"/>
    </xf>
    <xf numFmtId="0" fontId="15" fillId="0" borderId="3" xfId="45" applyFont="1" applyBorder="1" applyAlignment="1">
      <alignment vertical="top" wrapText="1"/>
    </xf>
    <xf numFmtId="0" fontId="15" fillId="0" borderId="3" xfId="0" applyFont="1" applyFill="1" applyBorder="1" applyAlignment="1">
      <alignment vertical="top" wrapText="1"/>
    </xf>
    <xf numFmtId="0" fontId="14" fillId="0" borderId="3" xfId="0" applyFont="1" applyBorder="1" applyAlignment="1">
      <alignment vertical="top" wrapText="1"/>
    </xf>
    <xf numFmtId="0" fontId="15" fillId="12" borderId="3" xfId="45" applyFont="1" applyFill="1" applyBorder="1" applyAlignment="1">
      <alignment vertical="top" wrapText="1"/>
    </xf>
    <xf numFmtId="0" fontId="15" fillId="12" borderId="3" xfId="45" applyFont="1" applyFill="1" applyBorder="1" applyAlignment="1">
      <alignment horizontal="center" vertical="top" wrapText="1"/>
    </xf>
    <xf numFmtId="0" fontId="15" fillId="12" borderId="3" xfId="0" applyFont="1" applyFill="1" applyBorder="1" applyAlignment="1">
      <alignment vertical="top" wrapText="1"/>
    </xf>
    <xf numFmtId="0" fontId="14" fillId="14" borderId="3" xfId="0" applyFont="1" applyFill="1" applyBorder="1" applyAlignment="1">
      <alignment vertical="top" wrapText="1"/>
    </xf>
    <xf numFmtId="0" fontId="17" fillId="0" borderId="0" xfId="0" applyFont="1" applyFill="1" applyBorder="1" applyAlignment="1">
      <alignment vertical="center"/>
    </xf>
    <xf numFmtId="166" fontId="16" fillId="12" borderId="3" xfId="0" applyNumberFormat="1" applyFont="1" applyFill="1" applyBorder="1" applyAlignment="1">
      <alignment vertical="center"/>
    </xf>
    <xf numFmtId="0" fontId="18" fillId="12" borderId="3" xfId="45" applyFont="1" applyFill="1" applyBorder="1" applyAlignment="1">
      <alignment horizontal="center" vertical="top" wrapText="1"/>
    </xf>
    <xf numFmtId="0" fontId="16" fillId="12" borderId="3" xfId="0" applyFont="1" applyFill="1" applyBorder="1" applyAlignment="1">
      <alignment vertical="center"/>
    </xf>
    <xf numFmtId="0" fontId="0" fillId="0" borderId="0" xfId="0" applyFont="1"/>
    <xf numFmtId="0" fontId="17" fillId="0" borderId="3" xfId="0" applyFont="1" applyBorder="1" applyAlignment="1">
      <alignment horizontal="center" vertical="center" wrapText="1"/>
    </xf>
    <xf numFmtId="0" fontId="17" fillId="16" borderId="3" xfId="0" applyFont="1" applyFill="1" applyBorder="1" applyAlignment="1">
      <alignment horizontal="center" vertical="center" wrapText="1"/>
    </xf>
    <xf numFmtId="0" fontId="19" fillId="12" borderId="3" xfId="45" applyFont="1" applyFill="1" applyBorder="1" applyAlignment="1">
      <alignment horizontal="left" vertical="top" wrapText="1"/>
    </xf>
    <xf numFmtId="4" fontId="17" fillId="0" borderId="3" xfId="0" applyNumberFormat="1" applyFont="1" applyBorder="1" applyAlignment="1">
      <alignment horizontal="center" vertical="center"/>
    </xf>
    <xf numFmtId="0" fontId="19" fillId="0" borderId="3" xfId="45" applyFont="1" applyBorder="1" applyAlignment="1">
      <alignment vertical="top" wrapText="1"/>
    </xf>
    <xf numFmtId="0" fontId="19" fillId="12" borderId="3" xfId="45" applyFont="1" applyFill="1" applyBorder="1" applyAlignment="1">
      <alignment vertical="top" wrapText="1"/>
    </xf>
    <xf numFmtId="0" fontId="19" fillId="0" borderId="3" xfId="0" applyFont="1" applyFill="1" applyBorder="1" applyAlignment="1">
      <alignment vertical="top" wrapText="1"/>
    </xf>
    <xf numFmtId="0" fontId="19" fillId="12" borderId="3" xfId="0" applyFont="1" applyFill="1" applyBorder="1" applyAlignment="1">
      <alignment vertical="top" wrapText="1"/>
    </xf>
    <xf numFmtId="0" fontId="17" fillId="14" borderId="3" xfId="0" applyFont="1" applyFill="1" applyBorder="1" applyAlignment="1">
      <alignment vertical="top" wrapText="1"/>
    </xf>
    <xf numFmtId="0" fontId="17" fillId="0" borderId="3" xfId="0" applyFont="1" applyBorder="1" applyAlignment="1">
      <alignment vertical="top" wrapText="1"/>
    </xf>
    <xf numFmtId="168" fontId="16" fillId="12" borderId="3" xfId="0" applyNumberFormat="1" applyFont="1" applyFill="1" applyBorder="1" applyAlignment="1">
      <alignment vertical="center"/>
    </xf>
    <xf numFmtId="168" fontId="14" fillId="0" borderId="3" xfId="0" applyNumberFormat="1" applyFont="1" applyFill="1" applyBorder="1" applyAlignment="1">
      <alignment horizontal="right" vertical="center"/>
    </xf>
    <xf numFmtId="0" fontId="15" fillId="12" borderId="3" xfId="45" applyFont="1" applyFill="1" applyBorder="1" applyAlignment="1">
      <alignment horizontal="left" vertical="top" wrapText="1"/>
    </xf>
    <xf numFmtId="165" fontId="16" fillId="12" borderId="3" xfId="0" applyNumberFormat="1" applyFont="1" applyFill="1" applyBorder="1" applyAlignment="1">
      <alignment vertical="center"/>
    </xf>
    <xf numFmtId="3" fontId="16" fillId="12" borderId="3" xfId="0" applyNumberFormat="1" applyFont="1" applyFill="1" applyBorder="1" applyAlignment="1">
      <alignment horizontal="center" vertical="center" wrapText="1"/>
    </xf>
    <xf numFmtId="165" fontId="16" fillId="12" borderId="3" xfId="0" applyNumberFormat="1" applyFont="1" applyFill="1" applyBorder="1" applyAlignment="1">
      <alignment horizontal="center" vertical="center" wrapText="1"/>
    </xf>
    <xf numFmtId="0" fontId="16" fillId="13" borderId="3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168" fontId="16" fillId="13" borderId="3" xfId="0" applyNumberFormat="1" applyFont="1" applyFill="1" applyBorder="1" applyAlignment="1">
      <alignment vertical="center"/>
    </xf>
    <xf numFmtId="4" fontId="16" fillId="13" borderId="3" xfId="0" applyNumberFormat="1" applyFont="1" applyFill="1" applyBorder="1" applyAlignment="1">
      <alignment horizontal="center" vertical="center"/>
    </xf>
    <xf numFmtId="167" fontId="14" fillId="0" borderId="3" xfId="0" applyNumberFormat="1" applyFont="1" applyFill="1" applyBorder="1" applyAlignment="1">
      <alignment horizontal="right" vertical="center"/>
    </xf>
    <xf numFmtId="166" fontId="14" fillId="0" borderId="3" xfId="0" applyNumberFormat="1" applyFont="1" applyFill="1" applyBorder="1" applyAlignment="1">
      <alignment horizontal="right" vertical="center"/>
    </xf>
    <xf numFmtId="0" fontId="14" fillId="0" borderId="3" xfId="0" applyFont="1" applyFill="1" applyBorder="1" applyAlignment="1">
      <alignment vertical="top" wrapText="1"/>
    </xf>
    <xf numFmtId="0" fontId="17" fillId="0" borderId="0" xfId="0" applyFont="1" applyAlignment="1">
      <alignment horizontal="right"/>
    </xf>
    <xf numFmtId="0" fontId="17" fillId="16" borderId="3" xfId="0" applyNumberFormat="1" applyFont="1" applyFill="1" applyBorder="1" applyAlignment="1">
      <alignment horizontal="center" vertical="center" wrapText="1"/>
    </xf>
    <xf numFmtId="0" fontId="20" fillId="14" borderId="3" xfId="0" applyFont="1" applyFill="1" applyBorder="1" applyAlignment="1">
      <alignment vertical="top" wrapText="1"/>
    </xf>
    <xf numFmtId="0" fontId="7" fillId="0" borderId="0" xfId="0" applyFont="1"/>
    <xf numFmtId="168" fontId="20" fillId="12" borderId="3" xfId="0" applyNumberFormat="1" applyFont="1" applyFill="1" applyBorder="1" applyAlignment="1">
      <alignment vertical="center"/>
    </xf>
    <xf numFmtId="168" fontId="17" fillId="0" borderId="3" xfId="0" applyNumberFormat="1" applyFont="1" applyFill="1" applyBorder="1" applyAlignment="1">
      <alignment horizontal="right" vertical="center"/>
    </xf>
    <xf numFmtId="168" fontId="20" fillId="14" borderId="3" xfId="0" applyNumberFormat="1" applyFont="1" applyFill="1" applyBorder="1" applyAlignment="1">
      <alignment vertical="center"/>
    </xf>
    <xf numFmtId="169" fontId="17" fillId="0" borderId="3" xfId="0" applyNumberFormat="1" applyFont="1" applyBorder="1"/>
    <xf numFmtId="168" fontId="17" fillId="15" borderId="3" xfId="0" applyNumberFormat="1" applyFont="1" applyFill="1" applyBorder="1"/>
    <xf numFmtId="3" fontId="17" fillId="0" borderId="3" xfId="0" applyNumberFormat="1" applyFont="1" applyFill="1" applyBorder="1" applyAlignment="1">
      <alignment horizontal="center" vertical="center"/>
    </xf>
    <xf numFmtId="3" fontId="17" fillId="0" borderId="3" xfId="0" applyNumberFormat="1" applyFont="1" applyBorder="1" applyAlignment="1">
      <alignment horizontal="center"/>
    </xf>
    <xf numFmtId="3" fontId="17" fillId="0" borderId="3" xfId="0" applyNumberFormat="1" applyFont="1" applyFill="1" applyBorder="1" applyAlignment="1">
      <alignment horizontal="center"/>
    </xf>
    <xf numFmtId="165" fontId="14" fillId="0" borderId="3" xfId="0" applyNumberFormat="1" applyFont="1" applyFill="1" applyBorder="1" applyAlignment="1">
      <alignment horizontal="center" vertical="center"/>
    </xf>
    <xf numFmtId="169" fontId="17" fillId="0" borderId="3" xfId="0" applyNumberFormat="1" applyFont="1" applyBorder="1" applyAlignment="1">
      <alignment horizontal="center"/>
    </xf>
    <xf numFmtId="168" fontId="15" fillId="0" borderId="3" xfId="45" applyNumberFormat="1" applyFont="1" applyFill="1" applyBorder="1" applyAlignment="1">
      <alignment horizontal="center" vertical="top" wrapText="1"/>
    </xf>
    <xf numFmtId="166" fontId="16" fillId="13" borderId="3" xfId="0" applyNumberFormat="1" applyFont="1" applyFill="1" applyBorder="1" applyAlignment="1">
      <alignment vertical="center"/>
    </xf>
    <xf numFmtId="0" fontId="2" fillId="11" borderId="3" xfId="0" applyFont="1" applyFill="1" applyBorder="1" applyAlignment="1">
      <alignment horizontal="center" vertical="center" wrapText="1"/>
    </xf>
    <xf numFmtId="0" fontId="2" fillId="11" borderId="3" xfId="0" applyFont="1" applyFill="1" applyBorder="1" applyAlignment="1">
      <alignment horizontal="center" vertical="center" wrapText="1"/>
    </xf>
    <xf numFmtId="0" fontId="2" fillId="19" borderId="3" xfId="0" applyFont="1" applyFill="1" applyBorder="1" applyAlignment="1">
      <alignment horizontal="center" vertical="center" wrapText="1"/>
    </xf>
    <xf numFmtId="0" fontId="2" fillId="18" borderId="3" xfId="0" applyFont="1" applyFill="1" applyBorder="1" applyAlignment="1">
      <alignment horizontal="center" vertical="center" wrapText="1"/>
    </xf>
    <xf numFmtId="3" fontId="16" fillId="13" borderId="3" xfId="0" applyNumberFormat="1" applyFont="1" applyFill="1" applyBorder="1" applyAlignment="1">
      <alignment horizontal="center" vertical="center"/>
    </xf>
    <xf numFmtId="0" fontId="17" fillId="11" borderId="3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right" vertical="center"/>
    </xf>
    <xf numFmtId="0" fontId="17" fillId="19" borderId="5" xfId="0" applyFont="1" applyFill="1" applyBorder="1" applyAlignment="1">
      <alignment horizontal="center" vertical="center" wrapText="1"/>
    </xf>
    <xf numFmtId="170" fontId="17" fillId="0" borderId="3" xfId="0" applyNumberFormat="1" applyFont="1" applyFill="1" applyBorder="1"/>
    <xf numFmtId="170" fontId="20" fillId="12" borderId="3" xfId="0" applyNumberFormat="1" applyFont="1" applyFill="1" applyBorder="1" applyAlignment="1">
      <alignment vertical="center"/>
    </xf>
    <xf numFmtId="170" fontId="17" fillId="0" borderId="3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 vertical="center"/>
    </xf>
    <xf numFmtId="0" fontId="2" fillId="19" borderId="3" xfId="0" applyFont="1" applyFill="1" applyBorder="1" applyAlignment="1">
      <alignment horizontal="center" vertical="center" wrapText="1"/>
    </xf>
    <xf numFmtId="0" fontId="2" fillId="17" borderId="3" xfId="0" applyFont="1" applyFill="1" applyBorder="1" applyAlignment="1">
      <alignment horizontal="center" vertical="center" wrapText="1"/>
    </xf>
    <xf numFmtId="0" fontId="2" fillId="18" borderId="3" xfId="0" applyFont="1" applyFill="1" applyBorder="1" applyAlignment="1">
      <alignment horizontal="center" vertical="center" wrapText="1"/>
    </xf>
    <xf numFmtId="0" fontId="3" fillId="18" borderId="3" xfId="0" applyFont="1" applyFill="1" applyBorder="1" applyAlignment="1">
      <alignment horizontal="center" vertical="center" wrapText="1"/>
    </xf>
    <xf numFmtId="0" fontId="2" fillId="13" borderId="3" xfId="0" applyFont="1" applyFill="1" applyBorder="1" applyAlignment="1">
      <alignment horizontal="center" vertical="center" wrapText="1"/>
    </xf>
    <xf numFmtId="0" fontId="2" fillId="18" borderId="4" xfId="0" applyFont="1" applyFill="1" applyBorder="1" applyAlignment="1">
      <alignment horizontal="center" vertical="center" wrapText="1"/>
    </xf>
    <xf numFmtId="0" fontId="2" fillId="18" borderId="5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/>
    </xf>
    <xf numFmtId="0" fontId="2" fillId="11" borderId="3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17" fillId="18" borderId="3" xfId="0" applyFont="1" applyFill="1" applyBorder="1" applyAlignment="1">
      <alignment horizontal="center" vertical="center" wrapText="1"/>
    </xf>
    <xf numFmtId="0" fontId="17" fillId="17" borderId="3" xfId="0" applyNumberFormat="1" applyFont="1" applyFill="1" applyBorder="1" applyAlignment="1">
      <alignment horizontal="center" vertical="center" wrapText="1"/>
    </xf>
    <xf numFmtId="0" fontId="17" fillId="10" borderId="3" xfId="0" applyFont="1" applyFill="1" applyBorder="1" applyAlignment="1">
      <alignment horizontal="center" vertical="center" wrapText="1"/>
    </xf>
    <xf numFmtId="0" fontId="17" fillId="11" borderId="3" xfId="0" applyFont="1" applyFill="1" applyBorder="1" applyAlignment="1">
      <alignment horizontal="center" vertical="center" wrapText="1"/>
    </xf>
    <xf numFmtId="0" fontId="17" fillId="19" borderId="3" xfId="0" applyFont="1" applyFill="1" applyBorder="1" applyAlignment="1">
      <alignment horizontal="center" vertical="center" wrapText="1"/>
    </xf>
  </cellXfs>
  <cellStyles count="46">
    <cellStyle name="Данные (редактируемые)" xfId="1"/>
    <cellStyle name="Данные (только для чтения)" xfId="2"/>
    <cellStyle name="Данные для удаления" xfId="3"/>
    <cellStyle name="Заголовки полей" xfId="4"/>
    <cellStyle name="Заголовки полей [печать]" xfId="5"/>
    <cellStyle name="Заголовок меры" xfId="6"/>
    <cellStyle name="Заголовок показателя [печать]" xfId="7"/>
    <cellStyle name="Заголовок показателя константы" xfId="8"/>
    <cellStyle name="Заголовок результата расчета" xfId="9"/>
    <cellStyle name="Заголовок свободного показателя" xfId="10"/>
    <cellStyle name="Значение фильтра" xfId="11"/>
    <cellStyle name="Значение фильтра [печать]" xfId="12"/>
    <cellStyle name="Информация о задаче" xfId="13"/>
    <cellStyle name="Обычный" xfId="0" builtinId="0"/>
    <cellStyle name="Обычный 10" xfId="14"/>
    <cellStyle name="Обычный 2" xfId="15"/>
    <cellStyle name="Обычный 2 2" xfId="16"/>
    <cellStyle name="Обычный 2 3" xfId="17"/>
    <cellStyle name="Обычный 2 3 2" xfId="18"/>
    <cellStyle name="Обычный 2 3_доходы поселений" xfId="19"/>
    <cellStyle name="Обычный 2 4" xfId="20"/>
    <cellStyle name="Обычный 2_доходы поселений" xfId="21"/>
    <cellStyle name="Обычный 3" xfId="22"/>
    <cellStyle name="Обычный 3 2" xfId="23"/>
    <cellStyle name="Обычный 4" xfId="24"/>
    <cellStyle name="Обычный 5" xfId="25"/>
    <cellStyle name="Обычный 6" xfId="26"/>
    <cellStyle name="Обычный 7" xfId="27"/>
    <cellStyle name="Обычный 8" xfId="28"/>
    <cellStyle name="Обычный 9" xfId="29"/>
    <cellStyle name="Обычный_Показатели для дотаций_для_мисьма_в_министерства" xfId="45"/>
    <cellStyle name="Отдельная ячейка" xfId="30"/>
    <cellStyle name="Отдельная ячейка - константа" xfId="31"/>
    <cellStyle name="Отдельная ячейка - константа [печать]" xfId="32"/>
    <cellStyle name="Отдельная ячейка [печать]" xfId="33"/>
    <cellStyle name="Отдельная ячейка-результат" xfId="34"/>
    <cellStyle name="Отдельная ячейка-результат [печать]" xfId="35"/>
    <cellStyle name="Свойства элементов измерения" xfId="36"/>
    <cellStyle name="Свойства элементов измерения [печать]" xfId="37"/>
    <cellStyle name="Финансовый" xfId="38" builtinId="3"/>
    <cellStyle name="Финансовый 2" xfId="39"/>
    <cellStyle name="Финансовый 2 2" xfId="40"/>
    <cellStyle name="Финансовый 2 2 2" xfId="41"/>
    <cellStyle name="Финансовый 3" xfId="42"/>
    <cellStyle name="Элементы осей" xfId="43"/>
    <cellStyle name="Элементы осей [печать]" xfId="4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7979"/>
      <rgbColor rgb="0000FF00"/>
      <rgbColor rgb="000000FF"/>
      <rgbColor rgb="00FFFF8F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DFFFF"/>
      <rgbColor rgb="00D9FFD9"/>
      <rgbColor rgb="00FFFFCD"/>
      <rgbColor rgb="0099CCFF"/>
      <rgbColor rgb="00FFE5F2"/>
      <rgbColor rgb="00EAD5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FF99"/>
      <color rgb="FFFF9999"/>
      <color rgb="FFFFFFCC"/>
      <color rgb="FF008A3E"/>
      <color rgb="FFCC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5">
    <tabColor indexed="42"/>
  </sheetPr>
  <dimension ref="A1:HA369"/>
  <sheetViews>
    <sheetView tabSelected="1" view="pageBreakPreview" zoomScale="80" zoomScaleNormal="70" zoomScaleSheetLayoutView="80" workbookViewId="0">
      <pane xSplit="1" ySplit="5" topLeftCell="B6" activePane="bottomRight" state="frozen"/>
      <selection pane="topRight" activeCell="B1" sqref="B1"/>
      <selection pane="bottomLeft" activeCell="A8" sqref="A8"/>
      <selection pane="bottomRight" activeCell="A2" sqref="A2"/>
    </sheetView>
  </sheetViews>
  <sheetFormatPr defaultColWidth="9.109375" defaultRowHeight="13.25"/>
  <cols>
    <col min="1" max="1" width="44.6640625" style="1" customWidth="1"/>
    <col min="2" max="2" width="16.21875" style="1" bestFit="1" customWidth="1"/>
    <col min="3" max="3" width="16.6640625" style="1" bestFit="1" customWidth="1"/>
    <col min="4" max="4" width="13" style="1" bestFit="1" customWidth="1"/>
    <col min="5" max="5" width="4.88671875" style="1" customWidth="1"/>
    <col min="6" max="6" width="9.109375" style="1" customWidth="1"/>
    <col min="7" max="7" width="10.5546875" style="1" customWidth="1"/>
    <col min="8" max="8" width="13" style="1" bestFit="1" customWidth="1"/>
    <col min="9" max="9" width="5.109375" style="1" customWidth="1"/>
    <col min="10" max="10" width="10.21875" style="1" bestFit="1" customWidth="1"/>
    <col min="11" max="11" width="10.44140625" style="1" bestFit="1" customWidth="1"/>
    <col min="12" max="12" width="13" style="1" bestFit="1" customWidth="1"/>
    <col min="13" max="13" width="5.33203125" style="1" customWidth="1"/>
    <col min="14" max="14" width="16.21875" style="1" bestFit="1" customWidth="1"/>
    <col min="15" max="15" width="13.44140625" style="1" bestFit="1" customWidth="1"/>
    <col min="16" max="16" width="13" style="1" bestFit="1" customWidth="1"/>
    <col min="17" max="17" width="5.109375" style="1" customWidth="1"/>
    <col min="18" max="19" width="10.33203125" style="1" customWidth="1"/>
    <col min="20" max="20" width="13" style="1" bestFit="1" customWidth="1"/>
    <col min="21" max="21" width="4.88671875" style="1" customWidth="1"/>
    <col min="22" max="23" width="10.44140625" style="1" bestFit="1" customWidth="1"/>
    <col min="24" max="24" width="13" style="1" bestFit="1" customWidth="1"/>
    <col min="25" max="25" width="4.6640625" style="1" customWidth="1"/>
    <col min="26" max="27" width="16.109375" style="1" bestFit="1" customWidth="1"/>
    <col min="28" max="28" width="13.77734375" style="1" customWidth="1"/>
    <col min="29" max="29" width="6.109375" style="1" customWidth="1"/>
    <col min="30" max="30" width="11.6640625" style="1" bestFit="1" customWidth="1"/>
    <col min="31" max="31" width="13.21875" style="1" customWidth="1"/>
    <col min="32" max="32" width="16.33203125" style="1" customWidth="1"/>
    <col min="33" max="33" width="5.5546875" style="1" customWidth="1"/>
    <col min="34" max="34" width="12.5546875" style="1" customWidth="1"/>
    <col min="35" max="35" width="12.21875" style="1" customWidth="1"/>
    <col min="36" max="36" width="16.109375" style="1" customWidth="1"/>
    <col min="37" max="37" width="5.77734375" style="1" customWidth="1"/>
    <col min="38" max="38" width="11.6640625" style="1" customWidth="1"/>
    <col min="39" max="39" width="13.21875" style="1" customWidth="1"/>
    <col min="40" max="40" width="14.5546875" style="1" customWidth="1"/>
    <col min="41" max="41" width="6.44140625" style="1" customWidth="1"/>
    <col min="42" max="42" width="13" style="1" customWidth="1"/>
    <col min="43" max="43" width="11.77734375" style="1" customWidth="1"/>
    <col min="44" max="44" width="19.6640625" style="1" customWidth="1"/>
    <col min="45" max="45" width="13.5546875" style="1" customWidth="1"/>
    <col min="46" max="52" width="14.33203125" style="1" customWidth="1"/>
    <col min="53" max="53" width="15" style="1" bestFit="1" customWidth="1"/>
    <col min="54" max="54" width="14.33203125" style="1" customWidth="1"/>
    <col min="55" max="55" width="13.88671875" style="1" bestFit="1" customWidth="1"/>
    <col min="56" max="56" width="24.44140625" style="1" customWidth="1"/>
    <col min="57" max="57" width="13.6640625" style="1" customWidth="1"/>
    <col min="58" max="58" width="72" style="1" customWidth="1"/>
    <col min="59" max="59" width="9.109375" style="1" customWidth="1"/>
    <col min="60" max="16384" width="9.109375" style="1"/>
  </cols>
  <sheetData>
    <row r="1" spans="1:71" ht="21.75" customHeight="1">
      <c r="A1" s="82" t="s">
        <v>372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</row>
    <row r="2" spans="1:71" ht="15.55">
      <c r="A2" s="74" t="s">
        <v>392</v>
      </c>
      <c r="BE2" s="69" t="s">
        <v>383</v>
      </c>
    </row>
    <row r="3" spans="1:71" ht="134.35" customHeight="1">
      <c r="A3" s="78" t="s">
        <v>15</v>
      </c>
      <c r="B3" s="83" t="s">
        <v>388</v>
      </c>
      <c r="C3" s="83"/>
      <c r="D3" s="83"/>
      <c r="E3" s="83"/>
      <c r="F3" s="83" t="s">
        <v>375</v>
      </c>
      <c r="G3" s="83"/>
      <c r="H3" s="83"/>
      <c r="I3" s="83"/>
      <c r="J3" s="83" t="s">
        <v>385</v>
      </c>
      <c r="K3" s="83"/>
      <c r="L3" s="83"/>
      <c r="M3" s="83"/>
      <c r="N3" s="83" t="s">
        <v>378</v>
      </c>
      <c r="O3" s="83"/>
      <c r="P3" s="83"/>
      <c r="Q3" s="83"/>
      <c r="R3" s="83" t="s">
        <v>374</v>
      </c>
      <c r="S3" s="83"/>
      <c r="T3" s="83"/>
      <c r="U3" s="83"/>
      <c r="V3" s="83" t="s">
        <v>373</v>
      </c>
      <c r="W3" s="83"/>
      <c r="X3" s="83"/>
      <c r="Y3" s="83"/>
      <c r="Z3" s="75" t="s">
        <v>393</v>
      </c>
      <c r="AA3" s="75"/>
      <c r="AB3" s="75"/>
      <c r="AC3" s="75"/>
      <c r="AD3" s="75" t="s">
        <v>394</v>
      </c>
      <c r="AE3" s="75"/>
      <c r="AF3" s="75"/>
      <c r="AG3" s="75"/>
      <c r="AH3" s="75" t="s">
        <v>395</v>
      </c>
      <c r="AI3" s="75"/>
      <c r="AJ3" s="75"/>
      <c r="AK3" s="75"/>
      <c r="AL3" s="75" t="s">
        <v>396</v>
      </c>
      <c r="AM3" s="75"/>
      <c r="AN3" s="75"/>
      <c r="AO3" s="75"/>
      <c r="AP3" s="76" t="s">
        <v>389</v>
      </c>
      <c r="AQ3" s="79" t="s">
        <v>371</v>
      </c>
      <c r="AR3" s="77" t="s">
        <v>376</v>
      </c>
      <c r="AS3" s="77" t="s">
        <v>377</v>
      </c>
      <c r="AT3" s="77" t="s">
        <v>368</v>
      </c>
      <c r="AU3" s="80" t="s">
        <v>397</v>
      </c>
      <c r="AV3" s="81"/>
      <c r="AW3" s="77" t="s">
        <v>408</v>
      </c>
      <c r="AX3" s="77" t="s">
        <v>409</v>
      </c>
      <c r="AY3" s="77" t="s">
        <v>410</v>
      </c>
      <c r="AZ3" s="78" t="s">
        <v>411</v>
      </c>
      <c r="BA3" s="78" t="s">
        <v>391</v>
      </c>
      <c r="BB3" s="78" t="s">
        <v>414</v>
      </c>
      <c r="BC3" s="78" t="s">
        <v>413</v>
      </c>
      <c r="BD3" s="78" t="s">
        <v>430</v>
      </c>
      <c r="BE3" s="78" t="s">
        <v>429</v>
      </c>
    </row>
    <row r="4" spans="1:71" ht="42.05" customHeight="1">
      <c r="A4" s="78"/>
      <c r="B4" s="63" t="s">
        <v>360</v>
      </c>
      <c r="C4" s="63" t="s">
        <v>361</v>
      </c>
      <c r="D4" s="64" t="s">
        <v>390</v>
      </c>
      <c r="E4" s="63" t="s">
        <v>16</v>
      </c>
      <c r="F4" s="63" t="s">
        <v>360</v>
      </c>
      <c r="G4" s="63" t="s">
        <v>361</v>
      </c>
      <c r="H4" s="64" t="s">
        <v>390</v>
      </c>
      <c r="I4" s="63" t="s">
        <v>16</v>
      </c>
      <c r="J4" s="63" t="s">
        <v>360</v>
      </c>
      <c r="K4" s="63" t="s">
        <v>361</v>
      </c>
      <c r="L4" s="64" t="s">
        <v>390</v>
      </c>
      <c r="M4" s="63" t="s">
        <v>16</v>
      </c>
      <c r="N4" s="63" t="s">
        <v>360</v>
      </c>
      <c r="O4" s="63" t="s">
        <v>361</v>
      </c>
      <c r="P4" s="64" t="s">
        <v>390</v>
      </c>
      <c r="Q4" s="63" t="s">
        <v>16</v>
      </c>
      <c r="R4" s="63" t="s">
        <v>360</v>
      </c>
      <c r="S4" s="63" t="s">
        <v>361</v>
      </c>
      <c r="T4" s="64" t="s">
        <v>390</v>
      </c>
      <c r="U4" s="63" t="s">
        <v>16</v>
      </c>
      <c r="V4" s="63" t="s">
        <v>360</v>
      </c>
      <c r="W4" s="63" t="s">
        <v>361</v>
      </c>
      <c r="X4" s="64" t="s">
        <v>390</v>
      </c>
      <c r="Y4" s="63" t="s">
        <v>16</v>
      </c>
      <c r="Z4" s="65" t="s">
        <v>360</v>
      </c>
      <c r="AA4" s="65" t="s">
        <v>361</v>
      </c>
      <c r="AB4" s="65" t="s">
        <v>390</v>
      </c>
      <c r="AC4" s="65" t="s">
        <v>16</v>
      </c>
      <c r="AD4" s="65" t="s">
        <v>360</v>
      </c>
      <c r="AE4" s="65" t="s">
        <v>361</v>
      </c>
      <c r="AF4" s="65" t="s">
        <v>390</v>
      </c>
      <c r="AG4" s="65" t="s">
        <v>16</v>
      </c>
      <c r="AH4" s="65" t="s">
        <v>360</v>
      </c>
      <c r="AI4" s="65" t="s">
        <v>361</v>
      </c>
      <c r="AJ4" s="65" t="s">
        <v>390</v>
      </c>
      <c r="AK4" s="65" t="s">
        <v>16</v>
      </c>
      <c r="AL4" s="65" t="s">
        <v>360</v>
      </c>
      <c r="AM4" s="65" t="s">
        <v>361</v>
      </c>
      <c r="AN4" s="65" t="s">
        <v>390</v>
      </c>
      <c r="AO4" s="65" t="s">
        <v>16</v>
      </c>
      <c r="AP4" s="76"/>
      <c r="AQ4" s="79"/>
      <c r="AR4" s="77"/>
      <c r="AS4" s="77"/>
      <c r="AT4" s="77"/>
      <c r="AU4" s="66" t="s">
        <v>398</v>
      </c>
      <c r="AV4" s="66" t="s">
        <v>399</v>
      </c>
      <c r="AW4" s="77"/>
      <c r="AX4" s="77"/>
      <c r="AY4" s="77"/>
      <c r="AZ4" s="78"/>
      <c r="BA4" s="78"/>
      <c r="BB4" s="78"/>
      <c r="BC4" s="78"/>
      <c r="BD4" s="78"/>
      <c r="BE4" s="78"/>
    </row>
    <row r="5" spans="1:71" s="19" customFormat="1" ht="14" customHeight="1">
      <c r="A5" s="25">
        <v>1</v>
      </c>
      <c r="B5" s="25">
        <v>2</v>
      </c>
      <c r="C5" s="25">
        <v>3</v>
      </c>
      <c r="D5" s="25" t="s">
        <v>379</v>
      </c>
      <c r="E5" s="25">
        <v>5</v>
      </c>
      <c r="F5" s="25">
        <v>6</v>
      </c>
      <c r="G5" s="25">
        <v>7</v>
      </c>
      <c r="H5" s="25" t="s">
        <v>380</v>
      </c>
      <c r="I5" s="25">
        <v>9</v>
      </c>
      <c r="J5" s="25">
        <v>10</v>
      </c>
      <c r="K5" s="25">
        <v>11</v>
      </c>
      <c r="L5" s="25" t="s">
        <v>381</v>
      </c>
      <c r="M5" s="25">
        <v>13</v>
      </c>
      <c r="N5" s="25">
        <v>14</v>
      </c>
      <c r="O5" s="25">
        <v>15</v>
      </c>
      <c r="P5" s="25" t="s">
        <v>382</v>
      </c>
      <c r="Q5" s="25">
        <v>17</v>
      </c>
      <c r="R5" s="25">
        <v>18</v>
      </c>
      <c r="S5" s="25">
        <v>19</v>
      </c>
      <c r="T5" s="25" t="s">
        <v>386</v>
      </c>
      <c r="U5" s="25">
        <v>21</v>
      </c>
      <c r="V5" s="25">
        <v>22</v>
      </c>
      <c r="W5" s="25">
        <v>23</v>
      </c>
      <c r="X5" s="25" t="s">
        <v>387</v>
      </c>
      <c r="Y5" s="25">
        <v>25</v>
      </c>
      <c r="Z5" s="25">
        <v>26</v>
      </c>
      <c r="AA5" s="25">
        <v>27</v>
      </c>
      <c r="AB5" s="25" t="s">
        <v>403</v>
      </c>
      <c r="AC5" s="25">
        <v>29</v>
      </c>
      <c r="AD5" s="25">
        <v>30</v>
      </c>
      <c r="AE5" s="25">
        <v>31</v>
      </c>
      <c r="AF5" s="25" t="s">
        <v>404</v>
      </c>
      <c r="AG5" s="25">
        <v>33</v>
      </c>
      <c r="AH5" s="25">
        <v>34</v>
      </c>
      <c r="AI5" s="25">
        <v>35</v>
      </c>
      <c r="AJ5" s="25" t="s">
        <v>405</v>
      </c>
      <c r="AK5" s="25">
        <v>37</v>
      </c>
      <c r="AL5" s="25">
        <v>38</v>
      </c>
      <c r="AM5" s="25">
        <v>39</v>
      </c>
      <c r="AN5" s="25" t="s">
        <v>406</v>
      </c>
      <c r="AO5" s="25">
        <v>41</v>
      </c>
      <c r="AP5" s="25">
        <v>42</v>
      </c>
      <c r="AQ5" s="25">
        <v>43</v>
      </c>
      <c r="AR5" s="25" t="s">
        <v>400</v>
      </c>
      <c r="AS5" s="25" t="s">
        <v>401</v>
      </c>
      <c r="AT5" s="25" t="s">
        <v>402</v>
      </c>
      <c r="AU5" s="25">
        <v>47</v>
      </c>
      <c r="AV5" s="25">
        <v>48</v>
      </c>
      <c r="AW5" s="25" t="s">
        <v>407</v>
      </c>
      <c r="AX5" s="25">
        <v>50</v>
      </c>
      <c r="AY5" s="25">
        <v>51</v>
      </c>
      <c r="AZ5" s="25">
        <v>52</v>
      </c>
      <c r="BA5" s="25" t="s">
        <v>412</v>
      </c>
      <c r="BB5" s="25">
        <v>54</v>
      </c>
      <c r="BC5" s="25" t="s">
        <v>415</v>
      </c>
      <c r="BD5" s="25">
        <v>56</v>
      </c>
      <c r="BE5" s="25" t="s">
        <v>428</v>
      </c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1:71" s="3" customFormat="1" ht="17" customHeight="1">
      <c r="A6" s="36" t="s">
        <v>4</v>
      </c>
      <c r="B6" s="34">
        <f>SUM(B7:B16)</f>
        <v>206858904</v>
      </c>
      <c r="C6" s="34">
        <f>SUM(C7:C16)</f>
        <v>194908428.89999998</v>
      </c>
      <c r="D6" s="6">
        <f>IF(C6/B6&gt;1.2,IF((C6/B6-1)*0.1+1.2&gt;1.3,1.3,(C6/B6-1.2)*0.1+1.2),C6/B6)</f>
        <v>0.94222885808193191</v>
      </c>
      <c r="E6" s="21"/>
      <c r="F6" s="37"/>
      <c r="G6" s="37"/>
      <c r="H6" s="6"/>
      <c r="I6" s="21"/>
      <c r="J6" s="34">
        <f>SUM(J7:J16)</f>
        <v>16150</v>
      </c>
      <c r="K6" s="34">
        <f>SUM(K7:K16)</f>
        <v>19455</v>
      </c>
      <c r="L6" s="6">
        <f>IF(J6/K6&gt;1.2,IF((J6/K6-1)*0.1+1.2&gt;1.3,1.3,(J6/K6-1.2)*0.1+1.2),J6/K6)</f>
        <v>0.8301207915702904</v>
      </c>
      <c r="M6" s="21"/>
      <c r="N6" s="34">
        <f>SUM(N7:N16)</f>
        <v>5125836.0000000009</v>
      </c>
      <c r="O6" s="34">
        <f>SUM(O7:O16)</f>
        <v>4941185.6000000006</v>
      </c>
      <c r="P6" s="6">
        <f>IF(O6/N6&gt;1.2,IF((O6/N6-1.2)*0.1+1.2&gt;1.3,1.3,(O6/N6-1.2)*0.1+1.2),O6/N6)</f>
        <v>0.96397652987727267</v>
      </c>
      <c r="Q6" s="21"/>
      <c r="R6" s="38"/>
      <c r="S6" s="38"/>
      <c r="T6" s="38"/>
      <c r="U6" s="21"/>
      <c r="V6" s="38"/>
      <c r="W6" s="39"/>
      <c r="X6" s="39"/>
      <c r="Y6" s="21"/>
      <c r="Z6" s="34">
        <f>SUM(Z7:Z16)</f>
        <v>118652027.5</v>
      </c>
      <c r="AA6" s="34">
        <f>SUM(AA7:AA16)</f>
        <v>108888327</v>
      </c>
      <c r="AB6" s="6">
        <f>IF(AA6/Z6&gt;1.2,IF((AA6/Z6-1.2)*0.1+1.2&gt;1.3,1.3,(AA6/Z6-1.2)*0.1+1.2),AA6/Z6)</f>
        <v>0.91771147357764282</v>
      </c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2"/>
      <c r="AQ6" s="20">
        <f>SUM(AQ7:AQ16)</f>
        <v>2045058</v>
      </c>
      <c r="AR6" s="34">
        <f>SUM(AR7:AR16)</f>
        <v>557743.09090909082</v>
      </c>
      <c r="AS6" s="34">
        <f>SUM(AS7:AS16)</f>
        <v>528655.5</v>
      </c>
      <c r="AT6" s="34">
        <f>SUM(AT7:AT16)</f>
        <v>-29087.59090909089</v>
      </c>
      <c r="AU6" s="34">
        <f t="shared" ref="AU6:AZ6" si="0">SUM(AU7:AU16)</f>
        <v>180926.4</v>
      </c>
      <c r="AV6" s="34">
        <f t="shared" si="0"/>
        <v>176276.1</v>
      </c>
      <c r="AW6" s="34">
        <f t="shared" si="0"/>
        <v>171452.99999999997</v>
      </c>
      <c r="AX6" s="34"/>
      <c r="AY6" s="34">
        <f t="shared" si="0"/>
        <v>171452.99999999997</v>
      </c>
      <c r="AZ6" s="34">
        <f t="shared" si="0"/>
        <v>2354.1</v>
      </c>
      <c r="BA6" s="34">
        <f>SUM(BA7:BA16)</f>
        <v>173807.1</v>
      </c>
      <c r="BB6" s="34">
        <f>SUM(BB7:BB16)</f>
        <v>37106.800000000003</v>
      </c>
      <c r="BC6" s="34">
        <f>SUM(BC7:BC16)</f>
        <v>136700.29999999999</v>
      </c>
      <c r="BD6" s="34">
        <f t="shared" ref="BD6:BE6" si="1">SUM(BD7:BD16)</f>
        <v>135492.80000000002</v>
      </c>
      <c r="BE6" s="34">
        <f t="shared" si="1"/>
        <v>1207.4999999999995</v>
      </c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</row>
    <row r="7" spans="1:71" s="2" customFormat="1" ht="17" customHeight="1">
      <c r="A7" s="12" t="s">
        <v>5</v>
      </c>
      <c r="B7" s="35">
        <v>62102416</v>
      </c>
      <c r="C7" s="35">
        <v>59012735</v>
      </c>
      <c r="D7" s="4">
        <f>IF(E7=0,0,IF(B7=0,1,IF(C7&lt;0,0,IF(C7/B7&gt;1.2,IF((C7/B7-1.2)*0.1+1.2&gt;1.3,1.3,(C7/B7-1.2)*0.1+1.2),C7/B7))))</f>
        <v>0.95024861834682894</v>
      </c>
      <c r="E7" s="11">
        <v>15</v>
      </c>
      <c r="F7" s="59">
        <v>107.1</v>
      </c>
      <c r="G7" s="59">
        <v>108.3</v>
      </c>
      <c r="H7" s="4">
        <f>IF(I7=0,0,IF(F7=0,1,IF(G7&lt;0,0,IF(G7/F7&gt;1.2,IF((G7/F7-1.2)*0.1+1.2&gt;1.3,1.3,(G7/F7-1.2)*0.1+1.2),G7/F7))))</f>
        <v>1.011204481792717</v>
      </c>
      <c r="I7" s="11">
        <v>10</v>
      </c>
      <c r="J7" s="45">
        <v>4650</v>
      </c>
      <c r="K7" s="45">
        <v>5321</v>
      </c>
      <c r="L7" s="4">
        <f>IF(M7=0,0,IF(J7=0,1,IF(K7&lt;0,0,IF(J7/K7&gt;1.2,IF((J7/K7-1.2)*0.1+1.2&gt;1.3,1.3,(J7/K7-1.2)*0.1+1.2),J7/K7))))</f>
        <v>0.87389588423228715</v>
      </c>
      <c r="M7" s="11">
        <v>5</v>
      </c>
      <c r="N7" s="35">
        <v>2942994.2</v>
      </c>
      <c r="O7" s="35">
        <v>2748992.4</v>
      </c>
      <c r="P7" s="4">
        <f>IF(Q7=0,0,IF(N7=0,1,IF(O7&lt;0,0,IF(O7/N7&gt;1.2,IF((O7/N7-1.2)*0.1+1.2&gt;1.3,1.3,(O7/N7-1.2)*0.1+1.2),O7/N7))))</f>
        <v>0.9340801283264506</v>
      </c>
      <c r="Q7" s="11">
        <v>20</v>
      </c>
      <c r="R7" s="5" t="s">
        <v>362</v>
      </c>
      <c r="S7" s="5" t="s">
        <v>362</v>
      </c>
      <c r="T7" s="5" t="s">
        <v>362</v>
      </c>
      <c r="U7" s="5" t="s">
        <v>362</v>
      </c>
      <c r="V7" s="5" t="s">
        <v>362</v>
      </c>
      <c r="W7" s="5" t="s">
        <v>362</v>
      </c>
      <c r="X7" s="5" t="s">
        <v>362</v>
      </c>
      <c r="Y7" s="5" t="s">
        <v>362</v>
      </c>
      <c r="Z7" s="35">
        <v>59934775</v>
      </c>
      <c r="AA7" s="35">
        <v>57018008</v>
      </c>
      <c r="AB7" s="4">
        <f>IF(AC7=0,0,IF(Z7=0,1,IF(AA7&lt;0,0,IF(AA7/Z7&gt;1.2,IF((AA7/Z7-1.2)*0.1+1.2&gt;1.3,1.3,(AA7/Z7-1.2)*0.1+1.2),AA7/Z7))))</f>
        <v>0.95133431300943405</v>
      </c>
      <c r="AC7" s="5">
        <v>15</v>
      </c>
      <c r="AD7" s="5" t="s">
        <v>362</v>
      </c>
      <c r="AE7" s="5" t="s">
        <v>362</v>
      </c>
      <c r="AF7" s="5" t="s">
        <v>362</v>
      </c>
      <c r="AG7" s="5" t="s">
        <v>362</v>
      </c>
      <c r="AH7" s="5" t="s">
        <v>362</v>
      </c>
      <c r="AI7" s="5" t="s">
        <v>362</v>
      </c>
      <c r="AJ7" s="5" t="s">
        <v>362</v>
      </c>
      <c r="AK7" s="5" t="s">
        <v>362</v>
      </c>
      <c r="AL7" s="5" t="s">
        <v>362</v>
      </c>
      <c r="AM7" s="5" t="s">
        <v>362</v>
      </c>
      <c r="AN7" s="5" t="s">
        <v>362</v>
      </c>
      <c r="AO7" s="5" t="s">
        <v>362</v>
      </c>
      <c r="AP7" s="44">
        <f>(D7*E7+H7*I7+L7*M7+P7*Q7+AB7*AC7)/(E7+I7+M7+Q7+AC7)</f>
        <v>0.94902878116863942</v>
      </c>
      <c r="AQ7" s="45">
        <v>501679</v>
      </c>
      <c r="AR7" s="35">
        <f>AQ7/11*3</f>
        <v>136821.54545454544</v>
      </c>
      <c r="AS7" s="35">
        <f>ROUND(AP7*AR7,1)</f>
        <v>129847.6</v>
      </c>
      <c r="AT7" s="35">
        <f>AS7-AR7</f>
        <v>-6973.9454545454355</v>
      </c>
      <c r="AU7" s="35">
        <v>39456.5</v>
      </c>
      <c r="AV7" s="35">
        <v>43964.100000000006</v>
      </c>
      <c r="AW7" s="35">
        <f>ROUND(AS7-SUM(AU7:AV7),1)</f>
        <v>46427</v>
      </c>
      <c r="AX7" s="35"/>
      <c r="AY7" s="35">
        <f>IF(OR(AW7&lt;0,AX7="+"),0,AW7)</f>
        <v>46427</v>
      </c>
      <c r="AZ7" s="35">
        <v>663.6</v>
      </c>
      <c r="BA7" s="35">
        <f>AY7+AZ7</f>
        <v>47090.6</v>
      </c>
      <c r="BB7" s="35">
        <f>MIN(BA7,16347.3)</f>
        <v>16347.3</v>
      </c>
      <c r="BC7" s="35">
        <f>IF((BA7-BB7)&gt;0,ROUND(BA7-BB7,1),0)</f>
        <v>30743.3</v>
      </c>
      <c r="BD7" s="35">
        <v>28498.2</v>
      </c>
      <c r="BE7" s="35">
        <f>ROUND(BC7-BD7,1)</f>
        <v>2245.1</v>
      </c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</row>
    <row r="8" spans="1:71" s="2" customFormat="1" ht="17" customHeight="1">
      <c r="A8" s="12" t="s">
        <v>6</v>
      </c>
      <c r="B8" s="35">
        <v>100877468</v>
      </c>
      <c r="C8" s="35">
        <v>94259909</v>
      </c>
      <c r="D8" s="4">
        <f t="shared" ref="D8:D44" si="2">IF(E8=0,0,IF(B8=0,1,IF(C8&lt;0,0,IF(C8/B8&gt;1.2,IF((C8/B8-1.2)*0.1+1.2&gt;1.3,1.3,(C8/B8-1.2)*0.1+1.2),C8/B8))))</f>
        <v>0.93440002875567818</v>
      </c>
      <c r="E8" s="11">
        <v>15</v>
      </c>
      <c r="F8" s="59">
        <v>101.8</v>
      </c>
      <c r="G8" s="59">
        <v>104.4</v>
      </c>
      <c r="H8" s="4">
        <f t="shared" ref="H8:H43" si="3">IF(I8=0,0,IF(F8=0,1,IF(G8&lt;0,0,IF(G8/F8&gt;1.2,IF((G8/F8-1.2)*0.1+1.2&gt;1.3,1.3,(G8/F8-1.2)*0.1+1.2),G8/F8))))</f>
        <v>1.025540275049116</v>
      </c>
      <c r="I8" s="11">
        <v>10</v>
      </c>
      <c r="J8" s="45">
        <v>8000</v>
      </c>
      <c r="K8" s="45">
        <v>10073</v>
      </c>
      <c r="L8" s="4">
        <f t="shared" ref="L8:L44" si="4">IF(M8=0,0,IF(J8=0,1,IF(K8&lt;0,0,IF(J8/K8&gt;1.2,IF((J8/K8-1.2)*0.1+1.2&gt;1.3,1.3,(J8/K8-1.2)*0.1+1.2),J8/K8))))</f>
        <v>0.79420232304179494</v>
      </c>
      <c r="M8" s="11">
        <v>15</v>
      </c>
      <c r="N8" s="35">
        <v>1338902.6000000001</v>
      </c>
      <c r="O8" s="35">
        <v>1312377.2</v>
      </c>
      <c r="P8" s="4">
        <f t="shared" ref="P8:P44" si="5">IF(Q8=0,0,IF(N8=0,1,IF(O8&lt;0,0,IF(O8/N8&gt;1.2,IF((O8/N8-1.2)*0.1+1.2&gt;1.3,1.3,(O8/N8-1.2)*0.1+1.2),O8/N8))))</f>
        <v>0.9801887008061676</v>
      </c>
      <c r="Q8" s="11">
        <v>20</v>
      </c>
      <c r="R8" s="5" t="s">
        <v>362</v>
      </c>
      <c r="S8" s="5" t="s">
        <v>362</v>
      </c>
      <c r="T8" s="5" t="s">
        <v>362</v>
      </c>
      <c r="U8" s="5" t="s">
        <v>362</v>
      </c>
      <c r="V8" s="5" t="s">
        <v>362</v>
      </c>
      <c r="W8" s="5" t="s">
        <v>362</v>
      </c>
      <c r="X8" s="5" t="s">
        <v>362</v>
      </c>
      <c r="Y8" s="5" t="s">
        <v>362</v>
      </c>
      <c r="Z8" s="35">
        <v>47527044.299999997</v>
      </c>
      <c r="AA8" s="35">
        <v>41592485</v>
      </c>
      <c r="AB8" s="4">
        <f t="shared" ref="AB8:AB15" si="6">IF(AC8=0,0,IF(Z8=0,1,IF(AA8&lt;0,0,IF(AA8/Z8&gt;1.2,IF((AA8/Z8-1.2)*0.1+1.2&gt;1.3,1.3,(AA8/Z8-1.2)*0.1+1.2),AA8/Z8))))</f>
        <v>0.87513300295848617</v>
      </c>
      <c r="AC8" s="5">
        <v>15</v>
      </c>
      <c r="AD8" s="5" t="s">
        <v>362</v>
      </c>
      <c r="AE8" s="5" t="s">
        <v>362</v>
      </c>
      <c r="AF8" s="5" t="s">
        <v>362</v>
      </c>
      <c r="AG8" s="5" t="s">
        <v>362</v>
      </c>
      <c r="AH8" s="5" t="s">
        <v>362</v>
      </c>
      <c r="AI8" s="5" t="s">
        <v>362</v>
      </c>
      <c r="AJ8" s="5" t="s">
        <v>362</v>
      </c>
      <c r="AK8" s="5" t="s">
        <v>362</v>
      </c>
      <c r="AL8" s="5" t="s">
        <v>362</v>
      </c>
      <c r="AM8" s="5" t="s">
        <v>362</v>
      </c>
      <c r="AN8" s="5" t="s">
        <v>362</v>
      </c>
      <c r="AO8" s="5" t="s">
        <v>362</v>
      </c>
      <c r="AP8" s="44">
        <f t="shared" ref="AP8:AP15" si="7">(D8*E8+H8*I8+L8*M8+P8*Q8+AB8*AC8)/(E8+I8+M8+Q8+AC8)</f>
        <v>0.91886942783938541</v>
      </c>
      <c r="AQ8" s="45">
        <v>415477</v>
      </c>
      <c r="AR8" s="35">
        <f t="shared" ref="AR8:AR44" si="8">AQ8/11*3</f>
        <v>113311.90909090909</v>
      </c>
      <c r="AS8" s="35">
        <f t="shared" ref="AS8:AS44" si="9">ROUND(AP8*AR8,1)</f>
        <v>104118.8</v>
      </c>
      <c r="AT8" s="35">
        <f t="shared" ref="AT8:AT44" si="10">AS8-AR8</f>
        <v>-9193.1090909090854</v>
      </c>
      <c r="AU8" s="35">
        <v>40018.699999999997</v>
      </c>
      <c r="AV8" s="35">
        <v>38100</v>
      </c>
      <c r="AW8" s="35">
        <f t="shared" ref="AW8:AW44" si="11">ROUND(AS8-SUM(AU8:AV8),1)</f>
        <v>26000.1</v>
      </c>
      <c r="AX8" s="35"/>
      <c r="AY8" s="35">
        <f t="shared" ref="AY8:AY44" si="12">IF(OR(AW8&lt;0,AX8="+"),0,AW8)</f>
        <v>26000.1</v>
      </c>
      <c r="AZ8" s="35">
        <v>110.5</v>
      </c>
      <c r="BA8" s="35">
        <f t="shared" ref="BA8:BA16" si="13">AY8+AZ8</f>
        <v>26110.6</v>
      </c>
      <c r="BB8" s="35"/>
      <c r="BC8" s="35">
        <f t="shared" ref="BC8:BC43" si="14">IF((BA8-BB8)&gt;0,ROUND(BA8-BB8,1),0)</f>
        <v>26110.6</v>
      </c>
      <c r="BD8" s="35">
        <v>25180</v>
      </c>
      <c r="BE8" s="35">
        <f t="shared" ref="BE8:BE44" si="15">ROUND(BC8-BD8,1)</f>
        <v>930.6</v>
      </c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</row>
    <row r="9" spans="1:71" s="2" customFormat="1" ht="17" customHeight="1">
      <c r="A9" s="12" t="s">
        <v>7</v>
      </c>
      <c r="B9" s="35">
        <v>11659489</v>
      </c>
      <c r="C9" s="35">
        <v>9249842.5</v>
      </c>
      <c r="D9" s="4">
        <f t="shared" si="2"/>
        <v>0.7933317231998761</v>
      </c>
      <c r="E9" s="11">
        <v>15</v>
      </c>
      <c r="F9" s="59">
        <v>104.8</v>
      </c>
      <c r="G9" s="59">
        <v>106.4</v>
      </c>
      <c r="H9" s="4">
        <f t="shared" si="3"/>
        <v>1.0152671755725191</v>
      </c>
      <c r="I9" s="11">
        <v>10</v>
      </c>
      <c r="J9" s="45">
        <v>700</v>
      </c>
      <c r="K9" s="45">
        <v>732</v>
      </c>
      <c r="L9" s="4">
        <f t="shared" si="4"/>
        <v>0.95628415300546443</v>
      </c>
      <c r="M9" s="11">
        <v>5</v>
      </c>
      <c r="N9" s="35">
        <v>273814</v>
      </c>
      <c r="O9" s="35">
        <v>279061.09999999998</v>
      </c>
      <c r="P9" s="4">
        <f t="shared" si="5"/>
        <v>1.0191630084656007</v>
      </c>
      <c r="Q9" s="11">
        <v>20</v>
      </c>
      <c r="R9" s="5" t="s">
        <v>362</v>
      </c>
      <c r="S9" s="5" t="s">
        <v>362</v>
      </c>
      <c r="T9" s="5" t="s">
        <v>362</v>
      </c>
      <c r="U9" s="5" t="s">
        <v>362</v>
      </c>
      <c r="V9" s="5" t="s">
        <v>362</v>
      </c>
      <c r="W9" s="5" t="s">
        <v>362</v>
      </c>
      <c r="X9" s="5" t="s">
        <v>362</v>
      </c>
      <c r="Y9" s="5" t="s">
        <v>362</v>
      </c>
      <c r="Z9" s="35">
        <v>4156961</v>
      </c>
      <c r="AA9" s="35">
        <v>3623521</v>
      </c>
      <c r="AB9" s="4">
        <f t="shared" si="6"/>
        <v>0.87167548601009248</v>
      </c>
      <c r="AC9" s="5">
        <v>15</v>
      </c>
      <c r="AD9" s="5" t="s">
        <v>362</v>
      </c>
      <c r="AE9" s="5" t="s">
        <v>362</v>
      </c>
      <c r="AF9" s="5" t="s">
        <v>362</v>
      </c>
      <c r="AG9" s="5" t="s">
        <v>362</v>
      </c>
      <c r="AH9" s="5" t="s">
        <v>362</v>
      </c>
      <c r="AI9" s="5" t="s">
        <v>362</v>
      </c>
      <c r="AJ9" s="5" t="s">
        <v>362</v>
      </c>
      <c r="AK9" s="5" t="s">
        <v>362</v>
      </c>
      <c r="AL9" s="5" t="s">
        <v>362</v>
      </c>
      <c r="AM9" s="5" t="s">
        <v>362</v>
      </c>
      <c r="AN9" s="5" t="s">
        <v>362</v>
      </c>
      <c r="AO9" s="5" t="s">
        <v>362</v>
      </c>
      <c r="AP9" s="44">
        <f t="shared" si="7"/>
        <v>0.92757632043406246</v>
      </c>
      <c r="AQ9" s="45">
        <v>303620</v>
      </c>
      <c r="AR9" s="35">
        <f t="shared" si="8"/>
        <v>82805.454545454544</v>
      </c>
      <c r="AS9" s="35">
        <f t="shared" si="9"/>
        <v>76808.399999999994</v>
      </c>
      <c r="AT9" s="35">
        <f t="shared" si="10"/>
        <v>-5997.05454545455</v>
      </c>
      <c r="AU9" s="35">
        <v>25200.400000000001</v>
      </c>
      <c r="AV9" s="35">
        <v>25335.5</v>
      </c>
      <c r="AW9" s="35">
        <f t="shared" si="11"/>
        <v>26272.5</v>
      </c>
      <c r="AX9" s="35"/>
      <c r="AY9" s="35">
        <f t="shared" si="12"/>
        <v>26272.5</v>
      </c>
      <c r="AZ9" s="35">
        <v>626.70000000000005</v>
      </c>
      <c r="BA9" s="35">
        <f t="shared" si="13"/>
        <v>26899.200000000001</v>
      </c>
      <c r="BB9" s="35">
        <f>MIN(BA9,11032.7)</f>
        <v>11032.7</v>
      </c>
      <c r="BC9" s="35">
        <f t="shared" si="14"/>
        <v>15866.5</v>
      </c>
      <c r="BD9" s="35">
        <v>15787</v>
      </c>
      <c r="BE9" s="35">
        <f t="shared" si="15"/>
        <v>79.5</v>
      </c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</row>
    <row r="10" spans="1:71" s="2" customFormat="1" ht="17" customHeight="1">
      <c r="A10" s="12" t="s">
        <v>8</v>
      </c>
      <c r="B10" s="35">
        <v>15966732</v>
      </c>
      <c r="C10" s="35">
        <v>14821060.9</v>
      </c>
      <c r="D10" s="4">
        <f t="shared" si="2"/>
        <v>0.92824636249922654</v>
      </c>
      <c r="E10" s="11">
        <v>15</v>
      </c>
      <c r="F10" s="59">
        <v>103</v>
      </c>
      <c r="G10" s="59">
        <v>102.7</v>
      </c>
      <c r="H10" s="4">
        <f t="shared" si="3"/>
        <v>0.99708737864077668</v>
      </c>
      <c r="I10" s="11">
        <v>10</v>
      </c>
      <c r="J10" s="45">
        <v>470</v>
      </c>
      <c r="K10" s="45">
        <v>542</v>
      </c>
      <c r="L10" s="4">
        <f t="shared" si="4"/>
        <v>0.86715867158671589</v>
      </c>
      <c r="M10" s="11">
        <v>10</v>
      </c>
      <c r="N10" s="35">
        <v>231540.5</v>
      </c>
      <c r="O10" s="35">
        <v>247860.7</v>
      </c>
      <c r="P10" s="4">
        <f t="shared" si="5"/>
        <v>1.0704852930696791</v>
      </c>
      <c r="Q10" s="11">
        <v>20</v>
      </c>
      <c r="R10" s="5" t="s">
        <v>362</v>
      </c>
      <c r="S10" s="5" t="s">
        <v>362</v>
      </c>
      <c r="T10" s="5" t="s">
        <v>362</v>
      </c>
      <c r="U10" s="5" t="s">
        <v>362</v>
      </c>
      <c r="V10" s="5" t="s">
        <v>362</v>
      </c>
      <c r="W10" s="5" t="s">
        <v>362</v>
      </c>
      <c r="X10" s="5" t="s">
        <v>362</v>
      </c>
      <c r="Y10" s="5" t="s">
        <v>362</v>
      </c>
      <c r="Z10" s="35">
        <v>1987632.2</v>
      </c>
      <c r="AA10" s="35">
        <v>1988114</v>
      </c>
      <c r="AB10" s="4">
        <f t="shared" si="6"/>
        <v>1.0002423989709968</v>
      </c>
      <c r="AC10" s="5">
        <v>15</v>
      </c>
      <c r="AD10" s="5" t="s">
        <v>362</v>
      </c>
      <c r="AE10" s="5" t="s">
        <v>362</v>
      </c>
      <c r="AF10" s="5" t="s">
        <v>362</v>
      </c>
      <c r="AG10" s="5" t="s">
        <v>362</v>
      </c>
      <c r="AH10" s="5" t="s">
        <v>362</v>
      </c>
      <c r="AI10" s="5" t="s">
        <v>362</v>
      </c>
      <c r="AJ10" s="5" t="s">
        <v>362</v>
      </c>
      <c r="AK10" s="5" t="s">
        <v>362</v>
      </c>
      <c r="AL10" s="5" t="s">
        <v>362</v>
      </c>
      <c r="AM10" s="5" t="s">
        <v>362</v>
      </c>
      <c r="AN10" s="5" t="s">
        <v>362</v>
      </c>
      <c r="AO10" s="5" t="s">
        <v>362</v>
      </c>
      <c r="AP10" s="44">
        <f t="shared" si="7"/>
        <v>0.98542139693888375</v>
      </c>
      <c r="AQ10" s="45">
        <v>158950</v>
      </c>
      <c r="AR10" s="35">
        <f t="shared" si="8"/>
        <v>43350</v>
      </c>
      <c r="AS10" s="35">
        <f t="shared" si="9"/>
        <v>42718</v>
      </c>
      <c r="AT10" s="35">
        <f t="shared" si="10"/>
        <v>-632</v>
      </c>
      <c r="AU10" s="35">
        <v>15166.6</v>
      </c>
      <c r="AV10" s="35">
        <v>14031.2</v>
      </c>
      <c r="AW10" s="35">
        <f t="shared" si="11"/>
        <v>13520.2</v>
      </c>
      <c r="AX10" s="35"/>
      <c r="AY10" s="35">
        <f t="shared" si="12"/>
        <v>13520.2</v>
      </c>
      <c r="AZ10" s="35">
        <v>63</v>
      </c>
      <c r="BA10" s="35">
        <f t="shared" si="13"/>
        <v>13583.2</v>
      </c>
      <c r="BB10" s="35"/>
      <c r="BC10" s="35">
        <f t="shared" si="14"/>
        <v>13583.2</v>
      </c>
      <c r="BD10" s="35">
        <v>13256.7</v>
      </c>
      <c r="BE10" s="35">
        <f t="shared" si="15"/>
        <v>326.5</v>
      </c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</row>
    <row r="11" spans="1:71" s="2" customFormat="1" ht="17" customHeight="1">
      <c r="A11" s="12" t="s">
        <v>9</v>
      </c>
      <c r="B11" s="35">
        <v>2598504</v>
      </c>
      <c r="C11" s="35">
        <v>2443229.7000000002</v>
      </c>
      <c r="D11" s="4">
        <f t="shared" si="2"/>
        <v>0.94024473312336643</v>
      </c>
      <c r="E11" s="11">
        <v>15</v>
      </c>
      <c r="F11" s="59">
        <v>113</v>
      </c>
      <c r="G11" s="59">
        <v>106.4</v>
      </c>
      <c r="H11" s="4">
        <f t="shared" si="3"/>
        <v>0.94159292035398234</v>
      </c>
      <c r="I11" s="11">
        <v>10</v>
      </c>
      <c r="J11" s="45">
        <v>420</v>
      </c>
      <c r="K11" s="45">
        <v>400</v>
      </c>
      <c r="L11" s="4">
        <f t="shared" si="4"/>
        <v>1.05</v>
      </c>
      <c r="M11" s="11">
        <v>10</v>
      </c>
      <c r="N11" s="35">
        <v>58135.9</v>
      </c>
      <c r="O11" s="35">
        <v>64684.800000000003</v>
      </c>
      <c r="P11" s="4">
        <f t="shared" si="5"/>
        <v>1.1126481227606351</v>
      </c>
      <c r="Q11" s="11">
        <v>20</v>
      </c>
      <c r="R11" s="5" t="s">
        <v>362</v>
      </c>
      <c r="S11" s="5" t="s">
        <v>362</v>
      </c>
      <c r="T11" s="5" t="s">
        <v>362</v>
      </c>
      <c r="U11" s="5" t="s">
        <v>362</v>
      </c>
      <c r="V11" s="5" t="s">
        <v>362</v>
      </c>
      <c r="W11" s="5" t="s">
        <v>362</v>
      </c>
      <c r="X11" s="5" t="s">
        <v>362</v>
      </c>
      <c r="Y11" s="5" t="s">
        <v>362</v>
      </c>
      <c r="Z11" s="35">
        <v>1245201.8</v>
      </c>
      <c r="AA11" s="35">
        <v>1087994</v>
      </c>
      <c r="AB11" s="4">
        <f t="shared" si="6"/>
        <v>0.87374913849305391</v>
      </c>
      <c r="AC11" s="5">
        <v>15</v>
      </c>
      <c r="AD11" s="5" t="s">
        <v>362</v>
      </c>
      <c r="AE11" s="5" t="s">
        <v>362</v>
      </c>
      <c r="AF11" s="5" t="s">
        <v>362</v>
      </c>
      <c r="AG11" s="5" t="s">
        <v>362</v>
      </c>
      <c r="AH11" s="5" t="s">
        <v>362</v>
      </c>
      <c r="AI11" s="5" t="s">
        <v>362</v>
      </c>
      <c r="AJ11" s="5" t="s">
        <v>362</v>
      </c>
      <c r="AK11" s="5" t="s">
        <v>362</v>
      </c>
      <c r="AL11" s="5" t="s">
        <v>362</v>
      </c>
      <c r="AM11" s="5" t="s">
        <v>362</v>
      </c>
      <c r="AN11" s="5" t="s">
        <v>362</v>
      </c>
      <c r="AO11" s="5" t="s">
        <v>362</v>
      </c>
      <c r="AP11" s="44">
        <f t="shared" si="7"/>
        <v>0.99112571047141185</v>
      </c>
      <c r="AQ11" s="45">
        <v>147978</v>
      </c>
      <c r="AR11" s="35">
        <f t="shared" si="8"/>
        <v>40357.63636363636</v>
      </c>
      <c r="AS11" s="35">
        <f t="shared" si="9"/>
        <v>39999.5</v>
      </c>
      <c r="AT11" s="35">
        <f t="shared" si="10"/>
        <v>-358.13636363636033</v>
      </c>
      <c r="AU11" s="35">
        <v>14715.4</v>
      </c>
      <c r="AV11" s="35">
        <v>13884.4</v>
      </c>
      <c r="AW11" s="35">
        <f t="shared" si="11"/>
        <v>11399.7</v>
      </c>
      <c r="AX11" s="35"/>
      <c r="AY11" s="35">
        <f t="shared" si="12"/>
        <v>11399.7</v>
      </c>
      <c r="AZ11" s="35">
        <v>-274.5</v>
      </c>
      <c r="BA11" s="35">
        <f t="shared" si="13"/>
        <v>11125.2</v>
      </c>
      <c r="BB11" s="35"/>
      <c r="BC11" s="35">
        <f t="shared" si="14"/>
        <v>11125.2</v>
      </c>
      <c r="BD11" s="35">
        <v>13148.4</v>
      </c>
      <c r="BE11" s="35">
        <f t="shared" si="15"/>
        <v>-2023.2</v>
      </c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</row>
    <row r="12" spans="1:71" s="2" customFormat="1" ht="17" customHeight="1">
      <c r="A12" s="12" t="s">
        <v>10</v>
      </c>
      <c r="B12" s="35">
        <v>5382844</v>
      </c>
      <c r="C12" s="35">
        <v>4782347.4000000004</v>
      </c>
      <c r="D12" s="4">
        <f t="shared" si="2"/>
        <v>0.88844250362819366</v>
      </c>
      <c r="E12" s="11">
        <v>15</v>
      </c>
      <c r="F12" s="59">
        <v>104</v>
      </c>
      <c r="G12" s="59">
        <v>106.3</v>
      </c>
      <c r="H12" s="4">
        <f t="shared" si="3"/>
        <v>1.0221153846153845</v>
      </c>
      <c r="I12" s="11">
        <v>10</v>
      </c>
      <c r="J12" s="45">
        <v>350</v>
      </c>
      <c r="K12" s="45">
        <v>357</v>
      </c>
      <c r="L12" s="4">
        <f t="shared" si="4"/>
        <v>0.98039215686274506</v>
      </c>
      <c r="M12" s="11">
        <v>15</v>
      </c>
      <c r="N12" s="35">
        <v>76951.7</v>
      </c>
      <c r="O12" s="35">
        <v>83958.9</v>
      </c>
      <c r="P12" s="4">
        <f t="shared" si="5"/>
        <v>1.0910597166794236</v>
      </c>
      <c r="Q12" s="11">
        <v>20</v>
      </c>
      <c r="R12" s="5" t="s">
        <v>362</v>
      </c>
      <c r="S12" s="5" t="s">
        <v>362</v>
      </c>
      <c r="T12" s="5" t="s">
        <v>362</v>
      </c>
      <c r="U12" s="5" t="s">
        <v>362</v>
      </c>
      <c r="V12" s="5" t="s">
        <v>362</v>
      </c>
      <c r="W12" s="5" t="s">
        <v>362</v>
      </c>
      <c r="X12" s="5" t="s">
        <v>362</v>
      </c>
      <c r="Y12" s="5" t="s">
        <v>362</v>
      </c>
      <c r="Z12" s="35">
        <v>1076479</v>
      </c>
      <c r="AA12" s="35">
        <v>1079201</v>
      </c>
      <c r="AB12" s="4">
        <f t="shared" si="6"/>
        <v>1.0025286141206655</v>
      </c>
      <c r="AC12" s="5">
        <v>10</v>
      </c>
      <c r="AD12" s="5" t="s">
        <v>362</v>
      </c>
      <c r="AE12" s="5" t="s">
        <v>362</v>
      </c>
      <c r="AF12" s="5" t="s">
        <v>362</v>
      </c>
      <c r="AG12" s="5" t="s">
        <v>362</v>
      </c>
      <c r="AH12" s="5" t="s">
        <v>362</v>
      </c>
      <c r="AI12" s="5" t="s">
        <v>362</v>
      </c>
      <c r="AJ12" s="5" t="s">
        <v>362</v>
      </c>
      <c r="AK12" s="5" t="s">
        <v>362</v>
      </c>
      <c r="AL12" s="5" t="s">
        <v>362</v>
      </c>
      <c r="AM12" s="5" t="s">
        <v>362</v>
      </c>
      <c r="AN12" s="5" t="s">
        <v>362</v>
      </c>
      <c r="AO12" s="5" t="s">
        <v>362</v>
      </c>
      <c r="AP12" s="44">
        <f t="shared" si="7"/>
        <v>1.0014307746901863</v>
      </c>
      <c r="AQ12" s="45">
        <v>87371</v>
      </c>
      <c r="AR12" s="35">
        <f t="shared" si="8"/>
        <v>23828.454545454544</v>
      </c>
      <c r="AS12" s="35">
        <f t="shared" si="9"/>
        <v>23862.5</v>
      </c>
      <c r="AT12" s="35">
        <f t="shared" si="10"/>
        <v>34.045454545455868</v>
      </c>
      <c r="AU12" s="35">
        <v>7878</v>
      </c>
      <c r="AV12" s="35">
        <v>7273.7</v>
      </c>
      <c r="AW12" s="35">
        <f t="shared" si="11"/>
        <v>8710.7999999999993</v>
      </c>
      <c r="AX12" s="35"/>
      <c r="AY12" s="35">
        <f t="shared" si="12"/>
        <v>8710.7999999999993</v>
      </c>
      <c r="AZ12" s="35">
        <v>102.8</v>
      </c>
      <c r="BA12" s="35">
        <f t="shared" si="13"/>
        <v>8813.5999999999985</v>
      </c>
      <c r="BB12" s="35"/>
      <c r="BC12" s="35">
        <f t="shared" si="14"/>
        <v>8813.6</v>
      </c>
      <c r="BD12" s="35">
        <v>8709.7999999999993</v>
      </c>
      <c r="BE12" s="35">
        <f t="shared" si="15"/>
        <v>103.8</v>
      </c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</row>
    <row r="13" spans="1:71" s="2" customFormat="1" ht="17" customHeight="1">
      <c r="A13" s="12" t="s">
        <v>11</v>
      </c>
      <c r="B13" s="35">
        <v>6697582</v>
      </c>
      <c r="C13" s="35">
        <v>8877005.5999999996</v>
      </c>
      <c r="D13" s="4">
        <f t="shared" si="2"/>
        <v>1.2125404541519611</v>
      </c>
      <c r="E13" s="11">
        <v>15</v>
      </c>
      <c r="F13" s="59">
        <v>106.5</v>
      </c>
      <c r="G13" s="59">
        <v>106.3</v>
      </c>
      <c r="H13" s="4">
        <f t="shared" si="3"/>
        <v>0.99812206572769946</v>
      </c>
      <c r="I13" s="11">
        <v>10</v>
      </c>
      <c r="J13" s="45">
        <v>650</v>
      </c>
      <c r="K13" s="45">
        <v>956</v>
      </c>
      <c r="L13" s="4">
        <f t="shared" si="4"/>
        <v>0.67991631799163177</v>
      </c>
      <c r="M13" s="11">
        <v>10</v>
      </c>
      <c r="N13" s="35">
        <v>71731</v>
      </c>
      <c r="O13" s="35">
        <v>79078.399999999994</v>
      </c>
      <c r="P13" s="4">
        <f t="shared" si="5"/>
        <v>1.1024299117536349</v>
      </c>
      <c r="Q13" s="11">
        <v>20</v>
      </c>
      <c r="R13" s="5" t="s">
        <v>362</v>
      </c>
      <c r="S13" s="5" t="s">
        <v>362</v>
      </c>
      <c r="T13" s="5" t="s">
        <v>362</v>
      </c>
      <c r="U13" s="5" t="s">
        <v>362</v>
      </c>
      <c r="V13" s="5" t="s">
        <v>362</v>
      </c>
      <c r="W13" s="5" t="s">
        <v>362</v>
      </c>
      <c r="X13" s="5" t="s">
        <v>362</v>
      </c>
      <c r="Y13" s="5" t="s">
        <v>362</v>
      </c>
      <c r="Z13" s="35">
        <v>855248</v>
      </c>
      <c r="AA13" s="35">
        <v>727739</v>
      </c>
      <c r="AB13" s="4">
        <f t="shared" si="6"/>
        <v>0.85090991151104711</v>
      </c>
      <c r="AC13" s="5">
        <v>15</v>
      </c>
      <c r="AD13" s="5" t="s">
        <v>362</v>
      </c>
      <c r="AE13" s="5" t="s">
        <v>362</v>
      </c>
      <c r="AF13" s="5" t="s">
        <v>362</v>
      </c>
      <c r="AG13" s="5" t="s">
        <v>362</v>
      </c>
      <c r="AH13" s="5" t="s">
        <v>362</v>
      </c>
      <c r="AI13" s="5" t="s">
        <v>362</v>
      </c>
      <c r="AJ13" s="5" t="s">
        <v>362</v>
      </c>
      <c r="AK13" s="5" t="s">
        <v>362</v>
      </c>
      <c r="AL13" s="5" t="s">
        <v>362</v>
      </c>
      <c r="AM13" s="5" t="s">
        <v>362</v>
      </c>
      <c r="AN13" s="5" t="s">
        <v>362</v>
      </c>
      <c r="AO13" s="5" t="s">
        <v>362</v>
      </c>
      <c r="AP13" s="44">
        <f t="shared" si="7"/>
        <v>0.99686767938873055</v>
      </c>
      <c r="AQ13" s="45">
        <v>133896</v>
      </c>
      <c r="AR13" s="35">
        <f t="shared" si="8"/>
        <v>36517.090909090912</v>
      </c>
      <c r="AS13" s="35">
        <f t="shared" si="9"/>
        <v>36402.699999999997</v>
      </c>
      <c r="AT13" s="35">
        <f t="shared" si="10"/>
        <v>-114.39090909091465</v>
      </c>
      <c r="AU13" s="35">
        <v>13497</v>
      </c>
      <c r="AV13" s="35">
        <v>11136.3</v>
      </c>
      <c r="AW13" s="35">
        <f t="shared" si="11"/>
        <v>11769.4</v>
      </c>
      <c r="AX13" s="35"/>
      <c r="AY13" s="35">
        <f t="shared" si="12"/>
        <v>11769.4</v>
      </c>
      <c r="AZ13" s="35">
        <v>211.1</v>
      </c>
      <c r="BA13" s="35">
        <f t="shared" si="13"/>
        <v>11980.5</v>
      </c>
      <c r="BB13" s="35">
        <f>MIN(BA13,3540.4)</f>
        <v>3540.4</v>
      </c>
      <c r="BC13" s="35">
        <f t="shared" si="14"/>
        <v>8440.1</v>
      </c>
      <c r="BD13" s="35">
        <v>10206.6</v>
      </c>
      <c r="BE13" s="35">
        <f t="shared" si="15"/>
        <v>-1766.5</v>
      </c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</row>
    <row r="14" spans="1:71" s="2" customFormat="1" ht="17" customHeight="1">
      <c r="A14" s="12" t="s">
        <v>12</v>
      </c>
      <c r="B14" s="35">
        <v>202026</v>
      </c>
      <c r="C14" s="35">
        <v>150327.9</v>
      </c>
      <c r="D14" s="4">
        <f t="shared" si="2"/>
        <v>0.74410174927979567</v>
      </c>
      <c r="E14" s="11">
        <v>15</v>
      </c>
      <c r="F14" s="59">
        <v>104.6</v>
      </c>
      <c r="G14" s="59">
        <v>101.9</v>
      </c>
      <c r="H14" s="4">
        <f t="shared" si="3"/>
        <v>0.97418738049713205</v>
      </c>
      <c r="I14" s="11">
        <v>10</v>
      </c>
      <c r="J14" s="45">
        <v>260</v>
      </c>
      <c r="K14" s="45">
        <v>383</v>
      </c>
      <c r="L14" s="4">
        <f t="shared" si="4"/>
        <v>0.6788511749347258</v>
      </c>
      <c r="M14" s="11">
        <v>15</v>
      </c>
      <c r="N14" s="35">
        <v>27004.799999999999</v>
      </c>
      <c r="O14" s="35">
        <v>23661.9</v>
      </c>
      <c r="P14" s="4">
        <f t="shared" si="5"/>
        <v>0.87621089584073952</v>
      </c>
      <c r="Q14" s="11">
        <v>20</v>
      </c>
      <c r="R14" s="5" t="s">
        <v>362</v>
      </c>
      <c r="S14" s="5" t="s">
        <v>362</v>
      </c>
      <c r="T14" s="5" t="s">
        <v>362</v>
      </c>
      <c r="U14" s="5" t="s">
        <v>362</v>
      </c>
      <c r="V14" s="5" t="s">
        <v>362</v>
      </c>
      <c r="W14" s="5" t="s">
        <v>362</v>
      </c>
      <c r="X14" s="5" t="s">
        <v>362</v>
      </c>
      <c r="Y14" s="5" t="s">
        <v>362</v>
      </c>
      <c r="Z14" s="35">
        <v>296200</v>
      </c>
      <c r="AA14" s="35">
        <v>276442</v>
      </c>
      <c r="AB14" s="4">
        <f t="shared" si="6"/>
        <v>0.93329507089804187</v>
      </c>
      <c r="AC14" s="5">
        <v>10</v>
      </c>
      <c r="AD14" s="5" t="s">
        <v>362</v>
      </c>
      <c r="AE14" s="5" t="s">
        <v>362</v>
      </c>
      <c r="AF14" s="5" t="s">
        <v>362</v>
      </c>
      <c r="AG14" s="5" t="s">
        <v>362</v>
      </c>
      <c r="AH14" s="5" t="s">
        <v>362</v>
      </c>
      <c r="AI14" s="5" t="s">
        <v>362</v>
      </c>
      <c r="AJ14" s="5" t="s">
        <v>362</v>
      </c>
      <c r="AK14" s="5" t="s">
        <v>362</v>
      </c>
      <c r="AL14" s="5" t="s">
        <v>362</v>
      </c>
      <c r="AM14" s="5" t="s">
        <v>362</v>
      </c>
      <c r="AN14" s="5" t="s">
        <v>362</v>
      </c>
      <c r="AO14" s="5" t="s">
        <v>362</v>
      </c>
      <c r="AP14" s="44">
        <f t="shared" si="7"/>
        <v>0.8277619470569193</v>
      </c>
      <c r="AQ14" s="45">
        <v>86632</v>
      </c>
      <c r="AR14" s="35">
        <f t="shared" si="8"/>
        <v>23626.909090909092</v>
      </c>
      <c r="AS14" s="35">
        <f t="shared" si="9"/>
        <v>19557.5</v>
      </c>
      <c r="AT14" s="35">
        <f t="shared" si="10"/>
        <v>-4069.4090909090919</v>
      </c>
      <c r="AU14" s="35">
        <v>6895</v>
      </c>
      <c r="AV14" s="35">
        <v>5303.9</v>
      </c>
      <c r="AW14" s="35">
        <f t="shared" si="11"/>
        <v>7358.6</v>
      </c>
      <c r="AX14" s="35"/>
      <c r="AY14" s="35">
        <f t="shared" si="12"/>
        <v>7358.6</v>
      </c>
      <c r="AZ14" s="35">
        <v>459.6</v>
      </c>
      <c r="BA14" s="35">
        <f t="shared" si="13"/>
        <v>7818.2000000000007</v>
      </c>
      <c r="BB14" s="35"/>
      <c r="BC14" s="35">
        <f t="shared" si="14"/>
        <v>7818.2</v>
      </c>
      <c r="BD14" s="35">
        <v>6627.6</v>
      </c>
      <c r="BE14" s="35">
        <f t="shared" si="15"/>
        <v>1190.5999999999999</v>
      </c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</row>
    <row r="15" spans="1:71" s="2" customFormat="1" ht="17" customHeight="1">
      <c r="A15" s="12" t="s">
        <v>13</v>
      </c>
      <c r="B15" s="35">
        <v>1167832</v>
      </c>
      <c r="C15" s="35">
        <v>1092299.7</v>
      </c>
      <c r="D15" s="4">
        <f t="shared" si="2"/>
        <v>0.93532263202241417</v>
      </c>
      <c r="E15" s="11">
        <v>15</v>
      </c>
      <c r="F15" s="59">
        <v>104.6</v>
      </c>
      <c r="G15" s="59">
        <v>103.6</v>
      </c>
      <c r="H15" s="4">
        <f t="shared" si="3"/>
        <v>0.99043977055449328</v>
      </c>
      <c r="I15" s="11">
        <v>10</v>
      </c>
      <c r="J15" s="45">
        <v>470</v>
      </c>
      <c r="K15" s="45">
        <v>469</v>
      </c>
      <c r="L15" s="4">
        <f t="shared" si="4"/>
        <v>1.0021321961620469</v>
      </c>
      <c r="M15" s="11">
        <v>10</v>
      </c>
      <c r="N15" s="35">
        <v>67814.5</v>
      </c>
      <c r="O15" s="35">
        <v>63803.3</v>
      </c>
      <c r="P15" s="4">
        <f t="shared" si="5"/>
        <v>0.94085040809856302</v>
      </c>
      <c r="Q15" s="11">
        <v>20</v>
      </c>
      <c r="R15" s="5" t="s">
        <v>362</v>
      </c>
      <c r="S15" s="5" t="s">
        <v>362</v>
      </c>
      <c r="T15" s="5" t="s">
        <v>362</v>
      </c>
      <c r="U15" s="5" t="s">
        <v>362</v>
      </c>
      <c r="V15" s="5" t="s">
        <v>362</v>
      </c>
      <c r="W15" s="5" t="s">
        <v>362</v>
      </c>
      <c r="X15" s="5" t="s">
        <v>362</v>
      </c>
      <c r="Y15" s="5" t="s">
        <v>362</v>
      </c>
      <c r="Z15" s="35">
        <v>1018201.2</v>
      </c>
      <c r="AA15" s="35">
        <v>978805</v>
      </c>
      <c r="AB15" s="4">
        <f t="shared" si="6"/>
        <v>0.9613080401005224</v>
      </c>
      <c r="AC15" s="5">
        <v>10</v>
      </c>
      <c r="AD15" s="5" t="s">
        <v>362</v>
      </c>
      <c r="AE15" s="5" t="s">
        <v>362</v>
      </c>
      <c r="AF15" s="5" t="s">
        <v>362</v>
      </c>
      <c r="AG15" s="5" t="s">
        <v>362</v>
      </c>
      <c r="AH15" s="5" t="s">
        <v>362</v>
      </c>
      <c r="AI15" s="5" t="s">
        <v>362</v>
      </c>
      <c r="AJ15" s="5" t="s">
        <v>362</v>
      </c>
      <c r="AK15" s="5" t="s">
        <v>362</v>
      </c>
      <c r="AL15" s="5" t="s">
        <v>362</v>
      </c>
      <c r="AM15" s="5" t="s">
        <v>362</v>
      </c>
      <c r="AN15" s="5" t="s">
        <v>362</v>
      </c>
      <c r="AO15" s="5" t="s">
        <v>362</v>
      </c>
      <c r="AP15" s="44">
        <f t="shared" si="7"/>
        <v>0.95977919554581692</v>
      </c>
      <c r="AQ15" s="45">
        <v>136101</v>
      </c>
      <c r="AR15" s="35">
        <f t="shared" si="8"/>
        <v>37118.454545454544</v>
      </c>
      <c r="AS15" s="35">
        <f t="shared" si="9"/>
        <v>35625.5</v>
      </c>
      <c r="AT15" s="35">
        <f t="shared" si="10"/>
        <v>-1492.9545454545441</v>
      </c>
      <c r="AU15" s="35">
        <v>11667.4</v>
      </c>
      <c r="AV15" s="35">
        <v>11056.2</v>
      </c>
      <c r="AW15" s="35">
        <f t="shared" si="11"/>
        <v>12901.9</v>
      </c>
      <c r="AX15" s="35"/>
      <c r="AY15" s="35">
        <f t="shared" si="12"/>
        <v>12901.9</v>
      </c>
      <c r="AZ15" s="35">
        <v>266.10000000000002</v>
      </c>
      <c r="BA15" s="35">
        <f t="shared" si="13"/>
        <v>13168</v>
      </c>
      <c r="BB15" s="35">
        <f>MIN(BA15,6186.4)</f>
        <v>6186.4</v>
      </c>
      <c r="BC15" s="35">
        <f t="shared" si="14"/>
        <v>6981.6</v>
      </c>
      <c r="BD15" s="35">
        <v>6716.1</v>
      </c>
      <c r="BE15" s="35">
        <f t="shared" si="15"/>
        <v>265.5</v>
      </c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</row>
    <row r="16" spans="1:71" s="2" customFormat="1" ht="17" customHeight="1">
      <c r="A16" s="12" t="s">
        <v>14</v>
      </c>
      <c r="B16" s="35">
        <v>204011</v>
      </c>
      <c r="C16" s="35">
        <v>219671.2</v>
      </c>
      <c r="D16" s="4">
        <f t="shared" si="2"/>
        <v>1.0767615471714762</v>
      </c>
      <c r="E16" s="11">
        <v>15</v>
      </c>
      <c r="F16" s="59">
        <v>106.6</v>
      </c>
      <c r="G16" s="59">
        <v>107.4</v>
      </c>
      <c r="H16" s="4">
        <f t="shared" si="3"/>
        <v>1.0075046904315199</v>
      </c>
      <c r="I16" s="11">
        <v>10</v>
      </c>
      <c r="J16" s="45">
        <v>180</v>
      </c>
      <c r="K16" s="45">
        <v>222</v>
      </c>
      <c r="L16" s="4">
        <f t="shared" si="4"/>
        <v>0.81081081081081086</v>
      </c>
      <c r="M16" s="11">
        <v>10</v>
      </c>
      <c r="N16" s="35">
        <v>36946.800000000003</v>
      </c>
      <c r="O16" s="35">
        <v>37706.9</v>
      </c>
      <c r="P16" s="4">
        <f t="shared" si="5"/>
        <v>1.020572823627486</v>
      </c>
      <c r="Q16" s="11">
        <v>20</v>
      </c>
      <c r="R16" s="5" t="s">
        <v>362</v>
      </c>
      <c r="S16" s="5" t="s">
        <v>362</v>
      </c>
      <c r="T16" s="5" t="s">
        <v>362</v>
      </c>
      <c r="U16" s="5" t="s">
        <v>362</v>
      </c>
      <c r="V16" s="5" t="s">
        <v>362</v>
      </c>
      <c r="W16" s="5" t="s">
        <v>362</v>
      </c>
      <c r="X16" s="5" t="s">
        <v>362</v>
      </c>
      <c r="Y16" s="5" t="s">
        <v>362</v>
      </c>
      <c r="Z16" s="35">
        <v>554285</v>
      </c>
      <c r="AA16" s="35">
        <v>516018</v>
      </c>
      <c r="AB16" s="4">
        <f>IF(AC16=0,0,IF(Z16=0,1,IF(AA16&lt;0,0,IF(AA16/Z16&gt;1.2,IF((AA16/Z16-1.2)*0.1+1.2&gt;1.3,1.3,(AA16/Z16-1.2)*0.1+1.2),AA16/Z16))))</f>
        <v>0.9309615089710167</v>
      </c>
      <c r="AC16" s="5">
        <v>10</v>
      </c>
      <c r="AD16" s="5" t="s">
        <v>362</v>
      </c>
      <c r="AE16" s="5" t="s">
        <v>362</v>
      </c>
      <c r="AF16" s="5" t="s">
        <v>362</v>
      </c>
      <c r="AG16" s="5" t="s">
        <v>362</v>
      </c>
      <c r="AH16" s="5" t="s">
        <v>362</v>
      </c>
      <c r="AI16" s="5" t="s">
        <v>362</v>
      </c>
      <c r="AJ16" s="5" t="s">
        <v>362</v>
      </c>
      <c r="AK16" s="5" t="s">
        <v>362</v>
      </c>
      <c r="AL16" s="5" t="s">
        <v>362</v>
      </c>
      <c r="AM16" s="5" t="s">
        <v>362</v>
      </c>
      <c r="AN16" s="5" t="s">
        <v>362</v>
      </c>
      <c r="AO16" s="5" t="s">
        <v>362</v>
      </c>
      <c r="AP16" s="44">
        <f>(D16*E16+H16*I16+L16*M16+P16*Q16+AB16*AC16)/(E16+I16+M16+Q16+AC16)</f>
        <v>0.98547153511162044</v>
      </c>
      <c r="AQ16" s="45">
        <v>73354</v>
      </c>
      <c r="AR16" s="35">
        <f t="shared" si="8"/>
        <v>20005.636363636364</v>
      </c>
      <c r="AS16" s="35">
        <f t="shared" si="9"/>
        <v>19715</v>
      </c>
      <c r="AT16" s="35">
        <f t="shared" si="10"/>
        <v>-290.63636363636397</v>
      </c>
      <c r="AU16" s="35">
        <v>6431.4</v>
      </c>
      <c r="AV16" s="35">
        <v>6190.8</v>
      </c>
      <c r="AW16" s="35">
        <f t="shared" si="11"/>
        <v>7092.8</v>
      </c>
      <c r="AX16" s="35"/>
      <c r="AY16" s="35">
        <f t="shared" si="12"/>
        <v>7092.8</v>
      </c>
      <c r="AZ16" s="35">
        <v>125.2</v>
      </c>
      <c r="BA16" s="35">
        <f t="shared" si="13"/>
        <v>7218</v>
      </c>
      <c r="BB16" s="35"/>
      <c r="BC16" s="35">
        <f t="shared" si="14"/>
        <v>7218</v>
      </c>
      <c r="BD16" s="35">
        <v>7362.4</v>
      </c>
      <c r="BE16" s="35">
        <f t="shared" si="15"/>
        <v>-144.4</v>
      </c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</row>
    <row r="17" spans="1:71" s="2" customFormat="1" ht="17" customHeight="1">
      <c r="A17" s="15" t="s">
        <v>20</v>
      </c>
      <c r="B17" s="34">
        <f>SUM(B18:B44)</f>
        <v>23262530</v>
      </c>
      <c r="C17" s="34">
        <f>SUM(C18:C44)</f>
        <v>23184141.600000005</v>
      </c>
      <c r="D17" s="6">
        <f>IF(C17/B17&gt;1.2,IF((C17/B17-1.2)*0.1+1.2&gt;1.3,1.3,(C17/B17-1.2)*0.1+1.2),C17/B17)</f>
        <v>0.99663027194376563</v>
      </c>
      <c r="E17" s="21"/>
      <c r="F17" s="20"/>
      <c r="G17" s="20"/>
      <c r="H17" s="6"/>
      <c r="I17" s="21"/>
      <c r="J17" s="34">
        <f>SUM(J18:J44)</f>
        <v>6765</v>
      </c>
      <c r="K17" s="34">
        <f>SUM(K18:K44)</f>
        <v>6769</v>
      </c>
      <c r="L17" s="6">
        <f>IF(J17/K17&gt;1.2,IF((J17/K17-1)*0.1+1.2&gt;1.3,1.3,(J17/K17-1.2)*0.1+1.2),J17/K17)</f>
        <v>0.99940907076377605</v>
      </c>
      <c r="M17" s="21"/>
      <c r="N17" s="34">
        <f>SUM(N18:N44)</f>
        <v>1016151.6000000001</v>
      </c>
      <c r="O17" s="34">
        <f>SUM(O18:O44)</f>
        <v>1015794.5</v>
      </c>
      <c r="P17" s="6">
        <f>IF(O17/N17&gt;1.2,IF((O17/N17-1.2)*0.1+1.2&gt;1.3,1.3,(O17/N17-1.2)*0.1+1.2),O17/N17)</f>
        <v>0.99964857605892654</v>
      </c>
      <c r="Q17" s="21"/>
      <c r="R17" s="34">
        <f>SUM(R18:R44)</f>
        <v>35712.400000000001</v>
      </c>
      <c r="S17" s="34">
        <f>SUM(S18:S44)</f>
        <v>38588.400000000001</v>
      </c>
      <c r="T17" s="6">
        <f>IF(S17/R17&gt;1.2,IF((S17/R17-1.2)*0.1+1.2&gt;1.3,1.3,(S17/R17-1.2)*0.1+1.2),S17/R17)</f>
        <v>1.080532252102911</v>
      </c>
      <c r="U17" s="21"/>
      <c r="V17" s="34">
        <f>SUM(V18:V44)</f>
        <v>15720.699999999999</v>
      </c>
      <c r="W17" s="34">
        <f>SUM(W18:W44)</f>
        <v>19938.099999999999</v>
      </c>
      <c r="X17" s="6">
        <f>IF(W17/V17&gt;1.2,IF((W17/V17-1.2)*0.1+1.2&gt;1.3,1.3,(W17/V17-1.2)*0.1+1.2),W17/V17)</f>
        <v>1.2068270496860827</v>
      </c>
      <c r="Y17" s="21"/>
      <c r="Z17" s="34">
        <f>SUM(Z18:Z44)</f>
        <v>10350751.5</v>
      </c>
      <c r="AA17" s="34">
        <f>SUM(AA18:AA44)</f>
        <v>9558815</v>
      </c>
      <c r="AB17" s="6">
        <f>IF(AA17/Z17&gt;1.2,IF((AA17/Z17-1.2)*0.1+1.2&gt;1.3,1.3,(AA17/Z17-1.2)*0.1+1.2),AA17/Z17)</f>
        <v>0.9234899514300966</v>
      </c>
      <c r="AC17" s="21"/>
      <c r="AD17" s="34">
        <f>SUM(AD18:AD44)</f>
        <v>106350</v>
      </c>
      <c r="AE17" s="34">
        <f>SUM(AE18:AE44)</f>
        <v>107608</v>
      </c>
      <c r="AF17" s="6">
        <f>IF(AE17/AD17&gt;1.2,IF((AE17/AD17-1.2)*0.1+1.2&gt;1.3,1.3,(AE17/AD17-1.2)*0.1+1.2),AE17/AD17)</f>
        <v>1.0118288669487541</v>
      </c>
      <c r="AG17" s="21"/>
      <c r="AH17" s="34">
        <f>SUM(AH18:AH44)</f>
        <v>91325.7</v>
      </c>
      <c r="AI17" s="34">
        <f>SUM(AI18:AI44)</f>
        <v>92932.89999999998</v>
      </c>
      <c r="AJ17" s="6">
        <f>IF(AI17/AH17&gt;1.2,IF((AI17/AH17-1.2)*0.1+1.2&gt;1.3,1.3,(AI17/AH17-1.2)*0.1+1.2),AI17/AH17)</f>
        <v>1.0175985511197831</v>
      </c>
      <c r="AK17" s="21"/>
      <c r="AL17" s="34">
        <f>SUM(AL18:AL44)</f>
        <v>40223.399999999994</v>
      </c>
      <c r="AM17" s="34">
        <f>SUM(AM18:AM44)</f>
        <v>42813.600000000013</v>
      </c>
      <c r="AN17" s="6">
        <f>IF(AM17/AL17&gt;1.2,IF((AM17/AL17-1.2)*0.1+1.2&gt;1.3,1.3,(AM17/AL17-1.2)*0.1+1.2),AM17/AL17)</f>
        <v>1.0643953519593077</v>
      </c>
      <c r="AO17" s="21"/>
      <c r="AP17" s="22"/>
      <c r="AQ17" s="20">
        <f>SUM(AQ18:AQ44)</f>
        <v>1157823</v>
      </c>
      <c r="AR17" s="34">
        <f>SUM(AR18:AR44)</f>
        <v>315769.90909090906</v>
      </c>
      <c r="AS17" s="34">
        <f>SUM(AS18:AS44)</f>
        <v>322904.90000000002</v>
      </c>
      <c r="AT17" s="34">
        <f>SUM(AT18:AT44)</f>
        <v>7134.9909090909077</v>
      </c>
      <c r="AU17" s="34">
        <f t="shared" ref="AU17:AZ17" si="16">SUM(AU18:AU44)</f>
        <v>107125.29999999999</v>
      </c>
      <c r="AV17" s="34">
        <f t="shared" si="16"/>
        <v>106505.90000000001</v>
      </c>
      <c r="AW17" s="34">
        <f t="shared" si="16"/>
        <v>109273.70000000001</v>
      </c>
      <c r="AX17" s="34"/>
      <c r="AY17" s="34">
        <f t="shared" si="16"/>
        <v>109273.70000000001</v>
      </c>
      <c r="AZ17" s="34">
        <f t="shared" si="16"/>
        <v>6.4999999999999858</v>
      </c>
      <c r="BA17" s="34">
        <f>SUM(BA18:BA44)</f>
        <v>109280.2</v>
      </c>
      <c r="BB17" s="34">
        <f>SUM(BB18:BB44)</f>
        <v>8760.9</v>
      </c>
      <c r="BC17" s="34">
        <f t="shared" ref="BC17:BE17" si="17">SUM(BC18:BC44)</f>
        <v>100519.30000000002</v>
      </c>
      <c r="BD17" s="34">
        <f t="shared" si="17"/>
        <v>102680.5</v>
      </c>
      <c r="BE17" s="34">
        <f t="shared" si="17"/>
        <v>-2161.1999999999994</v>
      </c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</row>
    <row r="18" spans="1:71" s="2" customFormat="1" ht="17" customHeight="1">
      <c r="A18" s="13" t="s">
        <v>0</v>
      </c>
      <c r="B18" s="35">
        <v>17357</v>
      </c>
      <c r="C18" s="35">
        <v>20669.5</v>
      </c>
      <c r="D18" s="4">
        <f t="shared" si="2"/>
        <v>1.1908451921414991</v>
      </c>
      <c r="E18" s="11">
        <v>10</v>
      </c>
      <c r="F18" s="59">
        <v>109.9</v>
      </c>
      <c r="G18" s="59">
        <v>101.7</v>
      </c>
      <c r="H18" s="4">
        <f t="shared" si="3"/>
        <v>0.92538671519563243</v>
      </c>
      <c r="I18" s="11">
        <v>5</v>
      </c>
      <c r="J18" s="45">
        <v>160</v>
      </c>
      <c r="K18" s="45">
        <v>166</v>
      </c>
      <c r="L18" s="4">
        <f t="shared" si="4"/>
        <v>0.96385542168674698</v>
      </c>
      <c r="M18" s="11">
        <v>15</v>
      </c>
      <c r="N18" s="35">
        <v>8830.5</v>
      </c>
      <c r="O18" s="35">
        <v>9737.6</v>
      </c>
      <c r="P18" s="4">
        <f t="shared" si="5"/>
        <v>1.1027235150897459</v>
      </c>
      <c r="Q18" s="11">
        <v>20</v>
      </c>
      <c r="R18" s="35">
        <v>132</v>
      </c>
      <c r="S18" s="35">
        <v>157.6</v>
      </c>
      <c r="T18" s="4">
        <f>IF(U18=0,0,IF(R18=0,1,IF(S18&lt;0,0,IF(S18/R18&gt;1.2,IF((S18/R18-1.2)*0.1+1.2&gt;1.3,1.3,(S18/R18-1.2)*0.1+1.2),S18/R18))))</f>
        <v>1.1939393939393939</v>
      </c>
      <c r="U18" s="11">
        <v>10</v>
      </c>
      <c r="V18" s="35">
        <v>45</v>
      </c>
      <c r="W18" s="35">
        <v>48</v>
      </c>
      <c r="X18" s="4">
        <f>IF(Y18=0,0,IF(V18=0,1,IF(W18&lt;0,0,IF(W18/V18&gt;1.2,IF((W18/V18-1.2)*0.1+1.2&gt;1.3,1.3,(W18/V18-1.2)*0.1+1.2),W18/V18))))</f>
        <v>1.0666666666666667</v>
      </c>
      <c r="Y18" s="11">
        <v>10</v>
      </c>
      <c r="Z18" s="35">
        <v>96400</v>
      </c>
      <c r="AA18" s="35">
        <v>92221</v>
      </c>
      <c r="AB18" s="4">
        <f>IF(AC18=0,0,IF(Z18=0,1,IF(AA18&lt;0,0,IF(AA18/Z18&gt;1.2,IF((AA18/Z18-1.2)*0.1+1.2&gt;1.3,1.3,(AA18/Z18-1.2)*0.1+1.2),AA18/Z18))))</f>
        <v>0.95664937759336099</v>
      </c>
      <c r="AC18" s="11">
        <v>5</v>
      </c>
      <c r="AD18" s="11">
        <v>3989</v>
      </c>
      <c r="AE18" s="11">
        <v>3947</v>
      </c>
      <c r="AF18" s="4">
        <f>IF(AG18=0,0,IF(AD18=0,1,IF(AE18&lt;0,0,IF(AE18/AD18&gt;1.2,IF((AE18/AD18-1.2)*0.1+1.2&gt;1.3,1.3,(AE18/AD18-1.2)*0.1+1.2),AE18/AD18))))</f>
        <v>0.9894710453747807</v>
      </c>
      <c r="AG18" s="11">
        <v>15</v>
      </c>
      <c r="AH18" s="11">
        <v>2840</v>
      </c>
      <c r="AI18" s="11">
        <v>2911.5</v>
      </c>
      <c r="AJ18" s="4">
        <f>IF(AK18=0,0,IF(AH18=0,1,IF(AI18&lt;0,0,IF(AI18/AH18&gt;1.2,IF((AI18/AH18-1.2)*0.1+1.2&gt;1.3,1.3,(AI18/AH18-1.2)*0.1+1.2),AI18/AH18))))</f>
        <v>1.0251760563380281</v>
      </c>
      <c r="AK18" s="11">
        <v>10</v>
      </c>
      <c r="AL18" s="11">
        <v>950</v>
      </c>
      <c r="AM18" s="11">
        <v>1245.7</v>
      </c>
      <c r="AN18" s="4">
        <f>IF(AO18=0,0,IF(AL18=0,1,IF(AM18&lt;0,0,IF(AM18/AL18&gt;1.2,IF((AM18/AL18-1.2)*0.1+1.2&gt;1.3,1.3,(AM18/AL18-1.2)*0.1+1.2),AM18/AL18))))</f>
        <v>1.2111263157894736</v>
      </c>
      <c r="AO18" s="11">
        <v>10</v>
      </c>
      <c r="AP18" s="44">
        <f>(D18*E18+H18*I18+L18*M18+P18*Q18+T18*U18+X18*Y18+AB18*AC18+AF18*AG18+AJ18*AK18+AN18*AO18)/(E18+I18+M18+Q18+U18+Y18+AC18+AG18+AK18+AO18)</f>
        <v>1.0694734910946675</v>
      </c>
      <c r="AQ18" s="45">
        <v>26817</v>
      </c>
      <c r="AR18" s="35">
        <f t="shared" si="8"/>
        <v>7313.727272727273</v>
      </c>
      <c r="AS18" s="35">
        <f t="shared" si="9"/>
        <v>7821.8</v>
      </c>
      <c r="AT18" s="35">
        <f t="shared" si="10"/>
        <v>508.07272727272721</v>
      </c>
      <c r="AU18" s="35">
        <v>2644.3</v>
      </c>
      <c r="AV18" s="35">
        <v>2395.8000000000002</v>
      </c>
      <c r="AW18" s="35">
        <f t="shared" si="11"/>
        <v>2781.7</v>
      </c>
      <c r="AX18" s="35"/>
      <c r="AY18" s="35">
        <f t="shared" si="12"/>
        <v>2781.7</v>
      </c>
      <c r="AZ18" s="35">
        <v>-5.6</v>
      </c>
      <c r="BA18" s="35">
        <f>AY18+AZ18</f>
        <v>2776.1</v>
      </c>
      <c r="BB18" s="35">
        <f>MIN(BA18,179.1)</f>
        <v>179.1</v>
      </c>
      <c r="BC18" s="35">
        <f t="shared" si="14"/>
        <v>2597</v>
      </c>
      <c r="BD18" s="35">
        <v>2691</v>
      </c>
      <c r="BE18" s="35">
        <f t="shared" si="15"/>
        <v>-94</v>
      </c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</row>
    <row r="19" spans="1:71" s="2" customFormat="1" ht="17" customHeight="1">
      <c r="A19" s="13" t="s">
        <v>21</v>
      </c>
      <c r="B19" s="35">
        <v>2799360</v>
      </c>
      <c r="C19" s="35">
        <v>2358633.2999999998</v>
      </c>
      <c r="D19" s="4">
        <f t="shared" si="2"/>
        <v>0.84256162122770917</v>
      </c>
      <c r="E19" s="11">
        <v>10</v>
      </c>
      <c r="F19" s="59">
        <v>107</v>
      </c>
      <c r="G19" s="59">
        <v>106.6</v>
      </c>
      <c r="H19" s="4">
        <f t="shared" si="3"/>
        <v>0.99626168224299061</v>
      </c>
      <c r="I19" s="11">
        <v>5</v>
      </c>
      <c r="J19" s="45">
        <v>270</v>
      </c>
      <c r="K19" s="45">
        <v>250</v>
      </c>
      <c r="L19" s="4">
        <f t="shared" si="4"/>
        <v>1.08</v>
      </c>
      <c r="M19" s="11">
        <v>5</v>
      </c>
      <c r="N19" s="35">
        <v>44993.9</v>
      </c>
      <c r="O19" s="35">
        <v>45413.4</v>
      </c>
      <c r="P19" s="4">
        <f t="shared" si="5"/>
        <v>1.0093234860725564</v>
      </c>
      <c r="Q19" s="11">
        <v>20</v>
      </c>
      <c r="R19" s="35">
        <v>1774</v>
      </c>
      <c r="S19" s="35">
        <v>1842.8</v>
      </c>
      <c r="T19" s="4">
        <f t="shared" ref="T19:T44" si="18">IF(U19=0,0,IF(R19=0,1,IF(S19&lt;0,0,IF(S19/R19&gt;1.2,IF((S19/R19-1.2)*0.1+1.2&gt;1.3,1.3,(S19/R19-1.2)*0.1+1.2),S19/R19))))</f>
        <v>1.0387824126268319</v>
      </c>
      <c r="U19" s="11">
        <v>5</v>
      </c>
      <c r="V19" s="35">
        <v>200.1</v>
      </c>
      <c r="W19" s="35">
        <v>200.5</v>
      </c>
      <c r="X19" s="4">
        <f t="shared" ref="X19:X44" si="19">IF(Y19=0,0,IF(V19=0,1,IF(W19&lt;0,0,IF(W19/V19&gt;1.2,IF((W19/V19-1.2)*0.1+1.2&gt;1.3,1.3,(W19/V19-1.2)*0.1+1.2),W19/V19))))</f>
        <v>1.0019990004997501</v>
      </c>
      <c r="Y19" s="11">
        <v>5</v>
      </c>
      <c r="Z19" s="35">
        <v>719795</v>
      </c>
      <c r="AA19" s="35">
        <v>623523</v>
      </c>
      <c r="AB19" s="4">
        <f t="shared" ref="AB19:AB44" si="20">IF(AC19=0,0,IF(Z19=0,1,IF(AA19&lt;0,0,IF(AA19/Z19&gt;1.2,IF((AA19/Z19-1.2)*0.1+1.2&gt;1.3,1.3,(AA19/Z19-1.2)*0.1+1.2),AA19/Z19))))</f>
        <v>0.86625080752158601</v>
      </c>
      <c r="AC19" s="11">
        <v>5</v>
      </c>
      <c r="AD19" s="11">
        <v>4500</v>
      </c>
      <c r="AE19" s="11">
        <v>4779</v>
      </c>
      <c r="AF19" s="4">
        <f t="shared" ref="AF19:AF44" si="21">IF(AG19=0,0,IF(AD19=0,1,IF(AE19&lt;0,0,IF(AE19/AD19&gt;1.2,IF((AE19/AD19-1.2)*0.1+1.2&gt;1.3,1.3,(AE19/AD19-1.2)*0.1+1.2),AE19/AD19))))</f>
        <v>1.0620000000000001</v>
      </c>
      <c r="AG19" s="11">
        <v>20</v>
      </c>
      <c r="AH19" s="11">
        <v>4400</v>
      </c>
      <c r="AI19" s="11">
        <v>4441.6000000000004</v>
      </c>
      <c r="AJ19" s="4">
        <f t="shared" ref="AJ19:AJ43" si="22">IF(AK19=0,0,IF(AH19=0,1,IF(AI19&lt;0,0,IF(AI19/AH19&gt;1.2,IF((AI19/AH19-1.2)*0.1+1.2&gt;1.3,1.3,(AI19/AH19-1.2)*0.1+1.2),AI19/AH19))))</f>
        <v>1.0094545454545456</v>
      </c>
      <c r="AK19" s="11">
        <v>15</v>
      </c>
      <c r="AL19" s="11">
        <v>900</v>
      </c>
      <c r="AM19" s="11">
        <v>820.1</v>
      </c>
      <c r="AN19" s="4">
        <f t="shared" ref="AN19:AN43" si="23">IF(AO19=0,0,IF(AL19=0,1,IF(AM19&lt;0,0,IF(AM19/AL19&gt;1.2,IF((AM19/AL19-1.2)*0.1+1.2&gt;1.3,1.3,(AM19/AL19-1.2)*0.1+1.2),AM19/AL19))))</f>
        <v>0.91122222222222227</v>
      </c>
      <c r="AO19" s="11">
        <v>5</v>
      </c>
      <c r="AP19" s="44">
        <f t="shared" ref="AP19:AP43" si="24">(D19*E19+H19*I19+L19*M19+P19*Q19+T19*U19+X19*Y19+AB19*AC19+AF19*AG19+AJ19*AK19+AN19*AO19)/(E19+I19+M19+Q19+U19+Y19+AC19+AG19+AK19+AO19)</f>
        <v>0.99438404990645568</v>
      </c>
      <c r="AQ19" s="45">
        <v>43887</v>
      </c>
      <c r="AR19" s="35">
        <f t="shared" si="8"/>
        <v>11969.181818181818</v>
      </c>
      <c r="AS19" s="35">
        <f t="shared" si="9"/>
        <v>11902</v>
      </c>
      <c r="AT19" s="35">
        <f t="shared" si="10"/>
        <v>-67.181818181818016</v>
      </c>
      <c r="AU19" s="35">
        <v>3615.3</v>
      </c>
      <c r="AV19" s="35">
        <v>3953.7</v>
      </c>
      <c r="AW19" s="35">
        <f t="shared" si="11"/>
        <v>4333</v>
      </c>
      <c r="AX19" s="35"/>
      <c r="AY19" s="35">
        <f t="shared" si="12"/>
        <v>4333</v>
      </c>
      <c r="AZ19" s="35">
        <v>14.8</v>
      </c>
      <c r="BA19" s="35">
        <f t="shared" ref="BA19:BA44" si="25">AY19+AZ19</f>
        <v>4347.8</v>
      </c>
      <c r="BB19" s="35"/>
      <c r="BC19" s="35">
        <f t="shared" si="14"/>
        <v>4347.8</v>
      </c>
      <c r="BD19" s="35">
        <v>4436.7</v>
      </c>
      <c r="BE19" s="35">
        <f t="shared" si="15"/>
        <v>-88.9</v>
      </c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</row>
    <row r="20" spans="1:71" s="2" customFormat="1" ht="17" customHeight="1">
      <c r="A20" s="13" t="s">
        <v>22</v>
      </c>
      <c r="B20" s="35">
        <v>609449</v>
      </c>
      <c r="C20" s="35">
        <v>562423.9</v>
      </c>
      <c r="D20" s="4">
        <f t="shared" si="2"/>
        <v>0.92283997512507199</v>
      </c>
      <c r="E20" s="11">
        <v>10</v>
      </c>
      <c r="F20" s="59">
        <v>105.5</v>
      </c>
      <c r="G20" s="59">
        <v>108.7</v>
      </c>
      <c r="H20" s="4">
        <f t="shared" si="3"/>
        <v>1.0303317535545025</v>
      </c>
      <c r="I20" s="11">
        <v>5</v>
      </c>
      <c r="J20" s="45">
        <v>130</v>
      </c>
      <c r="K20" s="45">
        <v>124</v>
      </c>
      <c r="L20" s="4">
        <f t="shared" si="4"/>
        <v>1.0483870967741935</v>
      </c>
      <c r="M20" s="11">
        <v>10</v>
      </c>
      <c r="N20" s="35">
        <v>19898.599999999999</v>
      </c>
      <c r="O20" s="35">
        <v>18500.7</v>
      </c>
      <c r="P20" s="4">
        <f t="shared" si="5"/>
        <v>0.92974882655061175</v>
      </c>
      <c r="Q20" s="11">
        <v>20</v>
      </c>
      <c r="R20" s="35">
        <v>2731.2</v>
      </c>
      <c r="S20" s="35">
        <v>2743.7</v>
      </c>
      <c r="T20" s="4">
        <f t="shared" si="18"/>
        <v>1.0045767428236672</v>
      </c>
      <c r="U20" s="11">
        <v>10</v>
      </c>
      <c r="V20" s="35">
        <v>514.29999999999995</v>
      </c>
      <c r="W20" s="35">
        <v>578</v>
      </c>
      <c r="X20" s="4">
        <f t="shared" si="19"/>
        <v>1.1238576706202605</v>
      </c>
      <c r="Y20" s="11">
        <v>5</v>
      </c>
      <c r="Z20" s="35">
        <v>208980</v>
      </c>
      <c r="AA20" s="35">
        <v>207687</v>
      </c>
      <c r="AB20" s="4">
        <f t="shared" si="20"/>
        <v>0.99381280505311509</v>
      </c>
      <c r="AC20" s="11">
        <v>5</v>
      </c>
      <c r="AD20" s="11">
        <v>3030</v>
      </c>
      <c r="AE20" s="11">
        <v>3110</v>
      </c>
      <c r="AF20" s="4">
        <f t="shared" si="21"/>
        <v>1.0264026402640265</v>
      </c>
      <c r="AG20" s="11">
        <v>20</v>
      </c>
      <c r="AH20" s="11">
        <v>4000</v>
      </c>
      <c r="AI20" s="11">
        <v>3679.1</v>
      </c>
      <c r="AJ20" s="4">
        <f t="shared" si="22"/>
        <v>0.91977500000000001</v>
      </c>
      <c r="AK20" s="11">
        <v>20</v>
      </c>
      <c r="AL20" s="11">
        <v>1035</v>
      </c>
      <c r="AM20" s="11">
        <v>1065.5999999999999</v>
      </c>
      <c r="AN20" s="4">
        <f t="shared" si="23"/>
        <v>1.0295652173913044</v>
      </c>
      <c r="AO20" s="11">
        <v>5</v>
      </c>
      <c r="AP20" s="44">
        <f t="shared" si="24"/>
        <v>0.98331277015107299</v>
      </c>
      <c r="AQ20" s="45">
        <v>32285</v>
      </c>
      <c r="AR20" s="35">
        <f t="shared" si="8"/>
        <v>8805</v>
      </c>
      <c r="AS20" s="35">
        <f t="shared" si="9"/>
        <v>8658.1</v>
      </c>
      <c r="AT20" s="35">
        <f t="shared" si="10"/>
        <v>-146.89999999999964</v>
      </c>
      <c r="AU20" s="35">
        <v>3053.4</v>
      </c>
      <c r="AV20" s="35">
        <v>3028.2000000000003</v>
      </c>
      <c r="AW20" s="35">
        <f t="shared" si="11"/>
        <v>2576.5</v>
      </c>
      <c r="AX20" s="35"/>
      <c r="AY20" s="35">
        <f t="shared" si="12"/>
        <v>2576.5</v>
      </c>
      <c r="AZ20" s="35">
        <v>6.3</v>
      </c>
      <c r="BA20" s="35">
        <f t="shared" si="25"/>
        <v>2582.8000000000002</v>
      </c>
      <c r="BB20" s="35">
        <f>MIN(BA20,788.2)</f>
        <v>788.2</v>
      </c>
      <c r="BC20" s="35">
        <f t="shared" si="14"/>
        <v>1794.6</v>
      </c>
      <c r="BD20" s="35">
        <v>1769.2</v>
      </c>
      <c r="BE20" s="35">
        <f t="shared" si="15"/>
        <v>25.4</v>
      </c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</row>
    <row r="21" spans="1:71" s="2" customFormat="1" ht="17" customHeight="1">
      <c r="A21" s="13" t="s">
        <v>23</v>
      </c>
      <c r="B21" s="35">
        <v>58584</v>
      </c>
      <c r="C21" s="35">
        <v>61372.1</v>
      </c>
      <c r="D21" s="4">
        <f t="shared" si="2"/>
        <v>1.047591492557695</v>
      </c>
      <c r="E21" s="11">
        <v>10</v>
      </c>
      <c r="F21" s="59">
        <v>105.9</v>
      </c>
      <c r="G21" s="59">
        <v>112.3</v>
      </c>
      <c r="H21" s="4">
        <f t="shared" si="3"/>
        <v>1.0604343720491027</v>
      </c>
      <c r="I21" s="11">
        <v>5</v>
      </c>
      <c r="J21" s="45">
        <v>390</v>
      </c>
      <c r="K21" s="45">
        <v>369</v>
      </c>
      <c r="L21" s="4">
        <f t="shared" si="4"/>
        <v>1.056910569105691</v>
      </c>
      <c r="M21" s="11">
        <v>10</v>
      </c>
      <c r="N21" s="35">
        <v>20941.7</v>
      </c>
      <c r="O21" s="35">
        <v>22860.400000000001</v>
      </c>
      <c r="P21" s="4">
        <f t="shared" si="5"/>
        <v>1.0916210240811395</v>
      </c>
      <c r="Q21" s="11">
        <v>20</v>
      </c>
      <c r="R21" s="35">
        <v>711</v>
      </c>
      <c r="S21" s="35">
        <v>754.8</v>
      </c>
      <c r="T21" s="4">
        <f t="shared" si="18"/>
        <v>1.0616033755274261</v>
      </c>
      <c r="U21" s="11">
        <v>5</v>
      </c>
      <c r="V21" s="35">
        <v>129</v>
      </c>
      <c r="W21" s="35">
        <v>144.1</v>
      </c>
      <c r="X21" s="4">
        <f t="shared" si="19"/>
        <v>1.1170542635658913</v>
      </c>
      <c r="Y21" s="11">
        <v>5</v>
      </c>
      <c r="Z21" s="35">
        <v>197152.5</v>
      </c>
      <c r="AA21" s="35">
        <v>178916</v>
      </c>
      <c r="AB21" s="4">
        <f t="shared" si="20"/>
        <v>0.90750053892291505</v>
      </c>
      <c r="AC21" s="11">
        <v>5</v>
      </c>
      <c r="AD21" s="11">
        <v>4900</v>
      </c>
      <c r="AE21" s="11">
        <v>4900</v>
      </c>
      <c r="AF21" s="4">
        <f t="shared" si="21"/>
        <v>1</v>
      </c>
      <c r="AG21" s="11">
        <v>15</v>
      </c>
      <c r="AH21" s="11">
        <v>3500</v>
      </c>
      <c r="AI21" s="11">
        <v>3499.3</v>
      </c>
      <c r="AJ21" s="4">
        <f t="shared" si="22"/>
        <v>0.99980000000000002</v>
      </c>
      <c r="AK21" s="11">
        <v>10</v>
      </c>
      <c r="AL21" s="11">
        <v>580</v>
      </c>
      <c r="AM21" s="11">
        <v>1169.9000000000001</v>
      </c>
      <c r="AN21" s="4">
        <f t="shared" si="23"/>
        <v>1.2817068965517242</v>
      </c>
      <c r="AO21" s="11">
        <v>10</v>
      </c>
      <c r="AP21" s="44">
        <f t="shared" si="24"/>
        <v>1.0676365559379009</v>
      </c>
      <c r="AQ21" s="45">
        <v>36362</v>
      </c>
      <c r="AR21" s="35">
        <f t="shared" si="8"/>
        <v>9916.9090909090901</v>
      </c>
      <c r="AS21" s="35">
        <f t="shared" si="9"/>
        <v>10587.7</v>
      </c>
      <c r="AT21" s="35">
        <f t="shared" si="10"/>
        <v>670.79090909091065</v>
      </c>
      <c r="AU21" s="35">
        <v>3527.6</v>
      </c>
      <c r="AV21" s="35">
        <v>3301.3</v>
      </c>
      <c r="AW21" s="35">
        <f t="shared" si="11"/>
        <v>3758.8</v>
      </c>
      <c r="AX21" s="35"/>
      <c r="AY21" s="35">
        <f t="shared" si="12"/>
        <v>3758.8</v>
      </c>
      <c r="AZ21" s="35">
        <v>16.899999999999999</v>
      </c>
      <c r="BA21" s="35">
        <f t="shared" si="25"/>
        <v>3775.7000000000003</v>
      </c>
      <c r="BB21" s="35"/>
      <c r="BC21" s="35">
        <f t="shared" si="14"/>
        <v>3775.7</v>
      </c>
      <c r="BD21" s="35">
        <v>3873.3</v>
      </c>
      <c r="BE21" s="35">
        <f t="shared" si="15"/>
        <v>-97.6</v>
      </c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</row>
    <row r="22" spans="1:71" s="2" customFormat="1" ht="17" customHeight="1">
      <c r="A22" s="13" t="s">
        <v>24</v>
      </c>
      <c r="B22" s="35">
        <v>64014</v>
      </c>
      <c r="C22" s="35">
        <v>72584</v>
      </c>
      <c r="D22" s="4">
        <f t="shared" si="2"/>
        <v>1.1338769644140345</v>
      </c>
      <c r="E22" s="11">
        <v>10</v>
      </c>
      <c r="F22" s="59">
        <v>105.9</v>
      </c>
      <c r="G22" s="59">
        <v>104.2</v>
      </c>
      <c r="H22" s="4">
        <f t="shared" si="3"/>
        <v>0.98394711992445705</v>
      </c>
      <c r="I22" s="11">
        <v>5</v>
      </c>
      <c r="J22" s="45">
        <v>400</v>
      </c>
      <c r="K22" s="45">
        <v>368</v>
      </c>
      <c r="L22" s="4">
        <f t="shared" si="4"/>
        <v>1.0869565217391304</v>
      </c>
      <c r="M22" s="11">
        <v>10</v>
      </c>
      <c r="N22" s="35">
        <v>23874.2</v>
      </c>
      <c r="O22" s="35">
        <v>20355.2</v>
      </c>
      <c r="P22" s="4">
        <f t="shared" si="5"/>
        <v>0.85260239086545309</v>
      </c>
      <c r="Q22" s="11">
        <v>20</v>
      </c>
      <c r="R22" s="35">
        <v>925.9</v>
      </c>
      <c r="S22" s="35">
        <v>1118</v>
      </c>
      <c r="T22" s="4">
        <f t="shared" si="18"/>
        <v>1.200747380926666</v>
      </c>
      <c r="U22" s="11">
        <v>5</v>
      </c>
      <c r="V22" s="35">
        <v>117.5</v>
      </c>
      <c r="W22" s="35">
        <v>137.9</v>
      </c>
      <c r="X22" s="4">
        <f t="shared" si="19"/>
        <v>1.1736170212765957</v>
      </c>
      <c r="Y22" s="11">
        <v>5</v>
      </c>
      <c r="Z22" s="35">
        <v>108835</v>
      </c>
      <c r="AA22" s="35">
        <v>224611</v>
      </c>
      <c r="AB22" s="4">
        <f t="shared" si="20"/>
        <v>1.2863775439886065</v>
      </c>
      <c r="AC22" s="11">
        <v>5</v>
      </c>
      <c r="AD22" s="11">
        <v>10475</v>
      </c>
      <c r="AE22" s="11">
        <v>10323</v>
      </c>
      <c r="AF22" s="4">
        <f t="shared" si="21"/>
        <v>0.98548926014319804</v>
      </c>
      <c r="AG22" s="11">
        <v>20</v>
      </c>
      <c r="AH22" s="11">
        <v>4666</v>
      </c>
      <c r="AI22" s="11">
        <v>5596.8</v>
      </c>
      <c r="AJ22" s="4">
        <f t="shared" si="22"/>
        <v>1.1994856408058294</v>
      </c>
      <c r="AK22" s="11">
        <v>10</v>
      </c>
      <c r="AL22" s="11">
        <v>576</v>
      </c>
      <c r="AM22" s="11">
        <v>1579.7</v>
      </c>
      <c r="AN22" s="4">
        <f t="shared" si="23"/>
        <v>1.3</v>
      </c>
      <c r="AO22" s="11">
        <v>10</v>
      </c>
      <c r="AP22" s="44">
        <f t="shared" si="24"/>
        <v>1.0718846962034458</v>
      </c>
      <c r="AQ22" s="45">
        <v>47804</v>
      </c>
      <c r="AR22" s="35">
        <f t="shared" si="8"/>
        <v>13037.454545454546</v>
      </c>
      <c r="AS22" s="35">
        <f t="shared" si="9"/>
        <v>13974.6</v>
      </c>
      <c r="AT22" s="35">
        <f t="shared" si="10"/>
        <v>937.14545454545441</v>
      </c>
      <c r="AU22" s="35">
        <v>4866.3999999999996</v>
      </c>
      <c r="AV22" s="35">
        <v>4138.3999999999996</v>
      </c>
      <c r="AW22" s="35">
        <f t="shared" si="11"/>
        <v>4969.8</v>
      </c>
      <c r="AX22" s="35"/>
      <c r="AY22" s="35">
        <f t="shared" si="12"/>
        <v>4969.8</v>
      </c>
      <c r="AZ22" s="35">
        <v>7.7</v>
      </c>
      <c r="BA22" s="35">
        <f t="shared" si="25"/>
        <v>4977.5</v>
      </c>
      <c r="BB22" s="35">
        <f>MIN(BA22,1360.8)</f>
        <v>1360.8</v>
      </c>
      <c r="BC22" s="35">
        <f t="shared" si="14"/>
        <v>3616.7</v>
      </c>
      <c r="BD22" s="35">
        <v>3525.1</v>
      </c>
      <c r="BE22" s="35">
        <f t="shared" si="15"/>
        <v>91.6</v>
      </c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</row>
    <row r="23" spans="1:71" s="2" customFormat="1" ht="17" customHeight="1">
      <c r="A23" s="13" t="s">
        <v>25</v>
      </c>
      <c r="B23" s="35">
        <v>65411</v>
      </c>
      <c r="C23" s="35">
        <v>72365</v>
      </c>
      <c r="D23" s="4">
        <f t="shared" si="2"/>
        <v>1.1063123939398571</v>
      </c>
      <c r="E23" s="11">
        <v>10</v>
      </c>
      <c r="F23" s="59">
        <v>109.7</v>
      </c>
      <c r="G23" s="59">
        <v>104.2</v>
      </c>
      <c r="H23" s="4">
        <f t="shared" si="3"/>
        <v>0.94986326344576122</v>
      </c>
      <c r="I23" s="11">
        <v>5</v>
      </c>
      <c r="J23" s="45">
        <v>280</v>
      </c>
      <c r="K23" s="45">
        <v>280</v>
      </c>
      <c r="L23" s="4">
        <f t="shared" si="4"/>
        <v>1</v>
      </c>
      <c r="M23" s="11">
        <v>15</v>
      </c>
      <c r="N23" s="35">
        <v>19753.7</v>
      </c>
      <c r="O23" s="35">
        <v>18557.7</v>
      </c>
      <c r="P23" s="4">
        <f t="shared" si="5"/>
        <v>0.93945438069829956</v>
      </c>
      <c r="Q23" s="11">
        <v>20</v>
      </c>
      <c r="R23" s="35">
        <v>1143.5999999999999</v>
      </c>
      <c r="S23" s="35">
        <v>1307.9000000000001</v>
      </c>
      <c r="T23" s="4">
        <f t="shared" si="18"/>
        <v>1.1436691150752012</v>
      </c>
      <c r="U23" s="11">
        <v>5</v>
      </c>
      <c r="V23" s="35">
        <v>85.6</v>
      </c>
      <c r="W23" s="35">
        <v>97.2</v>
      </c>
      <c r="X23" s="4">
        <f t="shared" si="19"/>
        <v>1.1355140186915889</v>
      </c>
      <c r="Y23" s="11">
        <v>5</v>
      </c>
      <c r="Z23" s="35">
        <v>277828</v>
      </c>
      <c r="AA23" s="35">
        <v>253316</v>
      </c>
      <c r="AB23" s="4">
        <f t="shared" si="20"/>
        <v>0.91177275148653125</v>
      </c>
      <c r="AC23" s="11">
        <v>5</v>
      </c>
      <c r="AD23" s="11">
        <v>4182</v>
      </c>
      <c r="AE23" s="11">
        <v>4182</v>
      </c>
      <c r="AF23" s="4">
        <f t="shared" si="21"/>
        <v>1</v>
      </c>
      <c r="AG23" s="11">
        <v>20</v>
      </c>
      <c r="AH23" s="11">
        <v>3150</v>
      </c>
      <c r="AI23" s="11">
        <v>2668.3</v>
      </c>
      <c r="AJ23" s="4">
        <f t="shared" si="22"/>
        <v>0.8470793650793651</v>
      </c>
      <c r="AK23" s="11">
        <v>10</v>
      </c>
      <c r="AL23" s="11">
        <v>840</v>
      </c>
      <c r="AM23" s="11">
        <v>818</v>
      </c>
      <c r="AN23" s="4">
        <f t="shared" si="23"/>
        <v>0.97380952380952379</v>
      </c>
      <c r="AO23" s="11">
        <v>10</v>
      </c>
      <c r="AP23" s="44">
        <f t="shared" si="24"/>
        <v>0.98823996367379885</v>
      </c>
      <c r="AQ23" s="45">
        <v>41275</v>
      </c>
      <c r="AR23" s="35">
        <f t="shared" si="8"/>
        <v>11256.818181818182</v>
      </c>
      <c r="AS23" s="35">
        <f t="shared" si="9"/>
        <v>11124.4</v>
      </c>
      <c r="AT23" s="35">
        <f t="shared" si="10"/>
        <v>-132.41818181818235</v>
      </c>
      <c r="AU23" s="35">
        <v>3401.6</v>
      </c>
      <c r="AV23" s="35">
        <v>3786.5</v>
      </c>
      <c r="AW23" s="35">
        <f t="shared" si="11"/>
        <v>3936.3</v>
      </c>
      <c r="AX23" s="35"/>
      <c r="AY23" s="35">
        <f t="shared" si="12"/>
        <v>3936.3</v>
      </c>
      <c r="AZ23" s="35">
        <v>-5.8</v>
      </c>
      <c r="BA23" s="35">
        <f t="shared" si="25"/>
        <v>3930.5</v>
      </c>
      <c r="BB23" s="35"/>
      <c r="BC23" s="35">
        <f t="shared" si="14"/>
        <v>3930.5</v>
      </c>
      <c r="BD23" s="35">
        <v>3998.6</v>
      </c>
      <c r="BE23" s="35">
        <f t="shared" si="15"/>
        <v>-68.099999999999994</v>
      </c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</row>
    <row r="24" spans="1:71" s="2" customFormat="1" ht="17" customHeight="1">
      <c r="A24" s="13" t="s">
        <v>26</v>
      </c>
      <c r="B24" s="35">
        <v>3622129</v>
      </c>
      <c r="C24" s="35">
        <v>4386051.4000000004</v>
      </c>
      <c r="D24" s="4">
        <f t="shared" si="2"/>
        <v>1.2010904249959071</v>
      </c>
      <c r="E24" s="11">
        <v>10</v>
      </c>
      <c r="F24" s="59">
        <v>105</v>
      </c>
      <c r="G24" s="59">
        <v>108.1</v>
      </c>
      <c r="H24" s="4">
        <f t="shared" si="3"/>
        <v>1.0295238095238095</v>
      </c>
      <c r="I24" s="11">
        <v>5</v>
      </c>
      <c r="J24" s="45">
        <v>180</v>
      </c>
      <c r="K24" s="45">
        <v>180</v>
      </c>
      <c r="L24" s="4">
        <f t="shared" si="4"/>
        <v>1</v>
      </c>
      <c r="M24" s="11">
        <v>5</v>
      </c>
      <c r="N24" s="35">
        <v>183803.3</v>
      </c>
      <c r="O24" s="35">
        <v>198782</v>
      </c>
      <c r="P24" s="4">
        <f t="shared" si="5"/>
        <v>1.0814930961522455</v>
      </c>
      <c r="Q24" s="11">
        <v>20</v>
      </c>
      <c r="R24" s="35">
        <v>998.7</v>
      </c>
      <c r="S24" s="35">
        <v>1285.8</v>
      </c>
      <c r="T24" s="4">
        <f t="shared" si="18"/>
        <v>1.2087473715830579</v>
      </c>
      <c r="U24" s="11">
        <v>5</v>
      </c>
      <c r="V24" s="35">
        <v>536.6</v>
      </c>
      <c r="W24" s="35">
        <v>639.70000000000005</v>
      </c>
      <c r="X24" s="4">
        <f t="shared" si="19"/>
        <v>1.1921356690272085</v>
      </c>
      <c r="Y24" s="11">
        <v>5</v>
      </c>
      <c r="Z24" s="35">
        <v>2122686</v>
      </c>
      <c r="AA24" s="35">
        <v>1831320</v>
      </c>
      <c r="AB24" s="4">
        <f t="shared" si="20"/>
        <v>0.86273711703002709</v>
      </c>
      <c r="AC24" s="11">
        <v>10</v>
      </c>
      <c r="AD24" s="11">
        <v>4794</v>
      </c>
      <c r="AE24" s="11">
        <v>4434</v>
      </c>
      <c r="AF24" s="4">
        <f t="shared" si="21"/>
        <v>0.92490613266583233</v>
      </c>
      <c r="AG24" s="11">
        <v>20</v>
      </c>
      <c r="AH24" s="11">
        <v>3100</v>
      </c>
      <c r="AI24" s="11">
        <v>3491.1</v>
      </c>
      <c r="AJ24" s="4">
        <f t="shared" si="22"/>
        <v>1.1261612903225806</v>
      </c>
      <c r="AK24" s="11">
        <v>15</v>
      </c>
      <c r="AL24" s="11">
        <v>970</v>
      </c>
      <c r="AM24" s="11">
        <v>1373.4</v>
      </c>
      <c r="AN24" s="4">
        <f t="shared" si="23"/>
        <v>1.2215876288659793</v>
      </c>
      <c r="AO24" s="11">
        <v>10</v>
      </c>
      <c r="AP24" s="44">
        <f t="shared" si="24"/>
        <v>1.0669199037218073</v>
      </c>
      <c r="AQ24" s="45">
        <v>35766</v>
      </c>
      <c r="AR24" s="35">
        <f t="shared" si="8"/>
        <v>9754.363636363636</v>
      </c>
      <c r="AS24" s="35">
        <f t="shared" si="9"/>
        <v>10407.1</v>
      </c>
      <c r="AT24" s="35">
        <f t="shared" si="10"/>
        <v>652.73636363636433</v>
      </c>
      <c r="AU24" s="35">
        <v>3708</v>
      </c>
      <c r="AV24" s="35">
        <v>3617.3999999999996</v>
      </c>
      <c r="AW24" s="35">
        <f t="shared" si="11"/>
        <v>3081.7</v>
      </c>
      <c r="AX24" s="35"/>
      <c r="AY24" s="35">
        <f t="shared" si="12"/>
        <v>3081.7</v>
      </c>
      <c r="AZ24" s="35">
        <v>-12.3</v>
      </c>
      <c r="BA24" s="35">
        <f t="shared" si="25"/>
        <v>3069.3999999999996</v>
      </c>
      <c r="BB24" s="35">
        <f>MIN(BA24,1625.7)</f>
        <v>1625.7</v>
      </c>
      <c r="BC24" s="35">
        <f t="shared" si="14"/>
        <v>1443.7</v>
      </c>
      <c r="BD24" s="35">
        <v>1685.3</v>
      </c>
      <c r="BE24" s="35">
        <f t="shared" si="15"/>
        <v>-241.6</v>
      </c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</row>
    <row r="25" spans="1:71" s="2" customFormat="1" ht="17" customHeight="1">
      <c r="A25" s="13" t="s">
        <v>27</v>
      </c>
      <c r="B25" s="35">
        <v>42388</v>
      </c>
      <c r="C25" s="35">
        <v>49423.1</v>
      </c>
      <c r="D25" s="4">
        <f t="shared" si="2"/>
        <v>1.1659691422100593</v>
      </c>
      <c r="E25" s="11">
        <v>10</v>
      </c>
      <c r="F25" s="59">
        <v>105.5</v>
      </c>
      <c r="G25" s="59">
        <v>103.4</v>
      </c>
      <c r="H25" s="4">
        <f t="shared" si="3"/>
        <v>0.98009478672985784</v>
      </c>
      <c r="I25" s="11">
        <v>5</v>
      </c>
      <c r="J25" s="45">
        <v>70</v>
      </c>
      <c r="K25" s="45">
        <v>65</v>
      </c>
      <c r="L25" s="4">
        <f t="shared" si="4"/>
        <v>1.0769230769230769</v>
      </c>
      <c r="M25" s="11">
        <v>10</v>
      </c>
      <c r="N25" s="35">
        <v>9747.1</v>
      </c>
      <c r="O25" s="35">
        <v>9335.1</v>
      </c>
      <c r="P25" s="4">
        <f t="shared" si="5"/>
        <v>0.95773101743082556</v>
      </c>
      <c r="Q25" s="11">
        <v>20</v>
      </c>
      <c r="R25" s="35">
        <v>302</v>
      </c>
      <c r="S25" s="35">
        <v>349.9</v>
      </c>
      <c r="T25" s="4">
        <f t="shared" si="18"/>
        <v>1.1586092715231788</v>
      </c>
      <c r="U25" s="11">
        <v>5</v>
      </c>
      <c r="V25" s="35">
        <v>39</v>
      </c>
      <c r="W25" s="35">
        <v>42.9</v>
      </c>
      <c r="X25" s="4">
        <f t="shared" si="19"/>
        <v>1.0999999999999999</v>
      </c>
      <c r="Y25" s="11">
        <v>5</v>
      </c>
      <c r="Z25" s="35">
        <v>89577</v>
      </c>
      <c r="AA25" s="35">
        <v>77003</v>
      </c>
      <c r="AB25" s="4">
        <f t="shared" si="20"/>
        <v>0.85962914587449901</v>
      </c>
      <c r="AC25" s="11">
        <v>5</v>
      </c>
      <c r="AD25" s="11">
        <v>1497</v>
      </c>
      <c r="AE25" s="11">
        <v>1357</v>
      </c>
      <c r="AF25" s="4">
        <f t="shared" si="21"/>
        <v>0.90647962591850373</v>
      </c>
      <c r="AG25" s="11">
        <v>20</v>
      </c>
      <c r="AH25" s="11">
        <v>1259.0999999999999</v>
      </c>
      <c r="AI25" s="11">
        <v>1212.7</v>
      </c>
      <c r="AJ25" s="4">
        <f t="shared" si="22"/>
        <v>0.9631482805178303</v>
      </c>
      <c r="AK25" s="11">
        <v>10</v>
      </c>
      <c r="AL25" s="11">
        <v>405</v>
      </c>
      <c r="AM25" s="11">
        <v>459.7</v>
      </c>
      <c r="AN25" s="4">
        <f t="shared" si="23"/>
        <v>1.1350617283950617</v>
      </c>
      <c r="AO25" s="11">
        <v>5</v>
      </c>
      <c r="AP25" s="44">
        <f t="shared" si="24"/>
        <v>1.0053851844853605</v>
      </c>
      <c r="AQ25" s="45">
        <v>17745</v>
      </c>
      <c r="AR25" s="35">
        <f t="shared" si="8"/>
        <v>4839.545454545455</v>
      </c>
      <c r="AS25" s="35">
        <f t="shared" si="9"/>
        <v>4865.6000000000004</v>
      </c>
      <c r="AT25" s="35">
        <f t="shared" si="10"/>
        <v>26.054545454545405</v>
      </c>
      <c r="AU25" s="35">
        <v>1606.2</v>
      </c>
      <c r="AV25" s="35">
        <v>1589.3</v>
      </c>
      <c r="AW25" s="35">
        <f t="shared" si="11"/>
        <v>1670.1</v>
      </c>
      <c r="AX25" s="35"/>
      <c r="AY25" s="35">
        <f t="shared" si="12"/>
        <v>1670.1</v>
      </c>
      <c r="AZ25" s="35">
        <v>-6.4</v>
      </c>
      <c r="BA25" s="35">
        <f t="shared" si="25"/>
        <v>1663.6999999999998</v>
      </c>
      <c r="BB25" s="35">
        <f>MIN(BA25,252.6)</f>
        <v>252.6</v>
      </c>
      <c r="BC25" s="35">
        <f t="shared" si="14"/>
        <v>1411.1</v>
      </c>
      <c r="BD25" s="35">
        <v>1459.8</v>
      </c>
      <c r="BE25" s="35">
        <f t="shared" si="15"/>
        <v>-48.7</v>
      </c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</row>
    <row r="26" spans="1:71" s="2" customFormat="1" ht="17" customHeight="1">
      <c r="A26" s="13" t="s">
        <v>28</v>
      </c>
      <c r="B26" s="35">
        <v>22482</v>
      </c>
      <c r="C26" s="35">
        <v>22292.3</v>
      </c>
      <c r="D26" s="4">
        <f t="shared" si="2"/>
        <v>0.99156213859976872</v>
      </c>
      <c r="E26" s="11">
        <v>10</v>
      </c>
      <c r="F26" s="59">
        <v>105.8</v>
      </c>
      <c r="G26" s="59">
        <v>105.7</v>
      </c>
      <c r="H26" s="4">
        <f t="shared" si="3"/>
        <v>0.99905482041587912</v>
      </c>
      <c r="I26" s="11">
        <v>5</v>
      </c>
      <c r="J26" s="45">
        <v>230</v>
      </c>
      <c r="K26" s="45">
        <v>204</v>
      </c>
      <c r="L26" s="4">
        <f t="shared" si="4"/>
        <v>1.1274509803921569</v>
      </c>
      <c r="M26" s="11">
        <v>15</v>
      </c>
      <c r="N26" s="35">
        <v>16192.2</v>
      </c>
      <c r="O26" s="35">
        <v>13516.7</v>
      </c>
      <c r="P26" s="4">
        <f t="shared" si="5"/>
        <v>0.83476612195995603</v>
      </c>
      <c r="Q26" s="11">
        <v>20</v>
      </c>
      <c r="R26" s="35">
        <v>3392</v>
      </c>
      <c r="S26" s="35">
        <v>3605.1</v>
      </c>
      <c r="T26" s="4">
        <f t="shared" si="18"/>
        <v>1.0628242924528302</v>
      </c>
      <c r="U26" s="11">
        <v>5</v>
      </c>
      <c r="V26" s="35">
        <v>173</v>
      </c>
      <c r="W26" s="35">
        <v>175.4</v>
      </c>
      <c r="X26" s="4">
        <f t="shared" si="19"/>
        <v>1.0138728323699422</v>
      </c>
      <c r="Y26" s="11">
        <v>5</v>
      </c>
      <c r="Z26" s="35">
        <v>119778</v>
      </c>
      <c r="AA26" s="35">
        <v>125264</v>
      </c>
      <c r="AB26" s="4">
        <f t="shared" si="20"/>
        <v>1.045801399255289</v>
      </c>
      <c r="AC26" s="11">
        <v>5</v>
      </c>
      <c r="AD26" s="11">
        <v>4886</v>
      </c>
      <c r="AE26" s="11">
        <v>4968</v>
      </c>
      <c r="AF26" s="4">
        <f t="shared" si="21"/>
        <v>1.0167826442898076</v>
      </c>
      <c r="AG26" s="11">
        <v>15</v>
      </c>
      <c r="AH26" s="11">
        <v>5285</v>
      </c>
      <c r="AI26" s="11">
        <v>5344.7</v>
      </c>
      <c r="AJ26" s="4">
        <f t="shared" si="22"/>
        <v>1.0112961210974456</v>
      </c>
      <c r="AK26" s="11">
        <v>20</v>
      </c>
      <c r="AL26" s="11">
        <v>735</v>
      </c>
      <c r="AM26" s="11">
        <v>748.3</v>
      </c>
      <c r="AN26" s="4">
        <f t="shared" si="23"/>
        <v>1.0180952380952379</v>
      </c>
      <c r="AO26" s="11">
        <v>5</v>
      </c>
      <c r="AP26" s="44">
        <f t="shared" si="24"/>
        <v>0.99712965266972464</v>
      </c>
      <c r="AQ26" s="45">
        <v>45438</v>
      </c>
      <c r="AR26" s="35">
        <f t="shared" si="8"/>
        <v>12392.18181818182</v>
      </c>
      <c r="AS26" s="35">
        <f t="shared" si="9"/>
        <v>12356.6</v>
      </c>
      <c r="AT26" s="35">
        <f t="shared" si="10"/>
        <v>-35.581818181819472</v>
      </c>
      <c r="AU26" s="35">
        <v>3827.9</v>
      </c>
      <c r="AV26" s="35">
        <v>4330.4000000000005</v>
      </c>
      <c r="AW26" s="35">
        <f t="shared" si="11"/>
        <v>4198.3</v>
      </c>
      <c r="AX26" s="35"/>
      <c r="AY26" s="35">
        <f t="shared" si="12"/>
        <v>4198.3</v>
      </c>
      <c r="AZ26" s="35">
        <v>-17.5</v>
      </c>
      <c r="BA26" s="35">
        <f t="shared" si="25"/>
        <v>4180.8</v>
      </c>
      <c r="BB26" s="35"/>
      <c r="BC26" s="35">
        <f t="shared" si="14"/>
        <v>4180.8</v>
      </c>
      <c r="BD26" s="35">
        <v>4147.8</v>
      </c>
      <c r="BE26" s="35">
        <f t="shared" si="15"/>
        <v>33</v>
      </c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</row>
    <row r="27" spans="1:71" s="2" customFormat="1" ht="17" customHeight="1">
      <c r="A27" s="13" t="s">
        <v>29</v>
      </c>
      <c r="B27" s="35">
        <v>14997</v>
      </c>
      <c r="C27" s="35">
        <v>15072.3</v>
      </c>
      <c r="D27" s="4">
        <f t="shared" si="2"/>
        <v>1.0050210042008401</v>
      </c>
      <c r="E27" s="11">
        <v>10</v>
      </c>
      <c r="F27" s="59">
        <v>106.2</v>
      </c>
      <c r="G27" s="59">
        <v>106.5</v>
      </c>
      <c r="H27" s="4">
        <f t="shared" si="3"/>
        <v>1.0028248587570621</v>
      </c>
      <c r="I27" s="11">
        <v>5</v>
      </c>
      <c r="J27" s="45">
        <v>130</v>
      </c>
      <c r="K27" s="45">
        <v>152</v>
      </c>
      <c r="L27" s="4">
        <f t="shared" si="4"/>
        <v>0.85526315789473684</v>
      </c>
      <c r="M27" s="11">
        <v>15</v>
      </c>
      <c r="N27" s="35">
        <v>9642.2999999999993</v>
      </c>
      <c r="O27" s="35">
        <v>7997.3</v>
      </c>
      <c r="P27" s="4">
        <f t="shared" si="5"/>
        <v>0.82939755037698482</v>
      </c>
      <c r="Q27" s="11">
        <v>20</v>
      </c>
      <c r="R27" s="35">
        <v>228</v>
      </c>
      <c r="S27" s="35">
        <v>232.6</v>
      </c>
      <c r="T27" s="4">
        <f t="shared" si="18"/>
        <v>1.0201754385964912</v>
      </c>
      <c r="U27" s="11">
        <v>5</v>
      </c>
      <c r="V27" s="35">
        <v>22</v>
      </c>
      <c r="W27" s="35">
        <v>25.1</v>
      </c>
      <c r="X27" s="4">
        <f t="shared" si="19"/>
        <v>1.1409090909090909</v>
      </c>
      <c r="Y27" s="11">
        <v>10</v>
      </c>
      <c r="Z27" s="35">
        <v>142336</v>
      </c>
      <c r="AA27" s="35">
        <v>128872</v>
      </c>
      <c r="AB27" s="4">
        <f t="shared" si="20"/>
        <v>0.90540692446043169</v>
      </c>
      <c r="AC27" s="11">
        <v>5</v>
      </c>
      <c r="AD27" s="11">
        <v>1000</v>
      </c>
      <c r="AE27" s="11">
        <v>924</v>
      </c>
      <c r="AF27" s="4">
        <f t="shared" si="21"/>
        <v>0.92400000000000004</v>
      </c>
      <c r="AG27" s="11">
        <v>20</v>
      </c>
      <c r="AH27" s="11">
        <v>876.5</v>
      </c>
      <c r="AI27" s="11">
        <v>792.2</v>
      </c>
      <c r="AJ27" s="4">
        <f t="shared" si="22"/>
        <v>0.90382201939532236</v>
      </c>
      <c r="AK27" s="11">
        <v>10</v>
      </c>
      <c r="AL27" s="11">
        <v>254</v>
      </c>
      <c r="AM27" s="11">
        <v>198</v>
      </c>
      <c r="AN27" s="4">
        <f t="shared" si="23"/>
        <v>0.77952755905511806</v>
      </c>
      <c r="AO27" s="11">
        <v>15</v>
      </c>
      <c r="AP27" s="44">
        <f t="shared" si="24"/>
        <v>0.91069016535573888</v>
      </c>
      <c r="AQ27" s="45">
        <v>18570</v>
      </c>
      <c r="AR27" s="35">
        <f t="shared" si="8"/>
        <v>5064.545454545455</v>
      </c>
      <c r="AS27" s="35">
        <f t="shared" si="9"/>
        <v>4612.2</v>
      </c>
      <c r="AT27" s="35">
        <f t="shared" si="10"/>
        <v>-452.34545454545514</v>
      </c>
      <c r="AU27" s="35">
        <v>1631.2</v>
      </c>
      <c r="AV27" s="35">
        <v>1580.5</v>
      </c>
      <c r="AW27" s="35">
        <f t="shared" si="11"/>
        <v>1400.5</v>
      </c>
      <c r="AX27" s="35"/>
      <c r="AY27" s="35">
        <f t="shared" si="12"/>
        <v>1400.5</v>
      </c>
      <c r="AZ27" s="35">
        <v>10.7</v>
      </c>
      <c r="BA27" s="35">
        <f t="shared" si="25"/>
        <v>1411.2</v>
      </c>
      <c r="BB27" s="35"/>
      <c r="BC27" s="35">
        <f t="shared" si="14"/>
        <v>1411.2</v>
      </c>
      <c r="BD27" s="35">
        <v>1390.3</v>
      </c>
      <c r="BE27" s="35">
        <f t="shared" si="15"/>
        <v>20.9</v>
      </c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</row>
    <row r="28" spans="1:71" s="2" customFormat="1" ht="17" customHeight="1">
      <c r="A28" s="13" t="s">
        <v>30</v>
      </c>
      <c r="B28" s="35">
        <v>4339858</v>
      </c>
      <c r="C28" s="35">
        <v>4297440.9000000004</v>
      </c>
      <c r="D28" s="4">
        <f t="shared" si="2"/>
        <v>0.99022615486497489</v>
      </c>
      <c r="E28" s="11">
        <v>10</v>
      </c>
      <c r="F28" s="59">
        <v>104</v>
      </c>
      <c r="G28" s="59">
        <v>107.9</v>
      </c>
      <c r="H28" s="4">
        <f t="shared" si="3"/>
        <v>1.0375000000000001</v>
      </c>
      <c r="I28" s="11">
        <v>5</v>
      </c>
      <c r="J28" s="45">
        <v>215</v>
      </c>
      <c r="K28" s="45">
        <v>208</v>
      </c>
      <c r="L28" s="4">
        <f t="shared" si="4"/>
        <v>1.0336538461538463</v>
      </c>
      <c r="M28" s="11">
        <v>10</v>
      </c>
      <c r="N28" s="35">
        <v>53812.800000000003</v>
      </c>
      <c r="O28" s="35">
        <v>55173.599999999999</v>
      </c>
      <c r="P28" s="4">
        <f t="shared" si="5"/>
        <v>1.0252876639015251</v>
      </c>
      <c r="Q28" s="11">
        <v>20</v>
      </c>
      <c r="R28" s="35">
        <v>2799.5</v>
      </c>
      <c r="S28" s="35">
        <v>3718.1</v>
      </c>
      <c r="T28" s="4">
        <f t="shared" si="18"/>
        <v>1.2128130023218431</v>
      </c>
      <c r="U28" s="11">
        <v>10</v>
      </c>
      <c r="V28" s="35">
        <v>855.1</v>
      </c>
      <c r="W28" s="35">
        <v>1049.3</v>
      </c>
      <c r="X28" s="4">
        <f t="shared" si="19"/>
        <v>1.2027107940591744</v>
      </c>
      <c r="Y28" s="11">
        <v>10</v>
      </c>
      <c r="Z28" s="35">
        <v>221700</v>
      </c>
      <c r="AA28" s="35">
        <v>221841</v>
      </c>
      <c r="AB28" s="4">
        <f t="shared" si="20"/>
        <v>1.00063599458728</v>
      </c>
      <c r="AC28" s="11">
        <v>5</v>
      </c>
      <c r="AD28" s="11">
        <v>4548</v>
      </c>
      <c r="AE28" s="11">
        <v>5191</v>
      </c>
      <c r="AF28" s="4">
        <f t="shared" si="21"/>
        <v>1.1413808267370273</v>
      </c>
      <c r="AG28" s="11">
        <v>15</v>
      </c>
      <c r="AH28" s="11">
        <v>4543</v>
      </c>
      <c r="AI28" s="11">
        <v>5298.4</v>
      </c>
      <c r="AJ28" s="4">
        <f t="shared" si="22"/>
        <v>1.1662777900066035</v>
      </c>
      <c r="AK28" s="11">
        <v>10</v>
      </c>
      <c r="AL28" s="11">
        <v>6042</v>
      </c>
      <c r="AM28" s="11">
        <v>3366.3</v>
      </c>
      <c r="AN28" s="4">
        <f t="shared" si="23"/>
        <v>0.55714995034756709</v>
      </c>
      <c r="AO28" s="11">
        <v>10</v>
      </c>
      <c r="AP28" s="44">
        <f t="shared" si="24"/>
        <v>1.0423377240910705</v>
      </c>
      <c r="AQ28" s="45">
        <v>49986</v>
      </c>
      <c r="AR28" s="35">
        <f t="shared" si="8"/>
        <v>13632.545454545454</v>
      </c>
      <c r="AS28" s="35">
        <f t="shared" si="9"/>
        <v>14209.7</v>
      </c>
      <c r="AT28" s="35">
        <f t="shared" si="10"/>
        <v>577.15454545454668</v>
      </c>
      <c r="AU28" s="35">
        <v>5374.2</v>
      </c>
      <c r="AV28" s="35">
        <v>4316.5</v>
      </c>
      <c r="AW28" s="35">
        <f t="shared" si="11"/>
        <v>4519</v>
      </c>
      <c r="AX28" s="35"/>
      <c r="AY28" s="35">
        <f t="shared" si="12"/>
        <v>4519</v>
      </c>
      <c r="AZ28" s="35">
        <v>18.7</v>
      </c>
      <c r="BA28" s="35">
        <f t="shared" si="25"/>
        <v>4537.7</v>
      </c>
      <c r="BB28" s="35"/>
      <c r="BC28" s="35">
        <f t="shared" si="14"/>
        <v>4537.7</v>
      </c>
      <c r="BD28" s="35">
        <v>4571.1000000000004</v>
      </c>
      <c r="BE28" s="35">
        <f t="shared" si="15"/>
        <v>-33.4</v>
      </c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</row>
    <row r="29" spans="1:71" s="2" customFormat="1" ht="17" customHeight="1">
      <c r="A29" s="13" t="s">
        <v>31</v>
      </c>
      <c r="B29" s="35">
        <v>983770</v>
      </c>
      <c r="C29" s="35">
        <v>1228970.3</v>
      </c>
      <c r="D29" s="4">
        <f t="shared" si="2"/>
        <v>1.204924555536355</v>
      </c>
      <c r="E29" s="11">
        <v>10</v>
      </c>
      <c r="F29" s="59">
        <v>106.1</v>
      </c>
      <c r="G29" s="59">
        <v>107.8</v>
      </c>
      <c r="H29" s="4">
        <f t="shared" si="3"/>
        <v>1.0160226201696514</v>
      </c>
      <c r="I29" s="11">
        <v>5</v>
      </c>
      <c r="J29" s="45">
        <v>235</v>
      </c>
      <c r="K29" s="45">
        <v>215</v>
      </c>
      <c r="L29" s="4">
        <f t="shared" si="4"/>
        <v>1.0930232558139534</v>
      </c>
      <c r="M29" s="11">
        <v>5</v>
      </c>
      <c r="N29" s="35">
        <v>45723.4</v>
      </c>
      <c r="O29" s="35">
        <v>58194.9</v>
      </c>
      <c r="P29" s="4">
        <f t="shared" si="5"/>
        <v>1.2072759681038592</v>
      </c>
      <c r="Q29" s="11">
        <v>20</v>
      </c>
      <c r="R29" s="35">
        <v>1179</v>
      </c>
      <c r="S29" s="35">
        <v>1190.4000000000001</v>
      </c>
      <c r="T29" s="4">
        <f t="shared" si="18"/>
        <v>1.0096692111959289</v>
      </c>
      <c r="U29" s="11">
        <v>5</v>
      </c>
      <c r="V29" s="35">
        <v>6811</v>
      </c>
      <c r="W29" s="35">
        <v>10195</v>
      </c>
      <c r="X29" s="4">
        <f t="shared" si="19"/>
        <v>1.2296843341653207</v>
      </c>
      <c r="Y29" s="11">
        <v>15</v>
      </c>
      <c r="Z29" s="35">
        <v>418520</v>
      </c>
      <c r="AA29" s="35">
        <v>401534</v>
      </c>
      <c r="AB29" s="4">
        <f t="shared" si="20"/>
        <v>0.95941412596769571</v>
      </c>
      <c r="AC29" s="11">
        <v>5</v>
      </c>
      <c r="AD29" s="11">
        <v>3804</v>
      </c>
      <c r="AE29" s="11">
        <v>3876</v>
      </c>
      <c r="AF29" s="4">
        <f t="shared" si="21"/>
        <v>1.0189274447949528</v>
      </c>
      <c r="AG29" s="11">
        <v>10</v>
      </c>
      <c r="AH29" s="11">
        <v>3662</v>
      </c>
      <c r="AI29" s="11">
        <v>4108.3999999999996</v>
      </c>
      <c r="AJ29" s="4">
        <f t="shared" si="22"/>
        <v>1.1219006007646095</v>
      </c>
      <c r="AK29" s="11">
        <v>10</v>
      </c>
      <c r="AL29" s="11">
        <v>8711</v>
      </c>
      <c r="AM29" s="11">
        <v>10995.7</v>
      </c>
      <c r="AN29" s="4">
        <f t="shared" si="23"/>
        <v>1.2062277580071175</v>
      </c>
      <c r="AO29" s="11">
        <v>20</v>
      </c>
      <c r="AP29" s="44">
        <f t="shared" si="24"/>
        <v>1.1482239201085207</v>
      </c>
      <c r="AQ29" s="45">
        <v>122331</v>
      </c>
      <c r="AR29" s="35">
        <f t="shared" si="8"/>
        <v>33363</v>
      </c>
      <c r="AS29" s="35">
        <f t="shared" si="9"/>
        <v>38308.199999999997</v>
      </c>
      <c r="AT29" s="35">
        <f t="shared" si="10"/>
        <v>4945.1999999999971</v>
      </c>
      <c r="AU29" s="35">
        <v>12380.3</v>
      </c>
      <c r="AV29" s="35">
        <v>12969.5</v>
      </c>
      <c r="AW29" s="35">
        <f t="shared" si="11"/>
        <v>12958.4</v>
      </c>
      <c r="AX29" s="35"/>
      <c r="AY29" s="35">
        <f t="shared" si="12"/>
        <v>12958.4</v>
      </c>
      <c r="AZ29" s="35">
        <v>-108.8</v>
      </c>
      <c r="BA29" s="35">
        <f t="shared" si="25"/>
        <v>12849.6</v>
      </c>
      <c r="BB29" s="35"/>
      <c r="BC29" s="35">
        <f t="shared" si="14"/>
        <v>12849.6</v>
      </c>
      <c r="BD29" s="35">
        <v>13413.3</v>
      </c>
      <c r="BE29" s="35">
        <f t="shared" si="15"/>
        <v>-563.70000000000005</v>
      </c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</row>
    <row r="30" spans="1:71" s="2" customFormat="1" ht="17" customHeight="1">
      <c r="A30" s="13" t="s">
        <v>32</v>
      </c>
      <c r="B30" s="35">
        <v>64810</v>
      </c>
      <c r="C30" s="35">
        <v>65050.7</v>
      </c>
      <c r="D30" s="4">
        <f t="shared" si="2"/>
        <v>1.0037139330350253</v>
      </c>
      <c r="E30" s="11">
        <v>10</v>
      </c>
      <c r="F30" s="59">
        <v>110</v>
      </c>
      <c r="G30" s="59">
        <v>103</v>
      </c>
      <c r="H30" s="4">
        <f t="shared" si="3"/>
        <v>0.9363636363636364</v>
      </c>
      <c r="I30" s="11">
        <v>5</v>
      </c>
      <c r="J30" s="45">
        <v>185</v>
      </c>
      <c r="K30" s="45">
        <v>173</v>
      </c>
      <c r="L30" s="4">
        <f t="shared" si="4"/>
        <v>1.0693641618497109</v>
      </c>
      <c r="M30" s="11">
        <v>10</v>
      </c>
      <c r="N30" s="35">
        <v>19552.400000000001</v>
      </c>
      <c r="O30" s="35">
        <v>18242.400000000001</v>
      </c>
      <c r="P30" s="4">
        <f t="shared" si="5"/>
        <v>0.93300055236185842</v>
      </c>
      <c r="Q30" s="11">
        <v>20</v>
      </c>
      <c r="R30" s="35">
        <v>614.20000000000005</v>
      </c>
      <c r="S30" s="35">
        <v>586.79999999999995</v>
      </c>
      <c r="T30" s="4">
        <f t="shared" si="18"/>
        <v>0.9553891240638227</v>
      </c>
      <c r="U30" s="11">
        <v>10</v>
      </c>
      <c r="V30" s="35">
        <v>31.9</v>
      </c>
      <c r="W30" s="35">
        <v>33.700000000000003</v>
      </c>
      <c r="X30" s="4">
        <f t="shared" si="19"/>
        <v>1.0564263322884013</v>
      </c>
      <c r="Y30" s="11">
        <v>10</v>
      </c>
      <c r="Z30" s="35">
        <v>169142</v>
      </c>
      <c r="AA30" s="35">
        <v>158481</v>
      </c>
      <c r="AB30" s="4">
        <f t="shared" si="20"/>
        <v>0.93697011978101241</v>
      </c>
      <c r="AC30" s="11">
        <v>5</v>
      </c>
      <c r="AD30" s="11">
        <v>1631</v>
      </c>
      <c r="AE30" s="11">
        <v>1609</v>
      </c>
      <c r="AF30" s="4">
        <f t="shared" si="21"/>
        <v>0.98651134273451868</v>
      </c>
      <c r="AG30" s="11">
        <v>20</v>
      </c>
      <c r="AH30" s="11">
        <v>1458</v>
      </c>
      <c r="AI30" s="11">
        <v>1323.2</v>
      </c>
      <c r="AJ30" s="4">
        <f t="shared" si="22"/>
        <v>0.9075445816186557</v>
      </c>
      <c r="AK30" s="11">
        <v>10</v>
      </c>
      <c r="AL30" s="11">
        <v>332</v>
      </c>
      <c r="AM30" s="11">
        <v>319.89999999999998</v>
      </c>
      <c r="AN30" s="4">
        <f t="shared" si="23"/>
        <v>0.96355421686746978</v>
      </c>
      <c r="AO30" s="11">
        <v>10</v>
      </c>
      <c r="AP30" s="44">
        <f t="shared" si="24"/>
        <v>0.97560754708983322</v>
      </c>
      <c r="AQ30" s="45">
        <v>20840</v>
      </c>
      <c r="AR30" s="35">
        <f t="shared" si="8"/>
        <v>5683.636363636364</v>
      </c>
      <c r="AS30" s="35">
        <f t="shared" si="9"/>
        <v>5545</v>
      </c>
      <c r="AT30" s="35">
        <f t="shared" si="10"/>
        <v>-138.63636363636397</v>
      </c>
      <c r="AU30" s="35">
        <v>1706.7</v>
      </c>
      <c r="AV30" s="35">
        <v>1936.3999999999999</v>
      </c>
      <c r="AW30" s="35">
        <f t="shared" si="11"/>
        <v>1901.9</v>
      </c>
      <c r="AX30" s="35"/>
      <c r="AY30" s="35">
        <f t="shared" si="12"/>
        <v>1901.9</v>
      </c>
      <c r="AZ30" s="35">
        <v>-10.6</v>
      </c>
      <c r="BA30" s="35">
        <f t="shared" si="25"/>
        <v>1891.3000000000002</v>
      </c>
      <c r="BB30" s="35">
        <f>MIN(BA30,313.6)</f>
        <v>313.60000000000002</v>
      </c>
      <c r="BC30" s="35">
        <f t="shared" si="14"/>
        <v>1577.7</v>
      </c>
      <c r="BD30" s="35">
        <v>1599.8</v>
      </c>
      <c r="BE30" s="35">
        <f t="shared" si="15"/>
        <v>-22.1</v>
      </c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</row>
    <row r="31" spans="1:71" s="2" customFormat="1" ht="17" customHeight="1">
      <c r="A31" s="13" t="s">
        <v>33</v>
      </c>
      <c r="B31" s="35">
        <v>574614</v>
      </c>
      <c r="C31" s="35">
        <v>596989</v>
      </c>
      <c r="D31" s="4">
        <f t="shared" si="2"/>
        <v>1.0389391835214596</v>
      </c>
      <c r="E31" s="11">
        <v>10</v>
      </c>
      <c r="F31" s="59">
        <v>106.6</v>
      </c>
      <c r="G31" s="59">
        <v>105</v>
      </c>
      <c r="H31" s="4">
        <f t="shared" si="3"/>
        <v>0.98499061913696062</v>
      </c>
      <c r="I31" s="11">
        <v>5</v>
      </c>
      <c r="J31" s="45">
        <v>230</v>
      </c>
      <c r="K31" s="45">
        <v>218</v>
      </c>
      <c r="L31" s="4">
        <f t="shared" si="4"/>
        <v>1.0550458715596329</v>
      </c>
      <c r="M31" s="11">
        <v>10</v>
      </c>
      <c r="N31" s="35">
        <v>27312.2</v>
      </c>
      <c r="O31" s="35">
        <v>23080.799999999999</v>
      </c>
      <c r="P31" s="4">
        <f t="shared" si="5"/>
        <v>0.84507289782587991</v>
      </c>
      <c r="Q31" s="11">
        <v>20</v>
      </c>
      <c r="R31" s="35">
        <v>3913</v>
      </c>
      <c r="S31" s="35">
        <v>4108.8</v>
      </c>
      <c r="T31" s="4">
        <f t="shared" si="18"/>
        <v>1.050038333759264</v>
      </c>
      <c r="U31" s="11">
        <v>10</v>
      </c>
      <c r="V31" s="35">
        <v>236</v>
      </c>
      <c r="W31" s="35">
        <v>273.39999999999998</v>
      </c>
      <c r="X31" s="4">
        <f t="shared" si="19"/>
        <v>1.1584745762711863</v>
      </c>
      <c r="Y31" s="11">
        <v>5</v>
      </c>
      <c r="Z31" s="35">
        <v>345613</v>
      </c>
      <c r="AA31" s="35">
        <v>348973</v>
      </c>
      <c r="AB31" s="4">
        <f t="shared" si="20"/>
        <v>1.0097218565273876</v>
      </c>
      <c r="AC31" s="11">
        <v>5</v>
      </c>
      <c r="AD31" s="11">
        <v>6340</v>
      </c>
      <c r="AE31" s="11">
        <v>6550</v>
      </c>
      <c r="AF31" s="4">
        <f t="shared" si="21"/>
        <v>1.0331230283911672</v>
      </c>
      <c r="AG31" s="11">
        <v>10</v>
      </c>
      <c r="AH31" s="11">
        <v>6500</v>
      </c>
      <c r="AI31" s="11">
        <v>6673.4</v>
      </c>
      <c r="AJ31" s="4">
        <f t="shared" si="22"/>
        <v>1.026676923076923</v>
      </c>
      <c r="AK31" s="11">
        <v>20</v>
      </c>
      <c r="AL31" s="11">
        <v>1000</v>
      </c>
      <c r="AM31" s="11">
        <v>1335.3</v>
      </c>
      <c r="AN31" s="4">
        <f t="shared" si="23"/>
        <v>1.21353</v>
      </c>
      <c r="AO31" s="11">
        <v>5</v>
      </c>
      <c r="AP31" s="44">
        <f t="shared" si="24"/>
        <v>1.0104004585004898</v>
      </c>
      <c r="AQ31" s="45">
        <v>43021</v>
      </c>
      <c r="AR31" s="35">
        <f t="shared" si="8"/>
        <v>11733</v>
      </c>
      <c r="AS31" s="35">
        <f t="shared" si="9"/>
        <v>11855</v>
      </c>
      <c r="AT31" s="35">
        <f t="shared" si="10"/>
        <v>122</v>
      </c>
      <c r="AU31" s="35">
        <v>3694.9</v>
      </c>
      <c r="AV31" s="35">
        <v>3587.8</v>
      </c>
      <c r="AW31" s="35">
        <f t="shared" si="11"/>
        <v>4572.3</v>
      </c>
      <c r="AX31" s="35"/>
      <c r="AY31" s="35">
        <f t="shared" si="12"/>
        <v>4572.3</v>
      </c>
      <c r="AZ31" s="35">
        <v>16.899999999999999</v>
      </c>
      <c r="BA31" s="35">
        <f t="shared" si="25"/>
        <v>4589.2</v>
      </c>
      <c r="BB31" s="35"/>
      <c r="BC31" s="35">
        <f t="shared" si="14"/>
        <v>4589.2</v>
      </c>
      <c r="BD31" s="35">
        <v>4606.2</v>
      </c>
      <c r="BE31" s="35">
        <f t="shared" si="15"/>
        <v>-17</v>
      </c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</row>
    <row r="32" spans="1:71" s="2" customFormat="1" ht="17" customHeight="1">
      <c r="A32" s="13" t="s">
        <v>34</v>
      </c>
      <c r="B32" s="35">
        <v>41076</v>
      </c>
      <c r="C32" s="35">
        <v>43452</v>
      </c>
      <c r="D32" s="4">
        <f t="shared" si="2"/>
        <v>1.0578439964943032</v>
      </c>
      <c r="E32" s="11">
        <v>10</v>
      </c>
      <c r="F32" s="59">
        <v>108.1</v>
      </c>
      <c r="G32" s="59">
        <v>105.2</v>
      </c>
      <c r="H32" s="4">
        <f t="shared" si="3"/>
        <v>0.97317298797409812</v>
      </c>
      <c r="I32" s="11">
        <v>5</v>
      </c>
      <c r="J32" s="45">
        <v>215</v>
      </c>
      <c r="K32" s="45">
        <v>198</v>
      </c>
      <c r="L32" s="4">
        <f t="shared" si="4"/>
        <v>1.0858585858585859</v>
      </c>
      <c r="M32" s="11">
        <v>15</v>
      </c>
      <c r="N32" s="35">
        <v>18064.3</v>
      </c>
      <c r="O32" s="35">
        <v>26759.5</v>
      </c>
      <c r="P32" s="4">
        <f t="shared" si="5"/>
        <v>1.2281347187546707</v>
      </c>
      <c r="Q32" s="11">
        <v>20</v>
      </c>
      <c r="R32" s="35">
        <v>708.9</v>
      </c>
      <c r="S32" s="35">
        <v>713</v>
      </c>
      <c r="T32" s="4">
        <f t="shared" si="18"/>
        <v>1.0057836084073917</v>
      </c>
      <c r="U32" s="11">
        <v>10</v>
      </c>
      <c r="V32" s="35">
        <v>70.8</v>
      </c>
      <c r="W32" s="35">
        <v>78.400000000000006</v>
      </c>
      <c r="X32" s="4">
        <f t="shared" si="19"/>
        <v>1.1073446327683618</v>
      </c>
      <c r="Y32" s="11">
        <v>10</v>
      </c>
      <c r="Z32" s="35">
        <v>151314.6</v>
      </c>
      <c r="AA32" s="35">
        <v>139937</v>
      </c>
      <c r="AB32" s="4">
        <f t="shared" si="20"/>
        <v>0.92480831327578428</v>
      </c>
      <c r="AC32" s="11">
        <v>5</v>
      </c>
      <c r="AD32" s="11">
        <v>3454</v>
      </c>
      <c r="AE32" s="11">
        <v>3435</v>
      </c>
      <c r="AF32" s="4">
        <f t="shared" si="21"/>
        <v>0.99449913144180657</v>
      </c>
      <c r="AG32" s="11">
        <v>10</v>
      </c>
      <c r="AH32" s="11">
        <v>3301.3</v>
      </c>
      <c r="AI32" s="11">
        <v>3014.2</v>
      </c>
      <c r="AJ32" s="4">
        <f t="shared" si="22"/>
        <v>0.91303425923121184</v>
      </c>
      <c r="AK32" s="11">
        <v>10</v>
      </c>
      <c r="AL32" s="11">
        <v>809.6</v>
      </c>
      <c r="AM32" s="11">
        <v>857.6</v>
      </c>
      <c r="AN32" s="4">
        <f t="shared" si="23"/>
        <v>1.0592885375494072</v>
      </c>
      <c r="AO32" s="11">
        <v>10</v>
      </c>
      <c r="AP32" s="44">
        <f t="shared" si="24"/>
        <v>1.063984965029966</v>
      </c>
      <c r="AQ32" s="45">
        <v>31486</v>
      </c>
      <c r="AR32" s="35">
        <f t="shared" si="8"/>
        <v>8587.0909090909099</v>
      </c>
      <c r="AS32" s="35">
        <f t="shared" si="9"/>
        <v>9136.5</v>
      </c>
      <c r="AT32" s="35">
        <f t="shared" si="10"/>
        <v>549.40909090909008</v>
      </c>
      <c r="AU32" s="35">
        <v>3238.6</v>
      </c>
      <c r="AV32" s="35">
        <v>2950.6</v>
      </c>
      <c r="AW32" s="35">
        <f t="shared" si="11"/>
        <v>2947.3</v>
      </c>
      <c r="AX32" s="35"/>
      <c r="AY32" s="35">
        <f t="shared" si="12"/>
        <v>2947.3</v>
      </c>
      <c r="AZ32" s="35">
        <v>-13.3</v>
      </c>
      <c r="BA32" s="35">
        <f t="shared" si="25"/>
        <v>2934</v>
      </c>
      <c r="BB32" s="35"/>
      <c r="BC32" s="35">
        <f t="shared" si="14"/>
        <v>2934</v>
      </c>
      <c r="BD32" s="35">
        <v>3038</v>
      </c>
      <c r="BE32" s="35">
        <f t="shared" si="15"/>
        <v>-104</v>
      </c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</row>
    <row r="33" spans="1:209" s="2" customFormat="1" ht="17" customHeight="1">
      <c r="A33" s="13" t="s">
        <v>1</v>
      </c>
      <c r="B33" s="35">
        <v>1400481</v>
      </c>
      <c r="C33" s="35">
        <v>1344388</v>
      </c>
      <c r="D33" s="4">
        <f t="shared" si="2"/>
        <v>0.95994733238080343</v>
      </c>
      <c r="E33" s="11">
        <v>10</v>
      </c>
      <c r="F33" s="59">
        <v>107.7</v>
      </c>
      <c r="G33" s="59">
        <v>104.3</v>
      </c>
      <c r="H33" s="4">
        <f t="shared" si="3"/>
        <v>0.96843082636954503</v>
      </c>
      <c r="I33" s="11">
        <v>5</v>
      </c>
      <c r="J33" s="45">
        <v>330</v>
      </c>
      <c r="K33" s="45">
        <v>318</v>
      </c>
      <c r="L33" s="4">
        <f t="shared" si="4"/>
        <v>1.0377358490566038</v>
      </c>
      <c r="M33" s="11">
        <v>10</v>
      </c>
      <c r="N33" s="35">
        <v>93054.7</v>
      </c>
      <c r="O33" s="35">
        <v>89081.5</v>
      </c>
      <c r="P33" s="4">
        <f t="shared" si="5"/>
        <v>0.95730253281134647</v>
      </c>
      <c r="Q33" s="11">
        <v>20</v>
      </c>
      <c r="R33" s="35">
        <v>1614.4</v>
      </c>
      <c r="S33" s="35">
        <v>1482.1</v>
      </c>
      <c r="T33" s="4">
        <f t="shared" si="18"/>
        <v>0.91805004955401381</v>
      </c>
      <c r="U33" s="11">
        <v>5</v>
      </c>
      <c r="V33" s="35">
        <v>1012.9</v>
      </c>
      <c r="W33" s="35">
        <v>835.4</v>
      </c>
      <c r="X33" s="4">
        <f t="shared" si="19"/>
        <v>0.82476058840951727</v>
      </c>
      <c r="Y33" s="11">
        <v>10</v>
      </c>
      <c r="Z33" s="35">
        <v>993719.1</v>
      </c>
      <c r="AA33" s="35">
        <v>943013</v>
      </c>
      <c r="AB33" s="4">
        <f t="shared" si="20"/>
        <v>0.94897340707248157</v>
      </c>
      <c r="AC33" s="11">
        <v>5</v>
      </c>
      <c r="AD33" s="11">
        <v>4986</v>
      </c>
      <c r="AE33" s="11">
        <v>4948</v>
      </c>
      <c r="AF33" s="4">
        <f t="shared" si="21"/>
        <v>0.99237866024869636</v>
      </c>
      <c r="AG33" s="11">
        <v>10</v>
      </c>
      <c r="AH33" s="11">
        <v>3961</v>
      </c>
      <c r="AI33" s="11">
        <v>3548.5</v>
      </c>
      <c r="AJ33" s="4">
        <f t="shared" si="22"/>
        <v>0.8958596314062105</v>
      </c>
      <c r="AK33" s="11">
        <v>15</v>
      </c>
      <c r="AL33" s="11">
        <v>1709.5</v>
      </c>
      <c r="AM33" s="11">
        <v>1339.4</v>
      </c>
      <c r="AN33" s="4">
        <f t="shared" si="23"/>
        <v>0.78350394852296001</v>
      </c>
      <c r="AO33" s="11">
        <v>10</v>
      </c>
      <c r="AP33" s="44">
        <f t="shared" si="24"/>
        <v>0.92744480328486101</v>
      </c>
      <c r="AQ33" s="45">
        <v>70238</v>
      </c>
      <c r="AR33" s="35">
        <f t="shared" si="8"/>
        <v>19155.81818181818</v>
      </c>
      <c r="AS33" s="35">
        <f t="shared" si="9"/>
        <v>17766</v>
      </c>
      <c r="AT33" s="35">
        <f t="shared" si="10"/>
        <v>-1389.8181818181802</v>
      </c>
      <c r="AU33" s="35">
        <v>6029.1</v>
      </c>
      <c r="AV33" s="35">
        <v>5823.2</v>
      </c>
      <c r="AW33" s="35">
        <f t="shared" si="11"/>
        <v>5913.7</v>
      </c>
      <c r="AX33" s="35"/>
      <c r="AY33" s="35">
        <f t="shared" si="12"/>
        <v>5913.7</v>
      </c>
      <c r="AZ33" s="35">
        <v>37.4</v>
      </c>
      <c r="BA33" s="35">
        <f t="shared" si="25"/>
        <v>5951.0999999999995</v>
      </c>
      <c r="BB33" s="35"/>
      <c r="BC33" s="35">
        <f t="shared" si="14"/>
        <v>5951.1</v>
      </c>
      <c r="BD33" s="35">
        <v>5884.5</v>
      </c>
      <c r="BE33" s="35">
        <f t="shared" si="15"/>
        <v>66.599999999999994</v>
      </c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</row>
    <row r="34" spans="1:209" s="2" customFormat="1" ht="17" customHeight="1">
      <c r="A34" s="13" t="s">
        <v>35</v>
      </c>
      <c r="B34" s="35">
        <v>2584390</v>
      </c>
      <c r="C34" s="35">
        <v>3148145.4</v>
      </c>
      <c r="D34" s="4">
        <f t="shared" si="2"/>
        <v>1.2018138671021015</v>
      </c>
      <c r="E34" s="11">
        <v>10</v>
      </c>
      <c r="F34" s="59">
        <v>106.7</v>
      </c>
      <c r="G34" s="59">
        <v>105.5</v>
      </c>
      <c r="H34" s="4">
        <f t="shared" si="3"/>
        <v>0.98875351452671034</v>
      </c>
      <c r="I34" s="11">
        <v>5</v>
      </c>
      <c r="J34" s="45">
        <v>260</v>
      </c>
      <c r="K34" s="45">
        <v>254</v>
      </c>
      <c r="L34" s="4">
        <f t="shared" si="4"/>
        <v>1.0236220472440944</v>
      </c>
      <c r="M34" s="11">
        <v>10</v>
      </c>
      <c r="N34" s="35">
        <v>58915.3</v>
      </c>
      <c r="O34" s="35">
        <v>53685.3</v>
      </c>
      <c r="P34" s="4">
        <f t="shared" si="5"/>
        <v>0.91122849242896153</v>
      </c>
      <c r="Q34" s="11">
        <v>20</v>
      </c>
      <c r="R34" s="35">
        <v>499.5</v>
      </c>
      <c r="S34" s="35">
        <v>485.7</v>
      </c>
      <c r="T34" s="4">
        <f t="shared" si="18"/>
        <v>0.9723723723723724</v>
      </c>
      <c r="U34" s="11">
        <v>5</v>
      </c>
      <c r="V34" s="35">
        <v>54.5</v>
      </c>
      <c r="W34" s="35">
        <v>49.3</v>
      </c>
      <c r="X34" s="4">
        <f t="shared" si="19"/>
        <v>0.90458715596330275</v>
      </c>
      <c r="Y34" s="11">
        <v>5</v>
      </c>
      <c r="Z34" s="35">
        <v>406985</v>
      </c>
      <c r="AA34" s="35">
        <v>406513</v>
      </c>
      <c r="AB34" s="4">
        <f t="shared" si="20"/>
        <v>0.99884025209774319</v>
      </c>
      <c r="AC34" s="11">
        <v>5</v>
      </c>
      <c r="AD34" s="11">
        <v>1843</v>
      </c>
      <c r="AE34" s="11">
        <v>1864</v>
      </c>
      <c r="AF34" s="4">
        <f t="shared" si="21"/>
        <v>1.0113944655453067</v>
      </c>
      <c r="AG34" s="11">
        <v>15</v>
      </c>
      <c r="AH34" s="11">
        <v>1610</v>
      </c>
      <c r="AI34" s="11">
        <v>1674.4</v>
      </c>
      <c r="AJ34" s="4">
        <f t="shared" si="22"/>
        <v>1.04</v>
      </c>
      <c r="AK34" s="11">
        <v>10</v>
      </c>
      <c r="AL34" s="11">
        <v>680</v>
      </c>
      <c r="AM34" s="11">
        <v>536.20000000000005</v>
      </c>
      <c r="AN34" s="4">
        <f t="shared" si="23"/>
        <v>0.78852941176470592</v>
      </c>
      <c r="AO34" s="11">
        <v>10</v>
      </c>
      <c r="AP34" s="44">
        <f t="shared" si="24"/>
        <v>0.98166217439651049</v>
      </c>
      <c r="AQ34" s="45">
        <v>30710</v>
      </c>
      <c r="AR34" s="35">
        <f t="shared" si="8"/>
        <v>8375.454545454546</v>
      </c>
      <c r="AS34" s="35">
        <f t="shared" si="9"/>
        <v>8221.9</v>
      </c>
      <c r="AT34" s="35">
        <f t="shared" si="10"/>
        <v>-153.55454545454631</v>
      </c>
      <c r="AU34" s="35">
        <v>2646.9</v>
      </c>
      <c r="AV34" s="35">
        <v>2730.4</v>
      </c>
      <c r="AW34" s="35">
        <f t="shared" si="11"/>
        <v>2844.6</v>
      </c>
      <c r="AX34" s="35"/>
      <c r="AY34" s="35">
        <f t="shared" si="12"/>
        <v>2844.6</v>
      </c>
      <c r="AZ34" s="35">
        <v>-5</v>
      </c>
      <c r="BA34" s="35">
        <f t="shared" si="25"/>
        <v>2839.6</v>
      </c>
      <c r="BB34" s="35">
        <f>MIN(BA34,50.4)</f>
        <v>50.4</v>
      </c>
      <c r="BC34" s="35">
        <f t="shared" si="14"/>
        <v>2789.2</v>
      </c>
      <c r="BD34" s="35">
        <v>2777.2</v>
      </c>
      <c r="BE34" s="35">
        <f t="shared" si="15"/>
        <v>12</v>
      </c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</row>
    <row r="35" spans="1:209" s="2" customFormat="1" ht="17" customHeight="1">
      <c r="A35" s="13" t="s">
        <v>36</v>
      </c>
      <c r="B35" s="35">
        <v>371267</v>
      </c>
      <c r="C35" s="35">
        <v>385632.8</v>
      </c>
      <c r="D35" s="4">
        <f t="shared" si="2"/>
        <v>1.0386939857299464</v>
      </c>
      <c r="E35" s="11">
        <v>10</v>
      </c>
      <c r="F35" s="59">
        <v>105.2</v>
      </c>
      <c r="G35" s="59">
        <v>107.4</v>
      </c>
      <c r="H35" s="4">
        <f t="shared" si="3"/>
        <v>1.0209125475285172</v>
      </c>
      <c r="I35" s="11">
        <v>5</v>
      </c>
      <c r="J35" s="45">
        <v>335</v>
      </c>
      <c r="K35" s="45">
        <v>318</v>
      </c>
      <c r="L35" s="4">
        <f t="shared" si="4"/>
        <v>1.0534591194968554</v>
      </c>
      <c r="M35" s="11">
        <v>15</v>
      </c>
      <c r="N35" s="35">
        <v>22714.5</v>
      </c>
      <c r="O35" s="35">
        <v>17737.2</v>
      </c>
      <c r="P35" s="4">
        <f t="shared" si="5"/>
        <v>0.78087565211648946</v>
      </c>
      <c r="Q35" s="11">
        <v>20</v>
      </c>
      <c r="R35" s="35">
        <v>260</v>
      </c>
      <c r="S35" s="35">
        <v>297.10000000000002</v>
      </c>
      <c r="T35" s="4">
        <f t="shared" si="18"/>
        <v>1.1426923076923077</v>
      </c>
      <c r="U35" s="11">
        <v>10</v>
      </c>
      <c r="V35" s="35">
        <v>82</v>
      </c>
      <c r="W35" s="35">
        <v>111.4</v>
      </c>
      <c r="X35" s="4">
        <f t="shared" si="19"/>
        <v>1.2158536585365853</v>
      </c>
      <c r="Y35" s="11">
        <v>5</v>
      </c>
      <c r="Z35" s="35">
        <v>190966</v>
      </c>
      <c r="AA35" s="35">
        <v>170509</v>
      </c>
      <c r="AB35" s="4">
        <f t="shared" si="20"/>
        <v>0.89287621880334722</v>
      </c>
      <c r="AC35" s="11">
        <v>5</v>
      </c>
      <c r="AD35" s="11">
        <v>2091</v>
      </c>
      <c r="AE35" s="11">
        <v>2086</v>
      </c>
      <c r="AF35" s="4">
        <f t="shared" si="21"/>
        <v>0.99760879961740789</v>
      </c>
      <c r="AG35" s="11">
        <v>20</v>
      </c>
      <c r="AH35" s="11">
        <v>1343</v>
      </c>
      <c r="AI35" s="11">
        <v>1482.7</v>
      </c>
      <c r="AJ35" s="4">
        <f t="shared" si="22"/>
        <v>1.1040208488458676</v>
      </c>
      <c r="AK35" s="11">
        <v>10</v>
      </c>
      <c r="AL35" s="11">
        <v>663</v>
      </c>
      <c r="AM35" s="11">
        <v>704.1</v>
      </c>
      <c r="AN35" s="4">
        <f t="shared" si="23"/>
        <v>1.0619909502262443</v>
      </c>
      <c r="AO35" s="11">
        <v>5</v>
      </c>
      <c r="AP35" s="44">
        <f t="shared" si="24"/>
        <v>1.0017506107170042</v>
      </c>
      <c r="AQ35" s="45">
        <v>25286</v>
      </c>
      <c r="AR35" s="35">
        <f t="shared" si="8"/>
        <v>6896.181818181818</v>
      </c>
      <c r="AS35" s="35">
        <f t="shared" si="9"/>
        <v>6908.3</v>
      </c>
      <c r="AT35" s="35">
        <f t="shared" si="10"/>
        <v>12.118181818182165</v>
      </c>
      <c r="AU35" s="35">
        <v>2374</v>
      </c>
      <c r="AV35" s="35">
        <v>2210.2999999999997</v>
      </c>
      <c r="AW35" s="35">
        <f t="shared" si="11"/>
        <v>2324</v>
      </c>
      <c r="AX35" s="35"/>
      <c r="AY35" s="35">
        <f t="shared" si="12"/>
        <v>2324</v>
      </c>
      <c r="AZ35" s="35">
        <v>9.9</v>
      </c>
      <c r="BA35" s="35">
        <f t="shared" si="25"/>
        <v>2333.9</v>
      </c>
      <c r="BB35" s="35"/>
      <c r="BC35" s="35">
        <f t="shared" si="14"/>
        <v>2333.9</v>
      </c>
      <c r="BD35" s="35">
        <v>2501.3000000000002</v>
      </c>
      <c r="BE35" s="35">
        <f t="shared" si="15"/>
        <v>-167.4</v>
      </c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</row>
    <row r="36" spans="1:209" s="2" customFormat="1" ht="17" customHeight="1">
      <c r="A36" s="13" t="s">
        <v>37</v>
      </c>
      <c r="B36" s="35">
        <v>44156</v>
      </c>
      <c r="C36" s="35">
        <v>45613.4</v>
      </c>
      <c r="D36" s="4">
        <f t="shared" si="2"/>
        <v>1.0330057070386811</v>
      </c>
      <c r="E36" s="11">
        <v>10</v>
      </c>
      <c r="F36" s="59">
        <v>104.8</v>
      </c>
      <c r="G36" s="59">
        <v>107.8</v>
      </c>
      <c r="H36" s="4">
        <f t="shared" si="3"/>
        <v>1.0286259541984732</v>
      </c>
      <c r="I36" s="11">
        <v>5</v>
      </c>
      <c r="J36" s="45">
        <v>270</v>
      </c>
      <c r="K36" s="45">
        <v>292</v>
      </c>
      <c r="L36" s="4">
        <f t="shared" si="4"/>
        <v>0.92465753424657537</v>
      </c>
      <c r="M36" s="11">
        <v>15</v>
      </c>
      <c r="N36" s="35">
        <v>18935.599999999999</v>
      </c>
      <c r="O36" s="35">
        <v>21797.200000000001</v>
      </c>
      <c r="P36" s="4">
        <f t="shared" si="5"/>
        <v>1.1511227529098631</v>
      </c>
      <c r="Q36" s="11">
        <v>20</v>
      </c>
      <c r="R36" s="35">
        <v>3016</v>
      </c>
      <c r="S36" s="35">
        <v>3075.3</v>
      </c>
      <c r="T36" s="4">
        <f t="shared" si="18"/>
        <v>1.0196618037135279</v>
      </c>
      <c r="U36" s="11">
        <v>10</v>
      </c>
      <c r="V36" s="35">
        <v>1016</v>
      </c>
      <c r="W36" s="35">
        <v>1161.2</v>
      </c>
      <c r="X36" s="4">
        <f t="shared" si="19"/>
        <v>1.1429133858267717</v>
      </c>
      <c r="Y36" s="11">
        <v>10</v>
      </c>
      <c r="Z36" s="35">
        <v>90927</v>
      </c>
      <c r="AA36" s="35">
        <v>90623</v>
      </c>
      <c r="AB36" s="4">
        <f t="shared" si="20"/>
        <v>0.99665665863824826</v>
      </c>
      <c r="AC36" s="11">
        <v>5</v>
      </c>
      <c r="AD36" s="11">
        <v>4574</v>
      </c>
      <c r="AE36" s="11">
        <v>4872</v>
      </c>
      <c r="AF36" s="4">
        <f t="shared" si="21"/>
        <v>1.065150852645387</v>
      </c>
      <c r="AG36" s="11">
        <v>15</v>
      </c>
      <c r="AH36" s="11">
        <v>5287.1</v>
      </c>
      <c r="AI36" s="11">
        <v>4896.3999999999996</v>
      </c>
      <c r="AJ36" s="4">
        <f t="shared" si="22"/>
        <v>0.92610315673998966</v>
      </c>
      <c r="AK36" s="11">
        <v>15</v>
      </c>
      <c r="AL36" s="11">
        <v>2093.1</v>
      </c>
      <c r="AM36" s="11">
        <v>2057.6</v>
      </c>
      <c r="AN36" s="4">
        <f t="shared" si="23"/>
        <v>0.98303951077349383</v>
      </c>
      <c r="AO36" s="11">
        <v>10</v>
      </c>
      <c r="AP36" s="44">
        <f t="shared" si="24"/>
        <v>1.0319456117424775</v>
      </c>
      <c r="AQ36" s="45">
        <v>67976</v>
      </c>
      <c r="AR36" s="35">
        <f t="shared" si="8"/>
        <v>18538.909090909092</v>
      </c>
      <c r="AS36" s="35">
        <f t="shared" si="9"/>
        <v>19131.099999999999</v>
      </c>
      <c r="AT36" s="35">
        <f t="shared" si="10"/>
        <v>592.19090909090664</v>
      </c>
      <c r="AU36" s="35">
        <v>6304.4</v>
      </c>
      <c r="AV36" s="35">
        <v>6398.4</v>
      </c>
      <c r="AW36" s="35">
        <f t="shared" si="11"/>
        <v>6428.3</v>
      </c>
      <c r="AX36" s="35"/>
      <c r="AY36" s="35">
        <f t="shared" si="12"/>
        <v>6428.3</v>
      </c>
      <c r="AZ36" s="35">
        <v>-9.3000000000000007</v>
      </c>
      <c r="BA36" s="35">
        <f t="shared" si="25"/>
        <v>6419</v>
      </c>
      <c r="BB36" s="35"/>
      <c r="BC36" s="35">
        <f t="shared" si="14"/>
        <v>6419</v>
      </c>
      <c r="BD36" s="35">
        <v>6453.1</v>
      </c>
      <c r="BE36" s="35">
        <f t="shared" si="15"/>
        <v>-34.1</v>
      </c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</row>
    <row r="37" spans="1:209" s="2" customFormat="1" ht="17" customHeight="1">
      <c r="A37" s="13" t="s">
        <v>38</v>
      </c>
      <c r="B37" s="35">
        <v>56593</v>
      </c>
      <c r="C37" s="35">
        <v>44506.6</v>
      </c>
      <c r="D37" s="4">
        <f t="shared" si="2"/>
        <v>0.78643295107168731</v>
      </c>
      <c r="E37" s="11">
        <v>10</v>
      </c>
      <c r="F37" s="59">
        <v>107.2</v>
      </c>
      <c r="G37" s="59">
        <v>105.1</v>
      </c>
      <c r="H37" s="4">
        <f t="shared" si="3"/>
        <v>0.9804104477611939</v>
      </c>
      <c r="I37" s="11">
        <v>5</v>
      </c>
      <c r="J37" s="45">
        <v>550</v>
      </c>
      <c r="K37" s="45">
        <v>545</v>
      </c>
      <c r="L37" s="4">
        <f t="shared" si="4"/>
        <v>1.0091743119266054</v>
      </c>
      <c r="M37" s="11">
        <v>15</v>
      </c>
      <c r="N37" s="35">
        <v>19102.400000000001</v>
      </c>
      <c r="O37" s="35">
        <v>20223.900000000001</v>
      </c>
      <c r="P37" s="4">
        <f t="shared" si="5"/>
        <v>1.0587099003266605</v>
      </c>
      <c r="Q37" s="11">
        <v>20</v>
      </c>
      <c r="R37" s="35">
        <v>238.5</v>
      </c>
      <c r="S37" s="35">
        <v>270.8</v>
      </c>
      <c r="T37" s="4">
        <f t="shared" si="18"/>
        <v>1.1354297693920337</v>
      </c>
      <c r="U37" s="11">
        <v>10</v>
      </c>
      <c r="V37" s="35">
        <v>115.5</v>
      </c>
      <c r="W37" s="35">
        <v>123.6</v>
      </c>
      <c r="X37" s="4">
        <f t="shared" si="19"/>
        <v>1.07012987012987</v>
      </c>
      <c r="Y37" s="11">
        <v>10</v>
      </c>
      <c r="Z37" s="35">
        <v>335907</v>
      </c>
      <c r="AA37" s="35">
        <v>309865</v>
      </c>
      <c r="AB37" s="4">
        <f t="shared" si="20"/>
        <v>0.92247258913925578</v>
      </c>
      <c r="AC37" s="11">
        <v>5</v>
      </c>
      <c r="AD37" s="11">
        <v>3100</v>
      </c>
      <c r="AE37" s="11">
        <v>3381</v>
      </c>
      <c r="AF37" s="4">
        <f t="shared" si="21"/>
        <v>1.0906451612903225</v>
      </c>
      <c r="AG37" s="11">
        <v>20</v>
      </c>
      <c r="AH37" s="11">
        <v>2350</v>
      </c>
      <c r="AI37" s="11">
        <v>1854.2</v>
      </c>
      <c r="AJ37" s="4">
        <f t="shared" si="22"/>
        <v>0.78902127659574472</v>
      </c>
      <c r="AK37" s="11">
        <v>15</v>
      </c>
      <c r="AL37" s="11">
        <v>920</v>
      </c>
      <c r="AM37" s="11">
        <v>1150.2</v>
      </c>
      <c r="AN37" s="4">
        <f t="shared" si="23"/>
        <v>1.2050217391304348</v>
      </c>
      <c r="AO37" s="11">
        <v>10</v>
      </c>
      <c r="AP37" s="44">
        <f t="shared" si="24"/>
        <v>1.0120382795159784</v>
      </c>
      <c r="AQ37" s="45">
        <v>37174</v>
      </c>
      <c r="AR37" s="35">
        <f t="shared" si="8"/>
        <v>10138.363636363636</v>
      </c>
      <c r="AS37" s="35">
        <f t="shared" si="9"/>
        <v>10260.4</v>
      </c>
      <c r="AT37" s="35">
        <f t="shared" si="10"/>
        <v>122.0363636363636</v>
      </c>
      <c r="AU37" s="35">
        <v>3176.1</v>
      </c>
      <c r="AV37" s="35">
        <v>3511.8</v>
      </c>
      <c r="AW37" s="35">
        <f t="shared" si="11"/>
        <v>3572.5</v>
      </c>
      <c r="AX37" s="35"/>
      <c r="AY37" s="35">
        <f t="shared" si="12"/>
        <v>3572.5</v>
      </c>
      <c r="AZ37" s="35">
        <v>-4.5</v>
      </c>
      <c r="BA37" s="35">
        <f t="shared" si="25"/>
        <v>3568</v>
      </c>
      <c r="BB37" s="35">
        <f>MIN(BA37,1018.9)</f>
        <v>1018.9</v>
      </c>
      <c r="BC37" s="35">
        <f t="shared" si="14"/>
        <v>2549.1</v>
      </c>
      <c r="BD37" s="35">
        <v>2605</v>
      </c>
      <c r="BE37" s="35">
        <f t="shared" si="15"/>
        <v>-55.9</v>
      </c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</row>
    <row r="38" spans="1:209" s="2" customFormat="1" ht="17" customHeight="1">
      <c r="A38" s="13" t="s">
        <v>39</v>
      </c>
      <c r="B38" s="35">
        <v>346450</v>
      </c>
      <c r="C38" s="35">
        <v>343809.1</v>
      </c>
      <c r="D38" s="4">
        <f t="shared" si="2"/>
        <v>0.99237725501515361</v>
      </c>
      <c r="E38" s="11">
        <v>10</v>
      </c>
      <c r="F38" s="59">
        <v>107.1</v>
      </c>
      <c r="G38" s="59">
        <v>109</v>
      </c>
      <c r="H38" s="4">
        <f t="shared" si="3"/>
        <v>1.0177404295051355</v>
      </c>
      <c r="I38" s="11">
        <v>5</v>
      </c>
      <c r="J38" s="45">
        <v>380</v>
      </c>
      <c r="K38" s="45">
        <v>451</v>
      </c>
      <c r="L38" s="4">
        <f t="shared" si="4"/>
        <v>0.84257206208425717</v>
      </c>
      <c r="M38" s="11">
        <v>10</v>
      </c>
      <c r="N38" s="35">
        <v>81637.899999999994</v>
      </c>
      <c r="O38" s="35">
        <v>82165.399999999994</v>
      </c>
      <c r="P38" s="4">
        <f t="shared" si="5"/>
        <v>1.0064614596896784</v>
      </c>
      <c r="Q38" s="11">
        <v>20</v>
      </c>
      <c r="R38" s="35">
        <v>301</v>
      </c>
      <c r="S38" s="35">
        <v>308.8</v>
      </c>
      <c r="T38" s="4">
        <f t="shared" si="18"/>
        <v>1.0259136212624584</v>
      </c>
      <c r="U38" s="11">
        <v>5</v>
      </c>
      <c r="V38" s="35">
        <v>58.8</v>
      </c>
      <c r="W38" s="35">
        <v>60.3</v>
      </c>
      <c r="X38" s="4">
        <f t="shared" si="19"/>
        <v>1.0255102040816326</v>
      </c>
      <c r="Y38" s="11">
        <v>5</v>
      </c>
      <c r="Z38" s="35">
        <v>532688</v>
      </c>
      <c r="AA38" s="35">
        <v>548413</v>
      </c>
      <c r="AB38" s="4">
        <f t="shared" si="20"/>
        <v>1.0295200943141201</v>
      </c>
      <c r="AC38" s="11">
        <v>5</v>
      </c>
      <c r="AD38" s="11">
        <v>2689</v>
      </c>
      <c r="AE38" s="11">
        <v>2729</v>
      </c>
      <c r="AF38" s="4">
        <f t="shared" si="21"/>
        <v>1.0148754183711417</v>
      </c>
      <c r="AG38" s="11">
        <v>15</v>
      </c>
      <c r="AH38" s="11">
        <v>2190</v>
      </c>
      <c r="AI38" s="11">
        <v>2200.6999999999998</v>
      </c>
      <c r="AJ38" s="4">
        <f t="shared" si="22"/>
        <v>1.0048858447488584</v>
      </c>
      <c r="AK38" s="11">
        <v>10</v>
      </c>
      <c r="AL38" s="11">
        <v>764</v>
      </c>
      <c r="AM38" s="11">
        <v>643.29999999999995</v>
      </c>
      <c r="AN38" s="4">
        <f t="shared" si="23"/>
        <v>0.84201570680628268</v>
      </c>
      <c r="AO38" s="11">
        <v>5</v>
      </c>
      <c r="AP38" s="44">
        <f t="shared" si="24"/>
        <v>0.98282458186323918</v>
      </c>
      <c r="AQ38" s="45">
        <v>27847</v>
      </c>
      <c r="AR38" s="35">
        <f t="shared" si="8"/>
        <v>7594.636363636364</v>
      </c>
      <c r="AS38" s="35">
        <f t="shared" si="9"/>
        <v>7464.2</v>
      </c>
      <c r="AT38" s="35">
        <f t="shared" si="10"/>
        <v>-130.43636363636415</v>
      </c>
      <c r="AU38" s="35">
        <v>2308.1</v>
      </c>
      <c r="AV38" s="35">
        <v>2487.7999999999997</v>
      </c>
      <c r="AW38" s="35">
        <f t="shared" si="11"/>
        <v>2668.3</v>
      </c>
      <c r="AX38" s="35"/>
      <c r="AY38" s="35">
        <f t="shared" si="12"/>
        <v>2668.3</v>
      </c>
      <c r="AZ38" s="35">
        <v>9.8000000000000007</v>
      </c>
      <c r="BA38" s="35">
        <f t="shared" si="25"/>
        <v>2678.1000000000004</v>
      </c>
      <c r="BB38" s="35">
        <f>MIN(BA38,952)</f>
        <v>952</v>
      </c>
      <c r="BC38" s="35">
        <f t="shared" si="14"/>
        <v>1726.1</v>
      </c>
      <c r="BD38" s="35">
        <v>1687.4</v>
      </c>
      <c r="BE38" s="35">
        <f t="shared" si="15"/>
        <v>38.700000000000003</v>
      </c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</row>
    <row r="39" spans="1:209" s="2" customFormat="1" ht="17" customHeight="1">
      <c r="A39" s="13" t="s">
        <v>40</v>
      </c>
      <c r="B39" s="35">
        <v>4662311</v>
      </c>
      <c r="C39" s="35">
        <v>3542552.1</v>
      </c>
      <c r="D39" s="4">
        <f t="shared" si="2"/>
        <v>0.75982749756504875</v>
      </c>
      <c r="E39" s="11">
        <v>10</v>
      </c>
      <c r="F39" s="59">
        <v>109.9</v>
      </c>
      <c r="G39" s="59">
        <v>105.9</v>
      </c>
      <c r="H39" s="4">
        <f t="shared" si="3"/>
        <v>0.96360327570518656</v>
      </c>
      <c r="I39" s="11">
        <v>5</v>
      </c>
      <c r="J39" s="45">
        <v>340</v>
      </c>
      <c r="K39" s="45">
        <v>520</v>
      </c>
      <c r="L39" s="4">
        <f t="shared" si="4"/>
        <v>0.65384615384615385</v>
      </c>
      <c r="M39" s="11">
        <v>5</v>
      </c>
      <c r="N39" s="35">
        <v>109427.5</v>
      </c>
      <c r="O39" s="35">
        <v>97085.2</v>
      </c>
      <c r="P39" s="4">
        <f t="shared" si="5"/>
        <v>0.88721025336409953</v>
      </c>
      <c r="Q39" s="11">
        <v>20</v>
      </c>
      <c r="R39" s="35">
        <v>3930</v>
      </c>
      <c r="S39" s="35">
        <v>4179.1000000000004</v>
      </c>
      <c r="T39" s="4">
        <f t="shared" si="18"/>
        <v>1.0633842239185751</v>
      </c>
      <c r="U39" s="11">
        <v>10</v>
      </c>
      <c r="V39" s="35">
        <v>3150</v>
      </c>
      <c r="W39" s="35">
        <v>3474.4</v>
      </c>
      <c r="X39" s="4">
        <f t="shared" si="19"/>
        <v>1.102984126984127</v>
      </c>
      <c r="Y39" s="11">
        <v>10</v>
      </c>
      <c r="Z39" s="35">
        <v>1544203</v>
      </c>
      <c r="AA39" s="35">
        <v>1286329</v>
      </c>
      <c r="AB39" s="4">
        <f t="shared" si="20"/>
        <v>0.83300511655527154</v>
      </c>
      <c r="AC39" s="11">
        <v>10</v>
      </c>
      <c r="AD39" s="11">
        <v>6400</v>
      </c>
      <c r="AE39" s="11">
        <v>6535</v>
      </c>
      <c r="AF39" s="4">
        <f t="shared" si="21"/>
        <v>1.0210937499999999</v>
      </c>
      <c r="AG39" s="11">
        <v>10</v>
      </c>
      <c r="AH39" s="11">
        <v>7491</v>
      </c>
      <c r="AI39" s="11">
        <v>8070.1</v>
      </c>
      <c r="AJ39" s="4">
        <f t="shared" si="22"/>
        <v>1.0773061006541182</v>
      </c>
      <c r="AK39" s="11">
        <v>20</v>
      </c>
      <c r="AL39" s="11">
        <v>4500</v>
      </c>
      <c r="AM39" s="11">
        <v>4852.5</v>
      </c>
      <c r="AN39" s="4">
        <f t="shared" si="23"/>
        <v>1.0783333333333334</v>
      </c>
      <c r="AO39" s="11">
        <v>10</v>
      </c>
      <c r="AP39" s="44">
        <f t="shared" si="24"/>
        <v>0.96330777010622382</v>
      </c>
      <c r="AQ39" s="45">
        <v>107390</v>
      </c>
      <c r="AR39" s="35">
        <f t="shared" si="8"/>
        <v>29288.181818181816</v>
      </c>
      <c r="AS39" s="35">
        <f t="shared" si="9"/>
        <v>28213.5</v>
      </c>
      <c r="AT39" s="35">
        <f t="shared" si="10"/>
        <v>-1074.6818181818162</v>
      </c>
      <c r="AU39" s="35">
        <v>9006.5</v>
      </c>
      <c r="AV39" s="35">
        <v>9312.8000000000011</v>
      </c>
      <c r="AW39" s="35">
        <f t="shared" si="11"/>
        <v>9894.2000000000007</v>
      </c>
      <c r="AX39" s="35"/>
      <c r="AY39" s="35">
        <f t="shared" si="12"/>
        <v>9894.2000000000007</v>
      </c>
      <c r="AZ39" s="35">
        <v>85.1</v>
      </c>
      <c r="BA39" s="35">
        <f t="shared" si="25"/>
        <v>9979.3000000000011</v>
      </c>
      <c r="BB39" s="35">
        <f>MIN(BA39,744.2)</f>
        <v>744.2</v>
      </c>
      <c r="BC39" s="35">
        <f t="shared" si="14"/>
        <v>9235.1</v>
      </c>
      <c r="BD39" s="35">
        <v>9636.4</v>
      </c>
      <c r="BE39" s="35">
        <f t="shared" si="15"/>
        <v>-401.3</v>
      </c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</row>
    <row r="40" spans="1:209" s="2" customFormat="1" ht="17" customHeight="1">
      <c r="A40" s="13" t="s">
        <v>41</v>
      </c>
      <c r="B40" s="35">
        <v>124587</v>
      </c>
      <c r="C40" s="35">
        <v>152084.70000000001</v>
      </c>
      <c r="D40" s="4">
        <f t="shared" si="2"/>
        <v>1.2020710828577621</v>
      </c>
      <c r="E40" s="11">
        <v>10</v>
      </c>
      <c r="F40" s="59">
        <v>102.1</v>
      </c>
      <c r="G40" s="59">
        <v>106.2</v>
      </c>
      <c r="H40" s="4">
        <f t="shared" si="3"/>
        <v>1.0401567091087169</v>
      </c>
      <c r="I40" s="11">
        <v>5</v>
      </c>
      <c r="J40" s="45">
        <v>130</v>
      </c>
      <c r="K40" s="45">
        <v>121</v>
      </c>
      <c r="L40" s="4">
        <f t="shared" si="4"/>
        <v>1.0743801652892562</v>
      </c>
      <c r="M40" s="11">
        <v>5</v>
      </c>
      <c r="N40" s="35">
        <v>33555.599999999999</v>
      </c>
      <c r="O40" s="35">
        <v>30577</v>
      </c>
      <c r="P40" s="4">
        <f t="shared" si="5"/>
        <v>0.91123389240544062</v>
      </c>
      <c r="Q40" s="11">
        <v>20</v>
      </c>
      <c r="R40" s="35">
        <v>1680</v>
      </c>
      <c r="S40" s="35">
        <v>1963.4</v>
      </c>
      <c r="T40" s="4">
        <f t="shared" si="18"/>
        <v>1.1686904761904762</v>
      </c>
      <c r="U40" s="11">
        <v>5</v>
      </c>
      <c r="V40" s="35">
        <v>62.2</v>
      </c>
      <c r="W40" s="35">
        <v>70.3</v>
      </c>
      <c r="X40" s="4">
        <f t="shared" si="19"/>
        <v>1.130225080385852</v>
      </c>
      <c r="Y40" s="11">
        <v>5</v>
      </c>
      <c r="Z40" s="35">
        <v>265645</v>
      </c>
      <c r="AA40" s="35">
        <v>248118</v>
      </c>
      <c r="AB40" s="4">
        <f t="shared" si="20"/>
        <v>0.93402096783301025</v>
      </c>
      <c r="AC40" s="11">
        <v>5</v>
      </c>
      <c r="AD40" s="11">
        <v>2333</v>
      </c>
      <c r="AE40" s="11">
        <v>2338</v>
      </c>
      <c r="AF40" s="4">
        <f t="shared" si="21"/>
        <v>1.0021431633090441</v>
      </c>
      <c r="AG40" s="11">
        <v>20</v>
      </c>
      <c r="AH40" s="11">
        <v>2776</v>
      </c>
      <c r="AI40" s="11">
        <v>2758.2</v>
      </c>
      <c r="AJ40" s="4">
        <f t="shared" si="22"/>
        <v>0.99358789625360222</v>
      </c>
      <c r="AK40" s="11">
        <v>15</v>
      </c>
      <c r="AL40" s="11">
        <v>580</v>
      </c>
      <c r="AM40" s="11">
        <v>516.29999999999995</v>
      </c>
      <c r="AN40" s="4">
        <f t="shared" si="23"/>
        <v>0.89017241379310341</v>
      </c>
      <c r="AO40" s="11">
        <v>10</v>
      </c>
      <c r="AP40" s="44">
        <f t="shared" si="24"/>
        <v>1.0083116151863893</v>
      </c>
      <c r="AQ40" s="45">
        <v>37532</v>
      </c>
      <c r="AR40" s="35">
        <f t="shared" si="8"/>
        <v>10236</v>
      </c>
      <c r="AS40" s="35">
        <f t="shared" si="9"/>
        <v>10321.1</v>
      </c>
      <c r="AT40" s="35">
        <f t="shared" si="10"/>
        <v>85.100000000000364</v>
      </c>
      <c r="AU40" s="35">
        <v>3906.5</v>
      </c>
      <c r="AV40" s="35">
        <v>3300.8</v>
      </c>
      <c r="AW40" s="35">
        <f t="shared" si="11"/>
        <v>3113.8</v>
      </c>
      <c r="AX40" s="35"/>
      <c r="AY40" s="35">
        <f t="shared" si="12"/>
        <v>3113.8</v>
      </c>
      <c r="AZ40" s="35">
        <v>31.6</v>
      </c>
      <c r="BA40" s="35">
        <f t="shared" si="25"/>
        <v>3145.4</v>
      </c>
      <c r="BB40" s="35">
        <f>MIN(BA40,111.3)</f>
        <v>111.3</v>
      </c>
      <c r="BC40" s="35">
        <f t="shared" si="14"/>
        <v>3034.1</v>
      </c>
      <c r="BD40" s="35">
        <v>3058.2</v>
      </c>
      <c r="BE40" s="35">
        <f t="shared" si="15"/>
        <v>-24.1</v>
      </c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</row>
    <row r="41" spans="1:209" s="2" customFormat="1" ht="17" customHeight="1">
      <c r="A41" s="13" t="s">
        <v>2</v>
      </c>
      <c r="B41" s="35">
        <v>33714</v>
      </c>
      <c r="C41" s="35">
        <v>36175.599999999999</v>
      </c>
      <c r="D41" s="4">
        <f t="shared" si="2"/>
        <v>1.073014178086255</v>
      </c>
      <c r="E41" s="11">
        <v>10</v>
      </c>
      <c r="F41" s="59">
        <v>109.1</v>
      </c>
      <c r="G41" s="59">
        <v>105.2</v>
      </c>
      <c r="H41" s="4">
        <f t="shared" si="3"/>
        <v>0.96425297891842354</v>
      </c>
      <c r="I41" s="11">
        <v>5</v>
      </c>
      <c r="J41" s="45">
        <v>260</v>
      </c>
      <c r="K41" s="45">
        <v>256</v>
      </c>
      <c r="L41" s="4">
        <f t="shared" si="4"/>
        <v>1.015625</v>
      </c>
      <c r="M41" s="11">
        <v>15</v>
      </c>
      <c r="N41" s="35">
        <v>14182.1</v>
      </c>
      <c r="O41" s="35">
        <v>16222.7</v>
      </c>
      <c r="P41" s="4">
        <f t="shared" si="5"/>
        <v>1.1438856022732882</v>
      </c>
      <c r="Q41" s="11">
        <v>20</v>
      </c>
      <c r="R41" s="35">
        <v>1021</v>
      </c>
      <c r="S41" s="35">
        <v>1123.5</v>
      </c>
      <c r="T41" s="4">
        <f t="shared" si="18"/>
        <v>1.1003917727717925</v>
      </c>
      <c r="U41" s="11">
        <v>5</v>
      </c>
      <c r="V41" s="35">
        <v>117</v>
      </c>
      <c r="W41" s="35">
        <v>130.1</v>
      </c>
      <c r="X41" s="4">
        <f t="shared" si="19"/>
        <v>1.111965811965812</v>
      </c>
      <c r="Y41" s="11">
        <v>5</v>
      </c>
      <c r="Z41" s="35">
        <v>96093</v>
      </c>
      <c r="AA41" s="35">
        <v>80167</v>
      </c>
      <c r="AB41" s="4">
        <f t="shared" si="20"/>
        <v>0.83426472271653507</v>
      </c>
      <c r="AC41" s="11">
        <v>5</v>
      </c>
      <c r="AD41" s="11">
        <v>6834</v>
      </c>
      <c r="AE41" s="11">
        <v>6420</v>
      </c>
      <c r="AF41" s="4">
        <f t="shared" si="21"/>
        <v>0.93942054433713784</v>
      </c>
      <c r="AG41" s="11">
        <v>15</v>
      </c>
      <c r="AH41" s="11">
        <v>4700</v>
      </c>
      <c r="AI41" s="11">
        <v>5260.3</v>
      </c>
      <c r="AJ41" s="4">
        <f t="shared" si="22"/>
        <v>1.1192127659574469</v>
      </c>
      <c r="AK41" s="11">
        <v>10</v>
      </c>
      <c r="AL41" s="11">
        <v>3000</v>
      </c>
      <c r="AM41" s="11">
        <v>1977.9</v>
      </c>
      <c r="AN41" s="4">
        <f t="shared" si="23"/>
        <v>0.6593</v>
      </c>
      <c r="AO41" s="11">
        <v>15</v>
      </c>
      <c r="AP41" s="44">
        <f t="shared" si="24"/>
        <v>0.9911384865030729</v>
      </c>
      <c r="AQ41" s="45">
        <v>48371</v>
      </c>
      <c r="AR41" s="35">
        <f t="shared" si="8"/>
        <v>13192.090909090908</v>
      </c>
      <c r="AS41" s="35">
        <f t="shared" si="9"/>
        <v>13075.2</v>
      </c>
      <c r="AT41" s="35">
        <f t="shared" si="10"/>
        <v>-116.89090909090737</v>
      </c>
      <c r="AU41" s="35">
        <v>4864.7</v>
      </c>
      <c r="AV41" s="35">
        <v>4873.8</v>
      </c>
      <c r="AW41" s="35">
        <f t="shared" si="11"/>
        <v>3336.7</v>
      </c>
      <c r="AX41" s="35"/>
      <c r="AY41" s="35">
        <f t="shared" si="12"/>
        <v>3336.7</v>
      </c>
      <c r="AZ41" s="35">
        <v>-52.7</v>
      </c>
      <c r="BA41" s="35">
        <f t="shared" si="25"/>
        <v>3284</v>
      </c>
      <c r="BB41" s="35"/>
      <c r="BC41" s="35">
        <f t="shared" si="14"/>
        <v>3284</v>
      </c>
      <c r="BD41" s="35">
        <v>3411.6</v>
      </c>
      <c r="BE41" s="35">
        <f t="shared" si="15"/>
        <v>-127.6</v>
      </c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</row>
    <row r="42" spans="1:209" s="2" customFormat="1" ht="17" customHeight="1">
      <c r="A42" s="13" t="s">
        <v>42</v>
      </c>
      <c r="B42" s="35">
        <v>83346</v>
      </c>
      <c r="C42" s="35">
        <v>72281.3</v>
      </c>
      <c r="D42" s="4">
        <f t="shared" si="2"/>
        <v>0.86724377894560034</v>
      </c>
      <c r="E42" s="11">
        <v>10</v>
      </c>
      <c r="F42" s="59">
        <v>109.2</v>
      </c>
      <c r="G42" s="59">
        <v>105.5</v>
      </c>
      <c r="H42" s="4">
        <f t="shared" si="3"/>
        <v>0.96611721611721613</v>
      </c>
      <c r="I42" s="11">
        <v>5</v>
      </c>
      <c r="J42" s="45">
        <v>200</v>
      </c>
      <c r="K42" s="45">
        <v>186</v>
      </c>
      <c r="L42" s="4">
        <f t="shared" si="4"/>
        <v>1.075268817204301</v>
      </c>
      <c r="M42" s="11">
        <v>10</v>
      </c>
      <c r="N42" s="35">
        <v>14249.2</v>
      </c>
      <c r="O42" s="35">
        <v>12416.9</v>
      </c>
      <c r="P42" s="4">
        <f t="shared" si="5"/>
        <v>0.87141032479016356</v>
      </c>
      <c r="Q42" s="11">
        <v>20</v>
      </c>
      <c r="R42" s="35">
        <v>407.5</v>
      </c>
      <c r="S42" s="35">
        <v>449.4</v>
      </c>
      <c r="T42" s="4">
        <f t="shared" si="18"/>
        <v>1.1028220858895705</v>
      </c>
      <c r="U42" s="11">
        <v>5</v>
      </c>
      <c r="V42" s="35">
        <v>68.8</v>
      </c>
      <c r="W42" s="35">
        <v>71</v>
      </c>
      <c r="X42" s="4">
        <f t="shared" si="19"/>
        <v>1.0319767441860466</v>
      </c>
      <c r="Y42" s="11">
        <v>5</v>
      </c>
      <c r="Z42" s="35">
        <v>155069</v>
      </c>
      <c r="AA42" s="35">
        <v>140793</v>
      </c>
      <c r="AB42" s="4">
        <f t="shared" si="20"/>
        <v>0.90793775674054777</v>
      </c>
      <c r="AC42" s="11">
        <v>5</v>
      </c>
      <c r="AD42" s="11">
        <v>3500</v>
      </c>
      <c r="AE42" s="11">
        <v>3500</v>
      </c>
      <c r="AF42" s="4">
        <f t="shared" si="21"/>
        <v>1</v>
      </c>
      <c r="AG42" s="11">
        <v>20</v>
      </c>
      <c r="AH42" s="11">
        <v>3065</v>
      </c>
      <c r="AI42" s="11">
        <v>3049.9</v>
      </c>
      <c r="AJ42" s="4">
        <f t="shared" si="22"/>
        <v>0.995073409461664</v>
      </c>
      <c r="AK42" s="11">
        <v>15</v>
      </c>
      <c r="AL42" s="11">
        <v>420</v>
      </c>
      <c r="AM42" s="11">
        <v>868.8</v>
      </c>
      <c r="AN42" s="4">
        <f t="shared" si="23"/>
        <v>1.2868571428571429</v>
      </c>
      <c r="AO42" s="11">
        <v>10</v>
      </c>
      <c r="AP42" s="44">
        <f t="shared" si="24"/>
        <v>0.99706927659491018</v>
      </c>
      <c r="AQ42" s="45">
        <v>25572</v>
      </c>
      <c r="AR42" s="35">
        <f t="shared" si="8"/>
        <v>6974.181818181818</v>
      </c>
      <c r="AS42" s="35">
        <f t="shared" si="9"/>
        <v>6953.7</v>
      </c>
      <c r="AT42" s="35">
        <f t="shared" si="10"/>
        <v>-20.481818181818198</v>
      </c>
      <c r="AU42" s="35">
        <v>2191.1999999999998</v>
      </c>
      <c r="AV42" s="35">
        <v>2019.5</v>
      </c>
      <c r="AW42" s="35">
        <f t="shared" si="11"/>
        <v>2743</v>
      </c>
      <c r="AX42" s="35"/>
      <c r="AY42" s="35">
        <f t="shared" si="12"/>
        <v>2743</v>
      </c>
      <c r="AZ42" s="35">
        <v>21.5</v>
      </c>
      <c r="BA42" s="35">
        <f t="shared" si="25"/>
        <v>2764.5</v>
      </c>
      <c r="BB42" s="35">
        <f>MIN(BA42,337.9)</f>
        <v>337.9</v>
      </c>
      <c r="BC42" s="35">
        <f t="shared" si="14"/>
        <v>2426.6</v>
      </c>
      <c r="BD42" s="35">
        <v>2470.6999999999998</v>
      </c>
      <c r="BE42" s="35">
        <f t="shared" si="15"/>
        <v>-44.1</v>
      </c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</row>
    <row r="43" spans="1:209" s="2" customFormat="1" ht="17" customHeight="1">
      <c r="A43" s="13" t="s">
        <v>3</v>
      </c>
      <c r="B43" s="35">
        <v>177966</v>
      </c>
      <c r="C43" s="35">
        <v>160855.1</v>
      </c>
      <c r="D43" s="4">
        <f t="shared" si="2"/>
        <v>0.90385298315408569</v>
      </c>
      <c r="E43" s="11">
        <v>10</v>
      </c>
      <c r="F43" s="59">
        <v>106.4</v>
      </c>
      <c r="G43" s="59">
        <v>105.8</v>
      </c>
      <c r="H43" s="4">
        <f t="shared" si="3"/>
        <v>0.994360902255639</v>
      </c>
      <c r="I43" s="11">
        <v>5</v>
      </c>
      <c r="J43" s="45">
        <v>215</v>
      </c>
      <c r="K43" s="45">
        <v>172</v>
      </c>
      <c r="L43" s="4">
        <f t="shared" si="4"/>
        <v>1.2050000000000001</v>
      </c>
      <c r="M43" s="11">
        <v>10</v>
      </c>
      <c r="N43" s="35">
        <v>13219.9</v>
      </c>
      <c r="O43" s="35">
        <v>12152.8</v>
      </c>
      <c r="P43" s="4">
        <f t="shared" si="5"/>
        <v>0.91928078124645418</v>
      </c>
      <c r="Q43" s="11">
        <v>20</v>
      </c>
      <c r="R43" s="35">
        <v>1071.5</v>
      </c>
      <c r="S43" s="35">
        <v>1096.3</v>
      </c>
      <c r="T43" s="4">
        <f t="shared" si="18"/>
        <v>1.0231451236584228</v>
      </c>
      <c r="U43" s="11">
        <v>5</v>
      </c>
      <c r="V43" s="35">
        <v>34.1</v>
      </c>
      <c r="W43" s="35">
        <v>37.299999999999997</v>
      </c>
      <c r="X43" s="4">
        <f t="shared" si="19"/>
        <v>1.0938416422287389</v>
      </c>
      <c r="Y43" s="11">
        <v>5</v>
      </c>
      <c r="Z43" s="35">
        <v>158892.29999999999</v>
      </c>
      <c r="AA43" s="35">
        <v>140096</v>
      </c>
      <c r="AB43" s="4">
        <f t="shared" si="20"/>
        <v>0.8817041480298291</v>
      </c>
      <c r="AC43" s="11">
        <v>5</v>
      </c>
      <c r="AD43" s="11">
        <v>3000</v>
      </c>
      <c r="AE43" s="11">
        <v>3125</v>
      </c>
      <c r="AF43" s="4">
        <f t="shared" si="21"/>
        <v>1.0416666666666667</v>
      </c>
      <c r="AG43" s="11">
        <v>20</v>
      </c>
      <c r="AH43" s="11">
        <v>2697</v>
      </c>
      <c r="AI43" s="11">
        <v>2496.1999999999998</v>
      </c>
      <c r="AJ43" s="4">
        <f t="shared" si="22"/>
        <v>0.92554690396737105</v>
      </c>
      <c r="AK43" s="11">
        <v>15</v>
      </c>
      <c r="AL43" s="11">
        <v>436</v>
      </c>
      <c r="AM43" s="11">
        <v>1304.8</v>
      </c>
      <c r="AN43" s="4">
        <f t="shared" si="23"/>
        <v>1.3</v>
      </c>
      <c r="AO43" s="11">
        <v>10</v>
      </c>
      <c r="AP43" s="44">
        <f t="shared" si="24"/>
        <v>1.0205327755254952</v>
      </c>
      <c r="AQ43" s="45">
        <v>28537</v>
      </c>
      <c r="AR43" s="35">
        <f t="shared" si="8"/>
        <v>7782.818181818182</v>
      </c>
      <c r="AS43" s="35">
        <f t="shared" si="9"/>
        <v>7942.6</v>
      </c>
      <c r="AT43" s="35">
        <f t="shared" si="10"/>
        <v>159.78181818181838</v>
      </c>
      <c r="AU43" s="35">
        <v>2374</v>
      </c>
      <c r="AV43" s="35">
        <v>2711.1000000000004</v>
      </c>
      <c r="AW43" s="35">
        <f t="shared" si="11"/>
        <v>2857.5</v>
      </c>
      <c r="AX43" s="35"/>
      <c r="AY43" s="35">
        <f t="shared" si="12"/>
        <v>2857.5</v>
      </c>
      <c r="AZ43" s="35">
        <v>-9</v>
      </c>
      <c r="BA43" s="35">
        <f t="shared" si="25"/>
        <v>2848.5</v>
      </c>
      <c r="BB43" s="35"/>
      <c r="BC43" s="35">
        <f t="shared" si="14"/>
        <v>2848.5</v>
      </c>
      <c r="BD43" s="35">
        <v>2916.1</v>
      </c>
      <c r="BE43" s="35">
        <f t="shared" si="15"/>
        <v>-67.599999999999994</v>
      </c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</row>
    <row r="44" spans="1:209" s="2" customFormat="1" ht="17" customHeight="1">
      <c r="A44" s="13" t="s">
        <v>43</v>
      </c>
      <c r="B44" s="35">
        <v>56970</v>
      </c>
      <c r="C44" s="35">
        <v>55307.7</v>
      </c>
      <c r="D44" s="4">
        <f t="shared" si="2"/>
        <v>0.97082148499210108</v>
      </c>
      <c r="E44" s="11">
        <v>10</v>
      </c>
      <c r="F44" s="59">
        <v>102.6</v>
      </c>
      <c r="G44" s="59">
        <v>103</v>
      </c>
      <c r="H44" s="4">
        <f>IF(I44=0,0,IF(F44=0,1,IF(G44&lt;0,0,IF(G44/F44&gt;1.2,IF((G44/F44-1.2)*0.1+1.2&gt;1.3,1.3,(G44/F44-1.2)*0.1+1.2),G44/F44))))</f>
        <v>1.003898635477583</v>
      </c>
      <c r="I44" s="11">
        <v>5</v>
      </c>
      <c r="J44" s="45">
        <v>175</v>
      </c>
      <c r="K44" s="45">
        <v>166</v>
      </c>
      <c r="L44" s="4">
        <f t="shared" si="4"/>
        <v>1.0542168674698795</v>
      </c>
      <c r="M44" s="11">
        <v>10</v>
      </c>
      <c r="N44" s="35">
        <v>15014.3</v>
      </c>
      <c r="O44" s="35">
        <v>16142.1</v>
      </c>
      <c r="P44" s="4">
        <f t="shared" si="5"/>
        <v>1.0751150569790133</v>
      </c>
      <c r="Q44" s="11">
        <v>20</v>
      </c>
      <c r="R44" s="35">
        <v>120</v>
      </c>
      <c r="S44" s="35">
        <v>141.6</v>
      </c>
      <c r="T44" s="4">
        <f t="shared" si="18"/>
        <v>1.18</v>
      </c>
      <c r="U44" s="11">
        <v>5</v>
      </c>
      <c r="V44" s="35">
        <v>82</v>
      </c>
      <c r="W44" s="35">
        <v>95.2</v>
      </c>
      <c r="X44" s="4">
        <f t="shared" si="19"/>
        <v>1.1609756097560977</v>
      </c>
      <c r="Y44" s="11">
        <v>5</v>
      </c>
      <c r="Z44" s="35">
        <v>190000</v>
      </c>
      <c r="AA44" s="35">
        <v>180877</v>
      </c>
      <c r="AB44" s="4">
        <f t="shared" si="20"/>
        <v>0.95198421052631577</v>
      </c>
      <c r="AC44" s="11">
        <v>5</v>
      </c>
      <c r="AD44" s="11">
        <v>1970</v>
      </c>
      <c r="AE44" s="11">
        <v>2225</v>
      </c>
      <c r="AF44" s="4">
        <f t="shared" si="21"/>
        <v>1.1294416243654823</v>
      </c>
      <c r="AG44" s="11">
        <v>15</v>
      </c>
      <c r="AH44" s="11">
        <v>1314.7</v>
      </c>
      <c r="AI44" s="11">
        <v>1586.4</v>
      </c>
      <c r="AJ44" s="4">
        <f>IF(AK44=0,0,IF(AH44=0,1,IF(AI44&lt;0,0,IF(AI44/AH44&gt;1.2,IF((AI44/AH44-1.2)*0.1+1.2&gt;1.3,1.3,(AI44/AH44-1.2)*0.1+1.2),AI44/AH44))))</f>
        <v>1.2006663117060925</v>
      </c>
      <c r="AK44" s="11">
        <v>10</v>
      </c>
      <c r="AL44" s="11">
        <v>318.2</v>
      </c>
      <c r="AM44" s="11">
        <v>509.3</v>
      </c>
      <c r="AN44" s="4">
        <f>IF(AO44=0,0,IF(AL44=0,1,IF(AM44&lt;0,0,IF(AM44/AL44&gt;1.2,IF((AM44/AL44-1.2)*0.1+1.2&gt;1.3,1.3,(AM44/AL44-1.2)*0.1+1.2),AM44/AL44))))</f>
        <v>1.2400565681961031</v>
      </c>
      <c r="AO44" s="11">
        <v>10</v>
      </c>
      <c r="AP44" s="44">
        <f>(D44*E44+H44*I44+L44*M44+P44*Q44+T44*U44+X44*Y44+AB44*AC44+AF44*AG44+AJ44*AK44+AN44*AO44)/(E44+I44+M44+Q44+U44+Y44+AC44+AG44+AK44+AO44)</f>
        <v>1.1009034748158342</v>
      </c>
      <c r="AQ44" s="45">
        <v>37577</v>
      </c>
      <c r="AR44" s="35">
        <f t="shared" si="8"/>
        <v>10248.272727272728</v>
      </c>
      <c r="AS44" s="35">
        <f t="shared" si="9"/>
        <v>11282.4</v>
      </c>
      <c r="AT44" s="35">
        <f t="shared" si="10"/>
        <v>1034.1272727272717</v>
      </c>
      <c r="AU44" s="35">
        <v>3667.2</v>
      </c>
      <c r="AV44" s="35">
        <v>3643.7000000000003</v>
      </c>
      <c r="AW44" s="35">
        <f t="shared" si="11"/>
        <v>3971.5</v>
      </c>
      <c r="AX44" s="35"/>
      <c r="AY44" s="35">
        <f t="shared" si="12"/>
        <v>3971.5</v>
      </c>
      <c r="AZ44" s="35">
        <v>-20</v>
      </c>
      <c r="BA44" s="35">
        <f t="shared" si="25"/>
        <v>3951.5</v>
      </c>
      <c r="BB44" s="35">
        <f>MIN(BA44,1026.2)</f>
        <v>1026.2</v>
      </c>
      <c r="BC44" s="35">
        <f>IF((BA44-BB44)&gt;0,ROUND(BA44-BB44,1),0)</f>
        <v>2925.3</v>
      </c>
      <c r="BD44" s="35">
        <v>3073.5</v>
      </c>
      <c r="BE44" s="35">
        <f t="shared" si="15"/>
        <v>-148.19999999999999</v>
      </c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</row>
    <row r="45" spans="1:209" s="2" customFormat="1" ht="17" customHeight="1">
      <c r="A45" s="17" t="s">
        <v>44</v>
      </c>
      <c r="B45" s="34">
        <f>SUM(B46:B368)</f>
        <v>23262530</v>
      </c>
      <c r="C45" s="34">
        <f>SUM(C46:C368)</f>
        <v>23184141.600000001</v>
      </c>
      <c r="D45" s="6">
        <f>IF(C45/B45&gt;1.2,IF((C45/B45-1.2)*0.1+1.2&gt;1.3,1.3,(C45/B45-1.2)*0.1+1.2),C45/B45)</f>
        <v>0.99663027194376541</v>
      </c>
      <c r="E45" s="16"/>
      <c r="F45" s="7"/>
      <c r="G45" s="6"/>
      <c r="H45" s="6"/>
      <c r="I45" s="16"/>
      <c r="J45" s="7"/>
      <c r="K45" s="7"/>
      <c r="L45" s="7"/>
      <c r="M45" s="16"/>
      <c r="N45" s="34">
        <f>SUM(N46:N368)</f>
        <v>360416</v>
      </c>
      <c r="O45" s="34">
        <f>SUM(O46:O368)</f>
        <v>335889.5999999998</v>
      </c>
      <c r="P45" s="6">
        <f>IF(O45/N45&gt;1.2,IF((O45/N45-1.2)*0.1+1.2&gt;1.3,1.3,(O45/N45-1.2)*0.1+1.2),O45/N45)</f>
        <v>0.93194974695906896</v>
      </c>
      <c r="Q45" s="16"/>
      <c r="R45" s="34">
        <f>SUM(R46:R368)</f>
        <v>35712.400000000001</v>
      </c>
      <c r="S45" s="34">
        <f>SUM(S46:S368)</f>
        <v>38589.800000000025</v>
      </c>
      <c r="T45" s="6">
        <f>IF(S45/R45&gt;1.2,IF((S45/R45-1.2)*0.1+1.2&gt;1.3,1.3,(S45/R45-1.2)*0.1+1.2),S45/R45)</f>
        <v>1.0805714541727809</v>
      </c>
      <c r="U45" s="16"/>
      <c r="V45" s="34">
        <f>SUM(V46:V368)</f>
        <v>15720.699999999999</v>
      </c>
      <c r="W45" s="34">
        <f>SUM(W46:W368)</f>
        <v>19938.499999999996</v>
      </c>
      <c r="X45" s="6">
        <f>IF(W45/V45&gt;1.2,IF((W45/V45-1.2)*0.1+1.2&gt;1.3,1.3,(W45/V45-1.2)*0.1+1.2),W45/V45)</f>
        <v>1.2068295941020437</v>
      </c>
      <c r="Y45" s="16"/>
      <c r="Z45" s="34">
        <f>SUM(Z46:Z368)</f>
        <v>10350751.5</v>
      </c>
      <c r="AA45" s="34">
        <f>SUM(AA46:AA368)</f>
        <v>9558815</v>
      </c>
      <c r="AB45" s="6">
        <f>IF(AA45/Z45&gt;1.2,IF((AA45/Z45-1.2)*0.1+1.2&gt;1.3,1.3,(AA45/Z45-1.2)*0.1+1.2),AA45/Z45)</f>
        <v>0.9234899514300966</v>
      </c>
      <c r="AC45" s="16"/>
      <c r="AD45" s="34">
        <f>SUM(AD46:AD368)</f>
        <v>106350</v>
      </c>
      <c r="AE45" s="34">
        <f>SUM(AE46:AE368)</f>
        <v>107608</v>
      </c>
      <c r="AF45" s="6">
        <f>IF(AE45/AD45&gt;1.2,IF((AE45/AD45-1.2)*0.1+1.2&gt;1.3,1.3,(AE45/AD45-1.2)*0.1+1.2),AE45/AD45)</f>
        <v>1.0118288669487541</v>
      </c>
      <c r="AG45" s="16"/>
      <c r="AH45" s="16"/>
      <c r="AI45" s="16"/>
      <c r="AJ45" s="16"/>
      <c r="AK45" s="16"/>
      <c r="AL45" s="16"/>
      <c r="AM45" s="16"/>
      <c r="AN45" s="16"/>
      <c r="AO45" s="16"/>
      <c r="AP45" s="8"/>
      <c r="AQ45" s="20">
        <f>SUM(AQ46:AQ368)</f>
        <v>350109</v>
      </c>
      <c r="AR45" s="34">
        <f t="shared" ref="AR45:BE45" si="26">SUM(AR46:AR368)</f>
        <v>95484.272727272735</v>
      </c>
      <c r="AS45" s="34">
        <f t="shared" si="26"/>
        <v>95355.700000000084</v>
      </c>
      <c r="AT45" s="34">
        <f t="shared" si="26"/>
        <v>-128.57272727272829</v>
      </c>
      <c r="AU45" s="34">
        <f t="shared" si="26"/>
        <v>31415.799999999996</v>
      </c>
      <c r="AV45" s="34">
        <f t="shared" si="26"/>
        <v>30839.599999999988</v>
      </c>
      <c r="AW45" s="34">
        <f t="shared" si="26"/>
        <v>33100.299999999988</v>
      </c>
      <c r="AX45" s="34"/>
      <c r="AY45" s="34">
        <f t="shared" si="26"/>
        <v>33100.299999999988</v>
      </c>
      <c r="AZ45" s="34">
        <f t="shared" si="26"/>
        <v>0</v>
      </c>
      <c r="BA45" s="34">
        <f>SUM(BA46:BA368)</f>
        <v>33100.299999999988</v>
      </c>
      <c r="BB45" s="34">
        <f>SUM(BB46:BB368)</f>
        <v>5538.7</v>
      </c>
      <c r="BC45" s="34">
        <f t="shared" si="26"/>
        <v>27561.599999999995</v>
      </c>
      <c r="BD45" s="34">
        <f t="shared" si="26"/>
        <v>27942.199999999983</v>
      </c>
      <c r="BE45" s="34">
        <f t="shared" si="26"/>
        <v>-380.6</v>
      </c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</row>
    <row r="46" spans="1:209" s="2" customFormat="1" ht="17" customHeight="1">
      <c r="A46" s="18" t="s">
        <v>45</v>
      </c>
      <c r="B46" s="6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35"/>
      <c r="AA46" s="35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35"/>
      <c r="BD46" s="35"/>
      <c r="BE46" s="35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</row>
    <row r="47" spans="1:209" s="2" customFormat="1" ht="17" customHeight="1">
      <c r="A47" s="14" t="s">
        <v>46</v>
      </c>
      <c r="B47" s="35">
        <v>122</v>
      </c>
      <c r="C47" s="35">
        <v>63.8</v>
      </c>
      <c r="D47" s="4">
        <f t="shared" ref="D47:D110" si="27">IF(E47=0,0,IF(B47=0,1,IF(C47&lt;0,0,IF(C47/B47&gt;1.2,IF((C47/B47-1.2)*0.1+1.2&gt;1.3,1.3,(C47/B47-1.2)*0.1+1.2),C47/B47))))</f>
        <v>0.52295081967213108</v>
      </c>
      <c r="E47" s="11">
        <v>10</v>
      </c>
      <c r="F47" s="5" t="s">
        <v>362</v>
      </c>
      <c r="G47" s="5" t="s">
        <v>362</v>
      </c>
      <c r="H47" s="5" t="s">
        <v>362</v>
      </c>
      <c r="I47" s="5" t="s">
        <v>362</v>
      </c>
      <c r="J47" s="5" t="s">
        <v>362</v>
      </c>
      <c r="K47" s="5" t="s">
        <v>362</v>
      </c>
      <c r="L47" s="5" t="s">
        <v>362</v>
      </c>
      <c r="M47" s="5" t="s">
        <v>362</v>
      </c>
      <c r="N47" s="35">
        <v>643.5</v>
      </c>
      <c r="O47" s="35">
        <v>230</v>
      </c>
      <c r="P47" s="4">
        <f t="shared" ref="P47:P110" si="28">IF(Q47=0,0,IF(N47=0,1,IF(O47&lt;0,0,IF(O47/N47&gt;1.2,IF((O47/N47-1.2)*0.1+1.2&gt;1.3,1.3,(O47/N47-1.2)*0.1+1.2),O47/N47))))</f>
        <v>0.35742035742035744</v>
      </c>
      <c r="Q47" s="11">
        <v>20</v>
      </c>
      <c r="R47" s="35">
        <v>24</v>
      </c>
      <c r="S47" s="35">
        <v>38.6</v>
      </c>
      <c r="T47" s="4">
        <f t="shared" ref="T47:T110" si="29">IF(U47=0,0,IF(R47=0,1,IF(S47&lt;0,0,IF(S47/R47&gt;1.2,IF((S47/R47-1.2)*0.1+1.2&gt;1.3,1.3,(S47/R47-1.2)*0.1+1.2),S47/R47))))</f>
        <v>1.2408333333333332</v>
      </c>
      <c r="U47" s="11">
        <v>30</v>
      </c>
      <c r="V47" s="35">
        <v>7</v>
      </c>
      <c r="W47" s="35">
        <v>8.3000000000000007</v>
      </c>
      <c r="X47" s="4">
        <f t="shared" ref="X47:X110" si="30">IF(Y47=0,0,IF(V47=0,1,IF(W47&lt;0,0,IF(W47/V47&gt;1.2,IF((W47/V47-1.2)*0.1+1.2&gt;1.3,1.3,(W47/V47-1.2)*0.1+1.2),W47/V47))))</f>
        <v>1.1857142857142857</v>
      </c>
      <c r="Y47" s="11">
        <v>20</v>
      </c>
      <c r="Z47" s="35">
        <v>2200</v>
      </c>
      <c r="AA47" s="35">
        <v>2324</v>
      </c>
      <c r="AB47" s="4">
        <f t="shared" ref="AB47:AB110" si="31">IF(AC47=0,0,IF(Z47=0,1,IF(AA47&lt;0,0,IF(AA47/Z47&gt;1.2,IF((AA47/Z47-1.2)*0.1+1.2&gt;1.3,1.3,(AA47/Z47-1.2)*0.1+1.2),AA47/Z47))))</f>
        <v>1.0563636363636364</v>
      </c>
      <c r="AC47" s="11">
        <v>5</v>
      </c>
      <c r="AD47" s="11">
        <v>668</v>
      </c>
      <c r="AE47" s="11">
        <v>688</v>
      </c>
      <c r="AF47" s="4">
        <f t="shared" ref="AF47:AF110" si="32">IF(AG47=0,0,IF(AD47=0,1,IF(AE47&lt;0,0,IF(AE47/AD47&gt;1.2,IF((AE47/AD47-1.2)*0.1+1.2&gt;1.3,1.3,(AE47/AD47-1.2)*0.1+1.2),AE47/AD47))))</f>
        <v>1.0299401197604789</v>
      </c>
      <c r="AG47" s="11">
        <v>20</v>
      </c>
      <c r="AH47" s="5" t="s">
        <v>362</v>
      </c>
      <c r="AI47" s="5" t="s">
        <v>362</v>
      </c>
      <c r="AJ47" s="5" t="s">
        <v>362</v>
      </c>
      <c r="AK47" s="5" t="s">
        <v>362</v>
      </c>
      <c r="AL47" s="5" t="s">
        <v>362</v>
      </c>
      <c r="AM47" s="5" t="s">
        <v>362</v>
      </c>
      <c r="AN47" s="5" t="s">
        <v>362</v>
      </c>
      <c r="AO47" s="5" t="s">
        <v>362</v>
      </c>
      <c r="AP47" s="44">
        <f>(D47*E47+P47*Q47+T47*U47+X47*Y47+AB47*AC47+AF47*AG47)/(E47+Q47+U47+Y47+AC47+AG47)</f>
        <v>0.94474115844230411</v>
      </c>
      <c r="AQ47" s="45">
        <v>1010</v>
      </c>
      <c r="AR47" s="35">
        <f>AQ47/11*3</f>
        <v>275.45454545454544</v>
      </c>
      <c r="AS47" s="35">
        <f t="shared" ref="AS47:AS110" si="33">ROUND(AP47*AR47,1)</f>
        <v>260.2</v>
      </c>
      <c r="AT47" s="35">
        <f t="shared" ref="AT47:AT110" si="34">AS47-AR47</f>
        <v>-15.25454545454545</v>
      </c>
      <c r="AU47" s="35">
        <v>103.3</v>
      </c>
      <c r="AV47" s="35">
        <v>88.4</v>
      </c>
      <c r="AW47" s="35">
        <f t="shared" ref="AW47:AW110" si="35">ROUND(AS47-SUM(AU47:AV47),1)</f>
        <v>68.5</v>
      </c>
      <c r="AX47" s="35"/>
      <c r="AY47" s="35">
        <f t="shared" ref="AY47:AY110" si="36">IF(OR(AW47&lt;0,AX47="+"),0,AW47)</f>
        <v>68.5</v>
      </c>
      <c r="AZ47" s="35">
        <v>0</v>
      </c>
      <c r="BA47" s="35">
        <f t="shared" ref="BA47:BA110" si="37">AY47+AZ47</f>
        <v>68.5</v>
      </c>
      <c r="BB47" s="35">
        <f>MIN(BA47,45.9)</f>
        <v>45.9</v>
      </c>
      <c r="BC47" s="35">
        <f t="shared" ref="BC47:BC110" si="38">IF((BA47-BB47)&gt;0,ROUND(BA47-BB47,1),0)</f>
        <v>22.6</v>
      </c>
      <c r="BD47" s="35">
        <v>21.1</v>
      </c>
      <c r="BE47" s="35">
        <f t="shared" ref="BE47:BE110" si="39">ROUND(BC47-BD47,1)</f>
        <v>1.5</v>
      </c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10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10"/>
      <c r="DT47" s="9"/>
      <c r="DU47" s="9"/>
      <c r="DV47" s="9"/>
      <c r="DW47" s="9"/>
      <c r="DX47" s="9"/>
      <c r="DY47" s="9"/>
      <c r="DZ47" s="9"/>
      <c r="EA47" s="9"/>
      <c r="EB47" s="9"/>
      <c r="EC47" s="9"/>
      <c r="ED47" s="9"/>
      <c r="EE47" s="9"/>
      <c r="EF47" s="9"/>
      <c r="EG47" s="9"/>
      <c r="EH47" s="9"/>
      <c r="EI47" s="9"/>
      <c r="EJ47" s="9"/>
      <c r="EK47" s="9"/>
      <c r="EL47" s="9"/>
      <c r="EM47" s="9"/>
      <c r="EN47" s="9"/>
      <c r="EO47" s="9"/>
      <c r="EP47" s="9"/>
      <c r="EQ47" s="9"/>
      <c r="ER47" s="9"/>
      <c r="ES47" s="9"/>
      <c r="ET47" s="9"/>
      <c r="EU47" s="10"/>
      <c r="EV47" s="9"/>
      <c r="EW47" s="9"/>
      <c r="EX47" s="9"/>
      <c r="EY47" s="9"/>
      <c r="EZ47" s="9"/>
      <c r="FA47" s="9"/>
      <c r="FB47" s="9"/>
      <c r="FC47" s="9"/>
      <c r="FD47" s="9"/>
      <c r="FE47" s="9"/>
      <c r="FF47" s="9"/>
      <c r="FG47" s="9"/>
      <c r="FH47" s="9"/>
      <c r="FI47" s="9"/>
      <c r="FJ47" s="9"/>
      <c r="FK47" s="9"/>
      <c r="FL47" s="9"/>
      <c r="FM47" s="9"/>
      <c r="FN47" s="9"/>
      <c r="FO47" s="9"/>
      <c r="FP47" s="9"/>
      <c r="FQ47" s="9"/>
      <c r="FR47" s="9"/>
      <c r="FS47" s="9"/>
      <c r="FT47" s="9"/>
      <c r="FU47" s="9"/>
      <c r="FV47" s="9"/>
      <c r="FW47" s="10"/>
      <c r="FX47" s="9"/>
      <c r="FY47" s="9"/>
      <c r="FZ47" s="9"/>
      <c r="GA47" s="9"/>
      <c r="GB47" s="9"/>
      <c r="GC47" s="9"/>
      <c r="GD47" s="9"/>
      <c r="GE47" s="9"/>
      <c r="GF47" s="9"/>
      <c r="GG47" s="9"/>
      <c r="GH47" s="9"/>
      <c r="GI47" s="9"/>
      <c r="GJ47" s="9"/>
      <c r="GK47" s="9"/>
      <c r="GL47" s="9"/>
      <c r="GM47" s="9"/>
      <c r="GN47" s="9"/>
      <c r="GO47" s="9"/>
      <c r="GP47" s="9"/>
      <c r="GQ47" s="9"/>
      <c r="GR47" s="9"/>
      <c r="GS47" s="9"/>
      <c r="GT47" s="9"/>
      <c r="GU47" s="9"/>
      <c r="GV47" s="9"/>
      <c r="GW47" s="9"/>
      <c r="GX47" s="9"/>
      <c r="GY47" s="10"/>
      <c r="GZ47" s="9"/>
      <c r="HA47" s="9"/>
    </row>
    <row r="48" spans="1:209" s="2" customFormat="1" ht="17" customHeight="1">
      <c r="A48" s="14" t="s">
        <v>47</v>
      </c>
      <c r="B48" s="35">
        <v>15480</v>
      </c>
      <c r="C48" s="35">
        <v>18825.5</v>
      </c>
      <c r="D48" s="4">
        <f t="shared" si="27"/>
        <v>1.201611757105943</v>
      </c>
      <c r="E48" s="11">
        <v>10</v>
      </c>
      <c r="F48" s="5" t="s">
        <v>362</v>
      </c>
      <c r="G48" s="5" t="s">
        <v>362</v>
      </c>
      <c r="H48" s="5" t="s">
        <v>362</v>
      </c>
      <c r="I48" s="5" t="s">
        <v>362</v>
      </c>
      <c r="J48" s="5" t="s">
        <v>362</v>
      </c>
      <c r="K48" s="5" t="s">
        <v>362</v>
      </c>
      <c r="L48" s="5" t="s">
        <v>362</v>
      </c>
      <c r="M48" s="5" t="s">
        <v>362</v>
      </c>
      <c r="N48" s="35">
        <v>1528.9</v>
      </c>
      <c r="O48" s="35">
        <v>1575.7</v>
      </c>
      <c r="P48" s="4">
        <f t="shared" si="28"/>
        <v>1.0306102426581203</v>
      </c>
      <c r="Q48" s="11">
        <v>20</v>
      </c>
      <c r="R48" s="35">
        <v>39</v>
      </c>
      <c r="S48" s="35">
        <v>42.1</v>
      </c>
      <c r="T48" s="4">
        <f t="shared" si="29"/>
        <v>1.0794871794871794</v>
      </c>
      <c r="U48" s="11">
        <v>25</v>
      </c>
      <c r="V48" s="35">
        <v>15</v>
      </c>
      <c r="W48" s="35">
        <v>15.8</v>
      </c>
      <c r="X48" s="4">
        <f t="shared" si="30"/>
        <v>1.0533333333333335</v>
      </c>
      <c r="Y48" s="11">
        <v>25</v>
      </c>
      <c r="Z48" s="35">
        <v>85700</v>
      </c>
      <c r="AA48" s="35">
        <v>80712</v>
      </c>
      <c r="AB48" s="4">
        <f t="shared" si="31"/>
        <v>0.94179696616102682</v>
      </c>
      <c r="AC48" s="11">
        <v>5</v>
      </c>
      <c r="AD48" s="11">
        <v>1223</v>
      </c>
      <c r="AE48" s="11">
        <v>1132</v>
      </c>
      <c r="AF48" s="4">
        <f t="shared" si="32"/>
        <v>0.92559280457890436</v>
      </c>
      <c r="AG48" s="11">
        <v>20</v>
      </c>
      <c r="AH48" s="5" t="s">
        <v>362</v>
      </c>
      <c r="AI48" s="5" t="s">
        <v>362</v>
      </c>
      <c r="AJ48" s="5" t="s">
        <v>362</v>
      </c>
      <c r="AK48" s="5" t="s">
        <v>362</v>
      </c>
      <c r="AL48" s="5" t="s">
        <v>362</v>
      </c>
      <c r="AM48" s="5" t="s">
        <v>362</v>
      </c>
      <c r="AN48" s="5" t="s">
        <v>362</v>
      </c>
      <c r="AO48" s="5" t="s">
        <v>362</v>
      </c>
      <c r="AP48" s="44">
        <f t="shared" ref="AP48:AP111" si="40">(D48*E48+P48*Q48+T48*U48+X48*Y48+AB48*AC48+AF48*AG48)/(E48+Q48+U48+Y48+AC48+AG48)</f>
        <v>1.0397112015915988</v>
      </c>
      <c r="AQ48" s="45">
        <v>1886</v>
      </c>
      <c r="AR48" s="35">
        <f t="shared" ref="AR48:AR110" si="41">AQ48/11*3</f>
        <v>514.36363636363637</v>
      </c>
      <c r="AS48" s="35">
        <f t="shared" si="33"/>
        <v>534.79999999999995</v>
      </c>
      <c r="AT48" s="35">
        <f t="shared" si="34"/>
        <v>20.436363636363581</v>
      </c>
      <c r="AU48" s="35">
        <v>194.4</v>
      </c>
      <c r="AV48" s="35">
        <v>168.9</v>
      </c>
      <c r="AW48" s="35">
        <f t="shared" si="35"/>
        <v>171.5</v>
      </c>
      <c r="AX48" s="35"/>
      <c r="AY48" s="35">
        <f t="shared" si="36"/>
        <v>171.5</v>
      </c>
      <c r="AZ48" s="35">
        <v>0</v>
      </c>
      <c r="BA48" s="35">
        <f t="shared" si="37"/>
        <v>171.5</v>
      </c>
      <c r="BB48" s="35">
        <f>MIN(BA48,4.9)</f>
        <v>4.9000000000000004</v>
      </c>
      <c r="BC48" s="35">
        <f t="shared" si="38"/>
        <v>166.6</v>
      </c>
      <c r="BD48" s="35">
        <v>169.1</v>
      </c>
      <c r="BE48" s="35">
        <f t="shared" si="39"/>
        <v>-2.5</v>
      </c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10"/>
      <c r="CR48" s="9"/>
      <c r="CS48" s="9"/>
      <c r="CT48" s="9"/>
      <c r="CU48" s="9"/>
      <c r="CV48" s="9"/>
      <c r="CW48" s="9"/>
      <c r="CX48" s="9"/>
      <c r="CY48" s="9"/>
      <c r="CZ48" s="9"/>
      <c r="DA48" s="9"/>
      <c r="DB48" s="9"/>
      <c r="DC48" s="9"/>
      <c r="DD48" s="9"/>
      <c r="DE48" s="9"/>
      <c r="DF48" s="9"/>
      <c r="DG48" s="9"/>
      <c r="DH48" s="9"/>
      <c r="DI48" s="9"/>
      <c r="DJ48" s="9"/>
      <c r="DK48" s="9"/>
      <c r="DL48" s="9"/>
      <c r="DM48" s="9"/>
      <c r="DN48" s="9"/>
      <c r="DO48" s="9"/>
      <c r="DP48" s="9"/>
      <c r="DQ48" s="9"/>
      <c r="DR48" s="9"/>
      <c r="DS48" s="10"/>
      <c r="DT48" s="9"/>
      <c r="DU48" s="9"/>
      <c r="DV48" s="9"/>
      <c r="DW48" s="9"/>
      <c r="DX48" s="9"/>
      <c r="DY48" s="9"/>
      <c r="DZ48" s="9"/>
      <c r="EA48" s="9"/>
      <c r="EB48" s="9"/>
      <c r="EC48" s="9"/>
      <c r="ED48" s="9"/>
      <c r="EE48" s="9"/>
      <c r="EF48" s="9"/>
      <c r="EG48" s="9"/>
      <c r="EH48" s="9"/>
      <c r="EI48" s="9"/>
      <c r="EJ48" s="9"/>
      <c r="EK48" s="9"/>
      <c r="EL48" s="9"/>
      <c r="EM48" s="9"/>
      <c r="EN48" s="9"/>
      <c r="EO48" s="9"/>
      <c r="EP48" s="9"/>
      <c r="EQ48" s="9"/>
      <c r="ER48" s="9"/>
      <c r="ES48" s="9"/>
      <c r="ET48" s="9"/>
      <c r="EU48" s="10"/>
      <c r="EV48" s="9"/>
      <c r="EW48" s="9"/>
      <c r="EX48" s="9"/>
      <c r="EY48" s="9"/>
      <c r="EZ48" s="9"/>
      <c r="FA48" s="9"/>
      <c r="FB48" s="9"/>
      <c r="FC48" s="9"/>
      <c r="FD48" s="9"/>
      <c r="FE48" s="9"/>
      <c r="FF48" s="9"/>
      <c r="FG48" s="9"/>
      <c r="FH48" s="9"/>
      <c r="FI48" s="9"/>
      <c r="FJ48" s="9"/>
      <c r="FK48" s="9"/>
      <c r="FL48" s="9"/>
      <c r="FM48" s="9"/>
      <c r="FN48" s="9"/>
      <c r="FO48" s="9"/>
      <c r="FP48" s="9"/>
      <c r="FQ48" s="9"/>
      <c r="FR48" s="9"/>
      <c r="FS48" s="9"/>
      <c r="FT48" s="9"/>
      <c r="FU48" s="9"/>
      <c r="FV48" s="9"/>
      <c r="FW48" s="10"/>
      <c r="FX48" s="9"/>
      <c r="FY48" s="9"/>
      <c r="FZ48" s="9"/>
      <c r="GA48" s="9"/>
      <c r="GB48" s="9"/>
      <c r="GC48" s="9"/>
      <c r="GD48" s="9"/>
      <c r="GE48" s="9"/>
      <c r="GF48" s="9"/>
      <c r="GG48" s="9"/>
      <c r="GH48" s="9"/>
      <c r="GI48" s="9"/>
      <c r="GJ48" s="9"/>
      <c r="GK48" s="9"/>
      <c r="GL48" s="9"/>
      <c r="GM48" s="9"/>
      <c r="GN48" s="9"/>
      <c r="GO48" s="9"/>
      <c r="GP48" s="9"/>
      <c r="GQ48" s="9"/>
      <c r="GR48" s="9"/>
      <c r="GS48" s="9"/>
      <c r="GT48" s="9"/>
      <c r="GU48" s="9"/>
      <c r="GV48" s="9"/>
      <c r="GW48" s="9"/>
      <c r="GX48" s="9"/>
      <c r="GY48" s="10"/>
      <c r="GZ48" s="9"/>
      <c r="HA48" s="9"/>
    </row>
    <row r="49" spans="1:209" s="2" customFormat="1" ht="17" customHeight="1">
      <c r="A49" s="14" t="s">
        <v>48</v>
      </c>
      <c r="B49" s="35">
        <v>1380</v>
      </c>
      <c r="C49" s="35">
        <v>1374.5</v>
      </c>
      <c r="D49" s="4">
        <f t="shared" si="27"/>
        <v>0.99601449275362319</v>
      </c>
      <c r="E49" s="11">
        <v>10</v>
      </c>
      <c r="F49" s="5" t="s">
        <v>362</v>
      </c>
      <c r="G49" s="5" t="s">
        <v>362</v>
      </c>
      <c r="H49" s="5" t="s">
        <v>362</v>
      </c>
      <c r="I49" s="5" t="s">
        <v>362</v>
      </c>
      <c r="J49" s="5" t="s">
        <v>362</v>
      </c>
      <c r="K49" s="5" t="s">
        <v>362</v>
      </c>
      <c r="L49" s="5" t="s">
        <v>362</v>
      </c>
      <c r="M49" s="5" t="s">
        <v>362</v>
      </c>
      <c r="N49" s="35">
        <v>327.60000000000002</v>
      </c>
      <c r="O49" s="35">
        <v>274.2</v>
      </c>
      <c r="P49" s="4">
        <f t="shared" si="28"/>
        <v>0.83699633699633691</v>
      </c>
      <c r="Q49" s="11">
        <v>20</v>
      </c>
      <c r="R49" s="35">
        <v>20</v>
      </c>
      <c r="S49" s="35">
        <v>21</v>
      </c>
      <c r="T49" s="4">
        <f t="shared" si="29"/>
        <v>1.05</v>
      </c>
      <c r="U49" s="11">
        <v>30</v>
      </c>
      <c r="V49" s="35">
        <v>8</v>
      </c>
      <c r="W49" s="35">
        <v>8.1999999999999993</v>
      </c>
      <c r="X49" s="4">
        <f t="shared" si="30"/>
        <v>1.0249999999999999</v>
      </c>
      <c r="Y49" s="11">
        <v>20</v>
      </c>
      <c r="Z49" s="35">
        <v>3600</v>
      </c>
      <c r="AA49" s="35">
        <v>4076</v>
      </c>
      <c r="AB49" s="4">
        <f t="shared" si="31"/>
        <v>1.1322222222222222</v>
      </c>
      <c r="AC49" s="11">
        <v>5</v>
      </c>
      <c r="AD49" s="11">
        <v>576</v>
      </c>
      <c r="AE49" s="11">
        <v>571</v>
      </c>
      <c r="AF49" s="4">
        <f t="shared" si="32"/>
        <v>0.99131944444444442</v>
      </c>
      <c r="AG49" s="11">
        <v>20</v>
      </c>
      <c r="AH49" s="5" t="s">
        <v>362</v>
      </c>
      <c r="AI49" s="5" t="s">
        <v>362</v>
      </c>
      <c r="AJ49" s="5" t="s">
        <v>362</v>
      </c>
      <c r="AK49" s="5" t="s">
        <v>362</v>
      </c>
      <c r="AL49" s="5" t="s">
        <v>362</v>
      </c>
      <c r="AM49" s="5" t="s">
        <v>362</v>
      </c>
      <c r="AN49" s="5" t="s">
        <v>362</v>
      </c>
      <c r="AO49" s="5" t="s">
        <v>362</v>
      </c>
      <c r="AP49" s="44">
        <f t="shared" si="40"/>
        <v>0.99226258730917105</v>
      </c>
      <c r="AQ49" s="45">
        <v>1402</v>
      </c>
      <c r="AR49" s="35">
        <f t="shared" si="41"/>
        <v>382.36363636363637</v>
      </c>
      <c r="AS49" s="35">
        <f t="shared" si="33"/>
        <v>379.4</v>
      </c>
      <c r="AT49" s="35">
        <f t="shared" si="34"/>
        <v>-2.9636363636363967</v>
      </c>
      <c r="AU49" s="35">
        <v>139.69999999999999</v>
      </c>
      <c r="AV49" s="35">
        <v>97.8</v>
      </c>
      <c r="AW49" s="35">
        <f t="shared" si="35"/>
        <v>141.9</v>
      </c>
      <c r="AX49" s="35"/>
      <c r="AY49" s="35">
        <f t="shared" si="36"/>
        <v>141.9</v>
      </c>
      <c r="AZ49" s="35">
        <v>0</v>
      </c>
      <c r="BA49" s="35">
        <f t="shared" si="37"/>
        <v>141.9</v>
      </c>
      <c r="BB49" s="35"/>
      <c r="BC49" s="35">
        <f t="shared" si="38"/>
        <v>141.9</v>
      </c>
      <c r="BD49" s="35">
        <v>139.19999999999999</v>
      </c>
      <c r="BE49" s="35">
        <f t="shared" si="39"/>
        <v>2.7</v>
      </c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10"/>
      <c r="CR49" s="9"/>
      <c r="CS49" s="9"/>
      <c r="CT49" s="9"/>
      <c r="CU49" s="9"/>
      <c r="CV49" s="9"/>
      <c r="CW49" s="9"/>
      <c r="CX49" s="9"/>
      <c r="CY49" s="9"/>
      <c r="CZ49" s="9"/>
      <c r="DA49" s="9"/>
      <c r="DB49" s="9"/>
      <c r="DC49" s="9"/>
      <c r="DD49" s="9"/>
      <c r="DE49" s="9"/>
      <c r="DF49" s="9"/>
      <c r="DG49" s="9"/>
      <c r="DH49" s="9"/>
      <c r="DI49" s="9"/>
      <c r="DJ49" s="9"/>
      <c r="DK49" s="9"/>
      <c r="DL49" s="9"/>
      <c r="DM49" s="9"/>
      <c r="DN49" s="9"/>
      <c r="DO49" s="9"/>
      <c r="DP49" s="9"/>
      <c r="DQ49" s="9"/>
      <c r="DR49" s="9"/>
      <c r="DS49" s="10"/>
      <c r="DT49" s="9"/>
      <c r="DU49" s="9"/>
      <c r="DV49" s="9"/>
      <c r="DW49" s="9"/>
      <c r="DX49" s="9"/>
      <c r="DY49" s="9"/>
      <c r="DZ49" s="9"/>
      <c r="EA49" s="9"/>
      <c r="EB49" s="9"/>
      <c r="EC49" s="9"/>
      <c r="ED49" s="9"/>
      <c r="EE49" s="9"/>
      <c r="EF49" s="9"/>
      <c r="EG49" s="9"/>
      <c r="EH49" s="9"/>
      <c r="EI49" s="9"/>
      <c r="EJ49" s="9"/>
      <c r="EK49" s="9"/>
      <c r="EL49" s="9"/>
      <c r="EM49" s="9"/>
      <c r="EN49" s="9"/>
      <c r="EO49" s="9"/>
      <c r="EP49" s="9"/>
      <c r="EQ49" s="9"/>
      <c r="ER49" s="9"/>
      <c r="ES49" s="9"/>
      <c r="ET49" s="9"/>
      <c r="EU49" s="10"/>
      <c r="EV49" s="9"/>
      <c r="EW49" s="9"/>
      <c r="EX49" s="9"/>
      <c r="EY49" s="9"/>
      <c r="EZ49" s="9"/>
      <c r="FA49" s="9"/>
      <c r="FB49" s="9"/>
      <c r="FC49" s="9"/>
      <c r="FD49" s="9"/>
      <c r="FE49" s="9"/>
      <c r="FF49" s="9"/>
      <c r="FG49" s="9"/>
      <c r="FH49" s="9"/>
      <c r="FI49" s="9"/>
      <c r="FJ49" s="9"/>
      <c r="FK49" s="9"/>
      <c r="FL49" s="9"/>
      <c r="FM49" s="9"/>
      <c r="FN49" s="9"/>
      <c r="FO49" s="9"/>
      <c r="FP49" s="9"/>
      <c r="FQ49" s="9"/>
      <c r="FR49" s="9"/>
      <c r="FS49" s="9"/>
      <c r="FT49" s="9"/>
      <c r="FU49" s="9"/>
      <c r="FV49" s="9"/>
      <c r="FW49" s="10"/>
      <c r="FX49" s="9"/>
      <c r="FY49" s="9"/>
      <c r="FZ49" s="9"/>
      <c r="GA49" s="9"/>
      <c r="GB49" s="9"/>
      <c r="GC49" s="9"/>
      <c r="GD49" s="9"/>
      <c r="GE49" s="9"/>
      <c r="GF49" s="9"/>
      <c r="GG49" s="9"/>
      <c r="GH49" s="9"/>
      <c r="GI49" s="9"/>
      <c r="GJ49" s="9"/>
      <c r="GK49" s="9"/>
      <c r="GL49" s="9"/>
      <c r="GM49" s="9"/>
      <c r="GN49" s="9"/>
      <c r="GO49" s="9"/>
      <c r="GP49" s="9"/>
      <c r="GQ49" s="9"/>
      <c r="GR49" s="9"/>
      <c r="GS49" s="9"/>
      <c r="GT49" s="9"/>
      <c r="GU49" s="9"/>
      <c r="GV49" s="9"/>
      <c r="GW49" s="9"/>
      <c r="GX49" s="9"/>
      <c r="GY49" s="10"/>
      <c r="GZ49" s="9"/>
      <c r="HA49" s="9"/>
    </row>
    <row r="50" spans="1:209" s="2" customFormat="1" ht="17" customHeight="1">
      <c r="A50" s="14" t="s">
        <v>49</v>
      </c>
      <c r="B50" s="35">
        <v>0</v>
      </c>
      <c r="C50" s="35">
        <v>0</v>
      </c>
      <c r="D50" s="4">
        <f t="shared" si="27"/>
        <v>0</v>
      </c>
      <c r="E50" s="11">
        <v>0</v>
      </c>
      <c r="F50" s="5" t="s">
        <v>362</v>
      </c>
      <c r="G50" s="5" t="s">
        <v>362</v>
      </c>
      <c r="H50" s="5" t="s">
        <v>362</v>
      </c>
      <c r="I50" s="5" t="s">
        <v>362</v>
      </c>
      <c r="J50" s="5" t="s">
        <v>362</v>
      </c>
      <c r="K50" s="5" t="s">
        <v>362</v>
      </c>
      <c r="L50" s="5" t="s">
        <v>362</v>
      </c>
      <c r="M50" s="5" t="s">
        <v>362</v>
      </c>
      <c r="N50" s="35">
        <v>129.69999999999999</v>
      </c>
      <c r="O50" s="35">
        <v>245.3</v>
      </c>
      <c r="P50" s="4">
        <f t="shared" si="28"/>
        <v>1.2691287586738627</v>
      </c>
      <c r="Q50" s="11">
        <v>20</v>
      </c>
      <c r="R50" s="35">
        <v>19</v>
      </c>
      <c r="S50" s="35">
        <v>20.8</v>
      </c>
      <c r="T50" s="4">
        <f t="shared" si="29"/>
        <v>1.0947368421052632</v>
      </c>
      <c r="U50" s="11">
        <v>25</v>
      </c>
      <c r="V50" s="35">
        <v>7</v>
      </c>
      <c r="W50" s="35">
        <v>7.1</v>
      </c>
      <c r="X50" s="4">
        <f t="shared" si="30"/>
        <v>1.0142857142857142</v>
      </c>
      <c r="Y50" s="11">
        <v>25</v>
      </c>
      <c r="Z50" s="35">
        <v>1400</v>
      </c>
      <c r="AA50" s="35">
        <v>1623</v>
      </c>
      <c r="AB50" s="4">
        <f t="shared" si="31"/>
        <v>1.1592857142857143</v>
      </c>
      <c r="AC50" s="11">
        <v>5</v>
      </c>
      <c r="AD50" s="11">
        <v>625</v>
      </c>
      <c r="AE50" s="11">
        <v>664</v>
      </c>
      <c r="AF50" s="4">
        <f t="shared" si="32"/>
        <v>1.0624</v>
      </c>
      <c r="AG50" s="11">
        <v>20</v>
      </c>
      <c r="AH50" s="5" t="s">
        <v>362</v>
      </c>
      <c r="AI50" s="5" t="s">
        <v>362</v>
      </c>
      <c r="AJ50" s="5" t="s">
        <v>362</v>
      </c>
      <c r="AK50" s="5" t="s">
        <v>362</v>
      </c>
      <c r="AL50" s="5" t="s">
        <v>362</v>
      </c>
      <c r="AM50" s="5" t="s">
        <v>362</v>
      </c>
      <c r="AN50" s="5" t="s">
        <v>362</v>
      </c>
      <c r="AO50" s="5" t="s">
        <v>362</v>
      </c>
      <c r="AP50" s="44">
        <f t="shared" si="40"/>
        <v>1.106869133207161</v>
      </c>
      <c r="AQ50" s="45">
        <v>826</v>
      </c>
      <c r="AR50" s="35">
        <f t="shared" si="41"/>
        <v>225.27272727272728</v>
      </c>
      <c r="AS50" s="35">
        <f t="shared" si="33"/>
        <v>249.3</v>
      </c>
      <c r="AT50" s="35">
        <f t="shared" si="34"/>
        <v>24.027272727272731</v>
      </c>
      <c r="AU50" s="35">
        <v>66.3</v>
      </c>
      <c r="AV50" s="35">
        <v>77.8</v>
      </c>
      <c r="AW50" s="35">
        <f t="shared" si="35"/>
        <v>105.2</v>
      </c>
      <c r="AX50" s="35"/>
      <c r="AY50" s="35">
        <f t="shared" si="36"/>
        <v>105.2</v>
      </c>
      <c r="AZ50" s="35">
        <v>0</v>
      </c>
      <c r="BA50" s="35">
        <f t="shared" si="37"/>
        <v>105.2</v>
      </c>
      <c r="BB50" s="35">
        <f>MIN(BA50,24.6)</f>
        <v>24.6</v>
      </c>
      <c r="BC50" s="35">
        <f t="shared" si="38"/>
        <v>80.599999999999994</v>
      </c>
      <c r="BD50" s="35">
        <v>80</v>
      </c>
      <c r="BE50" s="35">
        <f t="shared" si="39"/>
        <v>0.6</v>
      </c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10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9"/>
      <c r="DP50" s="9"/>
      <c r="DQ50" s="9"/>
      <c r="DR50" s="9"/>
      <c r="DS50" s="10"/>
      <c r="DT50" s="9"/>
      <c r="DU50" s="9"/>
      <c r="DV50" s="9"/>
      <c r="DW50" s="9"/>
      <c r="DX50" s="9"/>
      <c r="DY50" s="9"/>
      <c r="DZ50" s="9"/>
      <c r="EA50" s="9"/>
      <c r="EB50" s="9"/>
      <c r="EC50" s="9"/>
      <c r="ED50" s="9"/>
      <c r="EE50" s="9"/>
      <c r="EF50" s="9"/>
      <c r="EG50" s="9"/>
      <c r="EH50" s="9"/>
      <c r="EI50" s="9"/>
      <c r="EJ50" s="9"/>
      <c r="EK50" s="9"/>
      <c r="EL50" s="9"/>
      <c r="EM50" s="9"/>
      <c r="EN50" s="9"/>
      <c r="EO50" s="9"/>
      <c r="EP50" s="9"/>
      <c r="EQ50" s="9"/>
      <c r="ER50" s="9"/>
      <c r="ES50" s="9"/>
      <c r="ET50" s="9"/>
      <c r="EU50" s="10"/>
      <c r="EV50" s="9"/>
      <c r="EW50" s="9"/>
      <c r="EX50" s="9"/>
      <c r="EY50" s="9"/>
      <c r="EZ50" s="9"/>
      <c r="FA50" s="9"/>
      <c r="FB50" s="9"/>
      <c r="FC50" s="9"/>
      <c r="FD50" s="9"/>
      <c r="FE50" s="9"/>
      <c r="FF50" s="9"/>
      <c r="FG50" s="9"/>
      <c r="FH50" s="9"/>
      <c r="FI50" s="9"/>
      <c r="FJ50" s="9"/>
      <c r="FK50" s="9"/>
      <c r="FL50" s="9"/>
      <c r="FM50" s="9"/>
      <c r="FN50" s="9"/>
      <c r="FO50" s="9"/>
      <c r="FP50" s="9"/>
      <c r="FQ50" s="9"/>
      <c r="FR50" s="9"/>
      <c r="FS50" s="9"/>
      <c r="FT50" s="9"/>
      <c r="FU50" s="9"/>
      <c r="FV50" s="9"/>
      <c r="FW50" s="10"/>
      <c r="FX50" s="9"/>
      <c r="FY50" s="9"/>
      <c r="FZ50" s="9"/>
      <c r="GA50" s="9"/>
      <c r="GB50" s="9"/>
      <c r="GC50" s="9"/>
      <c r="GD50" s="9"/>
      <c r="GE50" s="9"/>
      <c r="GF50" s="9"/>
      <c r="GG50" s="9"/>
      <c r="GH50" s="9"/>
      <c r="GI50" s="9"/>
      <c r="GJ50" s="9"/>
      <c r="GK50" s="9"/>
      <c r="GL50" s="9"/>
      <c r="GM50" s="9"/>
      <c r="GN50" s="9"/>
      <c r="GO50" s="9"/>
      <c r="GP50" s="9"/>
      <c r="GQ50" s="9"/>
      <c r="GR50" s="9"/>
      <c r="GS50" s="9"/>
      <c r="GT50" s="9"/>
      <c r="GU50" s="9"/>
      <c r="GV50" s="9"/>
      <c r="GW50" s="9"/>
      <c r="GX50" s="9"/>
      <c r="GY50" s="10"/>
      <c r="GZ50" s="9"/>
      <c r="HA50" s="9"/>
    </row>
    <row r="51" spans="1:209" s="2" customFormat="1" ht="17" customHeight="1">
      <c r="A51" s="14" t="s">
        <v>50</v>
      </c>
      <c r="B51" s="35">
        <v>375</v>
      </c>
      <c r="C51" s="35">
        <v>405.7</v>
      </c>
      <c r="D51" s="4">
        <f t="shared" si="27"/>
        <v>1.0818666666666665</v>
      </c>
      <c r="E51" s="11">
        <v>10</v>
      </c>
      <c r="F51" s="5" t="s">
        <v>362</v>
      </c>
      <c r="G51" s="5" t="s">
        <v>362</v>
      </c>
      <c r="H51" s="5" t="s">
        <v>362</v>
      </c>
      <c r="I51" s="5" t="s">
        <v>362</v>
      </c>
      <c r="J51" s="5" t="s">
        <v>362</v>
      </c>
      <c r="K51" s="5" t="s">
        <v>362</v>
      </c>
      <c r="L51" s="5" t="s">
        <v>362</v>
      </c>
      <c r="M51" s="5" t="s">
        <v>362</v>
      </c>
      <c r="N51" s="35">
        <v>278.10000000000002</v>
      </c>
      <c r="O51" s="35">
        <v>221.2</v>
      </c>
      <c r="P51" s="4">
        <f t="shared" si="28"/>
        <v>0.79539733908665933</v>
      </c>
      <c r="Q51" s="11">
        <v>20</v>
      </c>
      <c r="R51" s="35">
        <v>30</v>
      </c>
      <c r="S51" s="35">
        <v>35.1</v>
      </c>
      <c r="T51" s="4">
        <f t="shared" si="29"/>
        <v>1.1700000000000002</v>
      </c>
      <c r="U51" s="11">
        <v>30</v>
      </c>
      <c r="V51" s="35">
        <v>8</v>
      </c>
      <c r="W51" s="35">
        <v>8.5</v>
      </c>
      <c r="X51" s="4">
        <f t="shared" si="30"/>
        <v>1.0625</v>
      </c>
      <c r="Y51" s="11">
        <v>20</v>
      </c>
      <c r="Z51" s="35">
        <v>3500</v>
      </c>
      <c r="AA51" s="35">
        <v>3486</v>
      </c>
      <c r="AB51" s="4">
        <f t="shared" si="31"/>
        <v>0.996</v>
      </c>
      <c r="AC51" s="11">
        <v>5</v>
      </c>
      <c r="AD51" s="11">
        <v>897</v>
      </c>
      <c r="AE51" s="11">
        <v>892</v>
      </c>
      <c r="AF51" s="4">
        <f t="shared" si="32"/>
        <v>0.99442586399108135</v>
      </c>
      <c r="AG51" s="11">
        <v>20</v>
      </c>
      <c r="AH51" s="5" t="s">
        <v>362</v>
      </c>
      <c r="AI51" s="5" t="s">
        <v>362</v>
      </c>
      <c r="AJ51" s="5" t="s">
        <v>362</v>
      </c>
      <c r="AK51" s="5" t="s">
        <v>362</v>
      </c>
      <c r="AL51" s="5" t="s">
        <v>362</v>
      </c>
      <c r="AM51" s="5" t="s">
        <v>362</v>
      </c>
      <c r="AN51" s="5" t="s">
        <v>362</v>
      </c>
      <c r="AO51" s="5" t="s">
        <v>362</v>
      </c>
      <c r="AP51" s="44">
        <f t="shared" si="40"/>
        <v>1.0280488640782999</v>
      </c>
      <c r="AQ51" s="45">
        <v>1803</v>
      </c>
      <c r="AR51" s="35">
        <f t="shared" si="41"/>
        <v>491.72727272727275</v>
      </c>
      <c r="AS51" s="35">
        <f t="shared" si="33"/>
        <v>505.5</v>
      </c>
      <c r="AT51" s="35">
        <f t="shared" si="34"/>
        <v>13.772727272727252</v>
      </c>
      <c r="AU51" s="35">
        <v>176.5</v>
      </c>
      <c r="AV51" s="35">
        <v>127.9</v>
      </c>
      <c r="AW51" s="35">
        <f t="shared" si="35"/>
        <v>201.1</v>
      </c>
      <c r="AX51" s="35"/>
      <c r="AY51" s="35">
        <f t="shared" si="36"/>
        <v>201.1</v>
      </c>
      <c r="AZ51" s="35">
        <v>0</v>
      </c>
      <c r="BA51" s="35">
        <f t="shared" si="37"/>
        <v>201.1</v>
      </c>
      <c r="BB51" s="35"/>
      <c r="BC51" s="35">
        <f t="shared" si="38"/>
        <v>201.1</v>
      </c>
      <c r="BD51" s="35">
        <v>201.9</v>
      </c>
      <c r="BE51" s="35">
        <f t="shared" si="39"/>
        <v>-0.8</v>
      </c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10"/>
      <c r="CR51" s="9"/>
      <c r="CS51" s="9"/>
      <c r="CT51" s="9"/>
      <c r="CU51" s="9"/>
      <c r="CV51" s="9"/>
      <c r="CW51" s="9"/>
      <c r="CX51" s="9"/>
      <c r="CY51" s="9"/>
      <c r="CZ51" s="9"/>
      <c r="DA51" s="9"/>
      <c r="DB51" s="9"/>
      <c r="DC51" s="9"/>
      <c r="DD51" s="9"/>
      <c r="DE51" s="9"/>
      <c r="DF51" s="9"/>
      <c r="DG51" s="9"/>
      <c r="DH51" s="9"/>
      <c r="DI51" s="9"/>
      <c r="DJ51" s="9"/>
      <c r="DK51" s="9"/>
      <c r="DL51" s="9"/>
      <c r="DM51" s="9"/>
      <c r="DN51" s="9"/>
      <c r="DO51" s="9"/>
      <c r="DP51" s="9"/>
      <c r="DQ51" s="9"/>
      <c r="DR51" s="9"/>
      <c r="DS51" s="10"/>
      <c r="DT51" s="9"/>
      <c r="DU51" s="9"/>
      <c r="DV51" s="9"/>
      <c r="DW51" s="9"/>
      <c r="DX51" s="9"/>
      <c r="DY51" s="9"/>
      <c r="DZ51" s="9"/>
      <c r="EA51" s="9"/>
      <c r="EB51" s="9"/>
      <c r="EC51" s="9"/>
      <c r="ED51" s="9"/>
      <c r="EE51" s="9"/>
      <c r="EF51" s="9"/>
      <c r="EG51" s="9"/>
      <c r="EH51" s="9"/>
      <c r="EI51" s="9"/>
      <c r="EJ51" s="9"/>
      <c r="EK51" s="9"/>
      <c r="EL51" s="9"/>
      <c r="EM51" s="9"/>
      <c r="EN51" s="9"/>
      <c r="EO51" s="9"/>
      <c r="EP51" s="9"/>
      <c r="EQ51" s="9"/>
      <c r="ER51" s="9"/>
      <c r="ES51" s="9"/>
      <c r="ET51" s="9"/>
      <c r="EU51" s="10"/>
      <c r="EV51" s="9"/>
      <c r="EW51" s="9"/>
      <c r="EX51" s="9"/>
      <c r="EY51" s="9"/>
      <c r="EZ51" s="9"/>
      <c r="FA51" s="9"/>
      <c r="FB51" s="9"/>
      <c r="FC51" s="9"/>
      <c r="FD51" s="9"/>
      <c r="FE51" s="9"/>
      <c r="FF51" s="9"/>
      <c r="FG51" s="9"/>
      <c r="FH51" s="9"/>
      <c r="FI51" s="9"/>
      <c r="FJ51" s="9"/>
      <c r="FK51" s="9"/>
      <c r="FL51" s="9"/>
      <c r="FM51" s="9"/>
      <c r="FN51" s="9"/>
      <c r="FO51" s="9"/>
      <c r="FP51" s="9"/>
      <c r="FQ51" s="9"/>
      <c r="FR51" s="9"/>
      <c r="FS51" s="9"/>
      <c r="FT51" s="9"/>
      <c r="FU51" s="9"/>
      <c r="FV51" s="9"/>
      <c r="FW51" s="10"/>
      <c r="FX51" s="9"/>
      <c r="FY51" s="9"/>
      <c r="FZ51" s="9"/>
      <c r="GA51" s="9"/>
      <c r="GB51" s="9"/>
      <c r="GC51" s="9"/>
      <c r="GD51" s="9"/>
      <c r="GE51" s="9"/>
      <c r="GF51" s="9"/>
      <c r="GG51" s="9"/>
      <c r="GH51" s="9"/>
      <c r="GI51" s="9"/>
      <c r="GJ51" s="9"/>
      <c r="GK51" s="9"/>
      <c r="GL51" s="9"/>
      <c r="GM51" s="9"/>
      <c r="GN51" s="9"/>
      <c r="GO51" s="9"/>
      <c r="GP51" s="9"/>
      <c r="GQ51" s="9"/>
      <c r="GR51" s="9"/>
      <c r="GS51" s="9"/>
      <c r="GT51" s="9"/>
      <c r="GU51" s="9"/>
      <c r="GV51" s="9"/>
      <c r="GW51" s="9"/>
      <c r="GX51" s="9"/>
      <c r="GY51" s="10"/>
      <c r="GZ51" s="9"/>
      <c r="HA51" s="9"/>
    </row>
    <row r="52" spans="1:209" s="2" customFormat="1" ht="17" customHeight="1">
      <c r="A52" s="18" t="s">
        <v>51</v>
      </c>
      <c r="B52" s="6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35"/>
      <c r="AA52" s="35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35"/>
      <c r="BD52" s="35"/>
      <c r="BE52" s="35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10"/>
      <c r="CR52" s="9"/>
      <c r="CS52" s="9"/>
      <c r="CT52" s="9"/>
      <c r="CU52" s="9"/>
      <c r="CV52" s="9"/>
      <c r="CW52" s="9"/>
      <c r="CX52" s="9"/>
      <c r="CY52" s="9"/>
      <c r="CZ52" s="9"/>
      <c r="DA52" s="9"/>
      <c r="DB52" s="9"/>
      <c r="DC52" s="9"/>
      <c r="DD52" s="9"/>
      <c r="DE52" s="9"/>
      <c r="DF52" s="9"/>
      <c r="DG52" s="9"/>
      <c r="DH52" s="9"/>
      <c r="DI52" s="9"/>
      <c r="DJ52" s="9"/>
      <c r="DK52" s="9"/>
      <c r="DL52" s="9"/>
      <c r="DM52" s="9"/>
      <c r="DN52" s="9"/>
      <c r="DO52" s="9"/>
      <c r="DP52" s="9"/>
      <c r="DQ52" s="9"/>
      <c r="DR52" s="9"/>
      <c r="DS52" s="10"/>
      <c r="DT52" s="9"/>
      <c r="DU52" s="9"/>
      <c r="DV52" s="9"/>
      <c r="DW52" s="9"/>
      <c r="DX52" s="9"/>
      <c r="DY52" s="9"/>
      <c r="DZ52" s="9"/>
      <c r="EA52" s="9"/>
      <c r="EB52" s="9"/>
      <c r="EC52" s="9"/>
      <c r="ED52" s="9"/>
      <c r="EE52" s="9"/>
      <c r="EF52" s="9"/>
      <c r="EG52" s="9"/>
      <c r="EH52" s="9"/>
      <c r="EI52" s="9"/>
      <c r="EJ52" s="9"/>
      <c r="EK52" s="9"/>
      <c r="EL52" s="9"/>
      <c r="EM52" s="9"/>
      <c r="EN52" s="9"/>
      <c r="EO52" s="9"/>
      <c r="EP52" s="9"/>
      <c r="EQ52" s="9"/>
      <c r="ER52" s="9"/>
      <c r="ES52" s="9"/>
      <c r="ET52" s="9"/>
      <c r="EU52" s="10"/>
      <c r="EV52" s="9"/>
      <c r="EW52" s="9"/>
      <c r="EX52" s="9"/>
      <c r="EY52" s="9"/>
      <c r="EZ52" s="9"/>
      <c r="FA52" s="9"/>
      <c r="FB52" s="9"/>
      <c r="FC52" s="9"/>
      <c r="FD52" s="9"/>
      <c r="FE52" s="9"/>
      <c r="FF52" s="9"/>
      <c r="FG52" s="9"/>
      <c r="FH52" s="9"/>
      <c r="FI52" s="9"/>
      <c r="FJ52" s="9"/>
      <c r="FK52" s="9"/>
      <c r="FL52" s="9"/>
      <c r="FM52" s="9"/>
      <c r="FN52" s="9"/>
      <c r="FO52" s="9"/>
      <c r="FP52" s="9"/>
      <c r="FQ52" s="9"/>
      <c r="FR52" s="9"/>
      <c r="FS52" s="9"/>
      <c r="FT52" s="9"/>
      <c r="FU52" s="9"/>
      <c r="FV52" s="9"/>
      <c r="FW52" s="10"/>
      <c r="FX52" s="9"/>
      <c r="FY52" s="9"/>
      <c r="FZ52" s="9"/>
      <c r="GA52" s="9"/>
      <c r="GB52" s="9"/>
      <c r="GC52" s="9"/>
      <c r="GD52" s="9"/>
      <c r="GE52" s="9"/>
      <c r="GF52" s="9"/>
      <c r="GG52" s="9"/>
      <c r="GH52" s="9"/>
      <c r="GI52" s="9"/>
      <c r="GJ52" s="9"/>
      <c r="GK52" s="9"/>
      <c r="GL52" s="9"/>
      <c r="GM52" s="9"/>
      <c r="GN52" s="9"/>
      <c r="GO52" s="9"/>
      <c r="GP52" s="9"/>
      <c r="GQ52" s="9"/>
      <c r="GR52" s="9"/>
      <c r="GS52" s="9"/>
      <c r="GT52" s="9"/>
      <c r="GU52" s="9"/>
      <c r="GV52" s="9"/>
      <c r="GW52" s="9"/>
      <c r="GX52" s="9"/>
      <c r="GY52" s="10"/>
      <c r="GZ52" s="9"/>
      <c r="HA52" s="9"/>
    </row>
    <row r="53" spans="1:209" s="2" customFormat="1" ht="17" customHeight="1">
      <c r="A53" s="14" t="s">
        <v>52</v>
      </c>
      <c r="B53" s="35">
        <v>2771900</v>
      </c>
      <c r="C53" s="35">
        <v>2331882.7000000002</v>
      </c>
      <c r="D53" s="4">
        <f t="shared" si="27"/>
        <v>0.84125787366066607</v>
      </c>
      <c r="E53" s="11">
        <v>10</v>
      </c>
      <c r="F53" s="5" t="s">
        <v>362</v>
      </c>
      <c r="G53" s="5" t="s">
        <v>362</v>
      </c>
      <c r="H53" s="5" t="s">
        <v>362</v>
      </c>
      <c r="I53" s="5" t="s">
        <v>362</v>
      </c>
      <c r="J53" s="5" t="s">
        <v>362</v>
      </c>
      <c r="K53" s="5" t="s">
        <v>362</v>
      </c>
      <c r="L53" s="5" t="s">
        <v>362</v>
      </c>
      <c r="M53" s="5" t="s">
        <v>362</v>
      </c>
      <c r="N53" s="35">
        <v>9422.7000000000007</v>
      </c>
      <c r="O53" s="35">
        <v>9395.6</v>
      </c>
      <c r="P53" s="4">
        <f t="shared" si="28"/>
        <v>0.99712396659131664</v>
      </c>
      <c r="Q53" s="11">
        <v>20</v>
      </c>
      <c r="R53" s="35">
        <v>3</v>
      </c>
      <c r="S53" s="35">
        <v>3.3</v>
      </c>
      <c r="T53" s="4">
        <f t="shared" si="29"/>
        <v>1.0999999999999999</v>
      </c>
      <c r="U53" s="11">
        <v>25</v>
      </c>
      <c r="V53" s="35">
        <v>20.3</v>
      </c>
      <c r="W53" s="35">
        <v>20.7</v>
      </c>
      <c r="X53" s="4">
        <f t="shared" si="30"/>
        <v>1.0197044334975369</v>
      </c>
      <c r="Y53" s="11">
        <v>25</v>
      </c>
      <c r="Z53" s="35">
        <v>659506</v>
      </c>
      <c r="AA53" s="35">
        <v>568315</v>
      </c>
      <c r="AB53" s="4">
        <f t="shared" si="31"/>
        <v>0.86172832392730314</v>
      </c>
      <c r="AC53" s="11">
        <v>5</v>
      </c>
      <c r="AD53" s="11">
        <v>46</v>
      </c>
      <c r="AE53" s="11">
        <v>11</v>
      </c>
      <c r="AF53" s="4">
        <f t="shared" si="32"/>
        <v>0.2391304347826087</v>
      </c>
      <c r="AG53" s="11">
        <v>20</v>
      </c>
      <c r="AH53" s="5" t="s">
        <v>362</v>
      </c>
      <c r="AI53" s="5" t="s">
        <v>362</v>
      </c>
      <c r="AJ53" s="5" t="s">
        <v>362</v>
      </c>
      <c r="AK53" s="5" t="s">
        <v>362</v>
      </c>
      <c r="AL53" s="5" t="s">
        <v>362</v>
      </c>
      <c r="AM53" s="5" t="s">
        <v>362</v>
      </c>
      <c r="AN53" s="5" t="s">
        <v>362</v>
      </c>
      <c r="AO53" s="5" t="s">
        <v>362</v>
      </c>
      <c r="AP53" s="44">
        <f t="shared" si="40"/>
        <v>0.86132304020152484</v>
      </c>
      <c r="AQ53" s="45">
        <v>46</v>
      </c>
      <c r="AR53" s="35">
        <f t="shared" si="41"/>
        <v>12.545454545454545</v>
      </c>
      <c r="AS53" s="35">
        <f t="shared" si="33"/>
        <v>10.8</v>
      </c>
      <c r="AT53" s="35">
        <f t="shared" si="34"/>
        <v>-1.7454545454545443</v>
      </c>
      <c r="AU53" s="35">
        <v>4.0999999999999996</v>
      </c>
      <c r="AV53" s="35">
        <v>4.2</v>
      </c>
      <c r="AW53" s="35">
        <f t="shared" si="35"/>
        <v>2.5</v>
      </c>
      <c r="AX53" s="35"/>
      <c r="AY53" s="35">
        <f t="shared" si="36"/>
        <v>2.5</v>
      </c>
      <c r="AZ53" s="35">
        <v>0</v>
      </c>
      <c r="BA53" s="35">
        <f t="shared" si="37"/>
        <v>2.5</v>
      </c>
      <c r="BB53" s="35">
        <f>MIN(BA53,2.1)</f>
        <v>2.1</v>
      </c>
      <c r="BC53" s="35">
        <f t="shared" si="38"/>
        <v>0.4</v>
      </c>
      <c r="BD53" s="35">
        <v>0.4</v>
      </c>
      <c r="BE53" s="35">
        <f t="shared" si="39"/>
        <v>0</v>
      </c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10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9"/>
      <c r="DP53" s="9"/>
      <c r="DQ53" s="9"/>
      <c r="DR53" s="9"/>
      <c r="DS53" s="10"/>
      <c r="DT53" s="9"/>
      <c r="DU53" s="9"/>
      <c r="DV53" s="9"/>
      <c r="DW53" s="9"/>
      <c r="DX53" s="9"/>
      <c r="DY53" s="9"/>
      <c r="DZ53" s="9"/>
      <c r="EA53" s="9"/>
      <c r="EB53" s="9"/>
      <c r="EC53" s="9"/>
      <c r="ED53" s="9"/>
      <c r="EE53" s="9"/>
      <c r="EF53" s="9"/>
      <c r="EG53" s="9"/>
      <c r="EH53" s="9"/>
      <c r="EI53" s="9"/>
      <c r="EJ53" s="9"/>
      <c r="EK53" s="9"/>
      <c r="EL53" s="9"/>
      <c r="EM53" s="9"/>
      <c r="EN53" s="9"/>
      <c r="EO53" s="9"/>
      <c r="EP53" s="9"/>
      <c r="EQ53" s="9"/>
      <c r="ER53" s="9"/>
      <c r="ES53" s="9"/>
      <c r="ET53" s="9"/>
      <c r="EU53" s="10"/>
      <c r="EV53" s="9"/>
      <c r="EW53" s="9"/>
      <c r="EX53" s="9"/>
      <c r="EY53" s="9"/>
      <c r="EZ53" s="9"/>
      <c r="FA53" s="9"/>
      <c r="FB53" s="9"/>
      <c r="FC53" s="9"/>
      <c r="FD53" s="9"/>
      <c r="FE53" s="9"/>
      <c r="FF53" s="9"/>
      <c r="FG53" s="9"/>
      <c r="FH53" s="9"/>
      <c r="FI53" s="9"/>
      <c r="FJ53" s="9"/>
      <c r="FK53" s="9"/>
      <c r="FL53" s="9"/>
      <c r="FM53" s="9"/>
      <c r="FN53" s="9"/>
      <c r="FO53" s="9"/>
      <c r="FP53" s="9"/>
      <c r="FQ53" s="9"/>
      <c r="FR53" s="9"/>
      <c r="FS53" s="9"/>
      <c r="FT53" s="9"/>
      <c r="FU53" s="9"/>
      <c r="FV53" s="9"/>
      <c r="FW53" s="10"/>
      <c r="FX53" s="9"/>
      <c r="FY53" s="9"/>
      <c r="FZ53" s="9"/>
      <c r="GA53" s="9"/>
      <c r="GB53" s="9"/>
      <c r="GC53" s="9"/>
      <c r="GD53" s="9"/>
      <c r="GE53" s="9"/>
      <c r="GF53" s="9"/>
      <c r="GG53" s="9"/>
      <c r="GH53" s="9"/>
      <c r="GI53" s="9"/>
      <c r="GJ53" s="9"/>
      <c r="GK53" s="9"/>
      <c r="GL53" s="9"/>
      <c r="GM53" s="9"/>
      <c r="GN53" s="9"/>
      <c r="GO53" s="9"/>
      <c r="GP53" s="9"/>
      <c r="GQ53" s="9"/>
      <c r="GR53" s="9"/>
      <c r="GS53" s="9"/>
      <c r="GT53" s="9"/>
      <c r="GU53" s="9"/>
      <c r="GV53" s="9"/>
      <c r="GW53" s="9"/>
      <c r="GX53" s="9"/>
      <c r="GY53" s="10"/>
      <c r="GZ53" s="9"/>
      <c r="HA53" s="9"/>
    </row>
    <row r="54" spans="1:209" s="2" customFormat="1" ht="17" customHeight="1">
      <c r="A54" s="14" t="s">
        <v>53</v>
      </c>
      <c r="B54" s="35">
        <v>60</v>
      </c>
      <c r="C54" s="35">
        <v>100</v>
      </c>
      <c r="D54" s="4">
        <f t="shared" si="27"/>
        <v>1.2466666666666666</v>
      </c>
      <c r="E54" s="11">
        <v>10</v>
      </c>
      <c r="F54" s="5" t="s">
        <v>362</v>
      </c>
      <c r="G54" s="5" t="s">
        <v>362</v>
      </c>
      <c r="H54" s="5" t="s">
        <v>362</v>
      </c>
      <c r="I54" s="5" t="s">
        <v>362</v>
      </c>
      <c r="J54" s="5" t="s">
        <v>362</v>
      </c>
      <c r="K54" s="5" t="s">
        <v>362</v>
      </c>
      <c r="L54" s="5" t="s">
        <v>362</v>
      </c>
      <c r="M54" s="5" t="s">
        <v>362</v>
      </c>
      <c r="N54" s="35">
        <v>182.1</v>
      </c>
      <c r="O54" s="35">
        <v>104.2</v>
      </c>
      <c r="P54" s="4">
        <f t="shared" si="28"/>
        <v>0.57221306974190012</v>
      </c>
      <c r="Q54" s="11">
        <v>20</v>
      </c>
      <c r="R54" s="35">
        <v>0</v>
      </c>
      <c r="S54" s="35">
        <v>0</v>
      </c>
      <c r="T54" s="4">
        <f t="shared" si="29"/>
        <v>1</v>
      </c>
      <c r="U54" s="11">
        <v>20</v>
      </c>
      <c r="V54" s="35">
        <v>18</v>
      </c>
      <c r="W54" s="35">
        <v>18.100000000000001</v>
      </c>
      <c r="X54" s="4">
        <f t="shared" si="30"/>
        <v>1.0055555555555555</v>
      </c>
      <c r="Y54" s="11">
        <v>30</v>
      </c>
      <c r="Z54" s="35">
        <v>3285</v>
      </c>
      <c r="AA54" s="35">
        <v>1977</v>
      </c>
      <c r="AB54" s="4">
        <f t="shared" si="31"/>
        <v>0.60182648401826488</v>
      </c>
      <c r="AC54" s="11">
        <v>5</v>
      </c>
      <c r="AD54" s="11">
        <v>308</v>
      </c>
      <c r="AE54" s="11">
        <v>340</v>
      </c>
      <c r="AF54" s="4">
        <f t="shared" si="32"/>
        <v>1.1038961038961039</v>
      </c>
      <c r="AG54" s="11">
        <v>20</v>
      </c>
      <c r="AH54" s="5" t="s">
        <v>362</v>
      </c>
      <c r="AI54" s="5" t="s">
        <v>362</v>
      </c>
      <c r="AJ54" s="5" t="s">
        <v>362</v>
      </c>
      <c r="AK54" s="5" t="s">
        <v>362</v>
      </c>
      <c r="AL54" s="5" t="s">
        <v>362</v>
      </c>
      <c r="AM54" s="5" t="s">
        <v>362</v>
      </c>
      <c r="AN54" s="5" t="s">
        <v>362</v>
      </c>
      <c r="AO54" s="5" t="s">
        <v>362</v>
      </c>
      <c r="AP54" s="44">
        <f t="shared" si="40"/>
        <v>0.94442523072556894</v>
      </c>
      <c r="AQ54" s="45">
        <v>485</v>
      </c>
      <c r="AR54" s="35">
        <f t="shared" si="41"/>
        <v>132.27272727272728</v>
      </c>
      <c r="AS54" s="35">
        <f t="shared" si="33"/>
        <v>124.9</v>
      </c>
      <c r="AT54" s="35">
        <f t="shared" si="34"/>
        <v>-7.3727272727272748</v>
      </c>
      <c r="AU54" s="35">
        <v>40.799999999999997</v>
      </c>
      <c r="AV54" s="35">
        <v>43.4</v>
      </c>
      <c r="AW54" s="35">
        <f t="shared" si="35"/>
        <v>40.700000000000003</v>
      </c>
      <c r="AX54" s="35"/>
      <c r="AY54" s="35">
        <f t="shared" si="36"/>
        <v>40.700000000000003</v>
      </c>
      <c r="AZ54" s="35">
        <v>0</v>
      </c>
      <c r="BA54" s="35">
        <f t="shared" si="37"/>
        <v>40.700000000000003</v>
      </c>
      <c r="BB54" s="35"/>
      <c r="BC54" s="35">
        <f t="shared" si="38"/>
        <v>40.700000000000003</v>
      </c>
      <c r="BD54" s="35">
        <v>43</v>
      </c>
      <c r="BE54" s="35">
        <f t="shared" si="39"/>
        <v>-2.2999999999999998</v>
      </c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10"/>
      <c r="CR54" s="9"/>
      <c r="CS54" s="9"/>
      <c r="CT54" s="9"/>
      <c r="CU54" s="9"/>
      <c r="CV54" s="9"/>
      <c r="CW54" s="9"/>
      <c r="CX54" s="9"/>
      <c r="CY54" s="9"/>
      <c r="CZ54" s="9"/>
      <c r="DA54" s="9"/>
      <c r="DB54" s="9"/>
      <c r="DC54" s="9"/>
      <c r="DD54" s="9"/>
      <c r="DE54" s="9"/>
      <c r="DF54" s="9"/>
      <c r="DG54" s="9"/>
      <c r="DH54" s="9"/>
      <c r="DI54" s="9"/>
      <c r="DJ54" s="9"/>
      <c r="DK54" s="9"/>
      <c r="DL54" s="9"/>
      <c r="DM54" s="9"/>
      <c r="DN54" s="9"/>
      <c r="DO54" s="9"/>
      <c r="DP54" s="9"/>
      <c r="DQ54" s="9"/>
      <c r="DR54" s="9"/>
      <c r="DS54" s="10"/>
      <c r="DT54" s="9"/>
      <c r="DU54" s="9"/>
      <c r="DV54" s="9"/>
      <c r="DW54" s="9"/>
      <c r="DX54" s="9"/>
      <c r="DY54" s="9"/>
      <c r="DZ54" s="9"/>
      <c r="EA54" s="9"/>
      <c r="EB54" s="9"/>
      <c r="EC54" s="9"/>
      <c r="ED54" s="9"/>
      <c r="EE54" s="9"/>
      <c r="EF54" s="9"/>
      <c r="EG54" s="9"/>
      <c r="EH54" s="9"/>
      <c r="EI54" s="9"/>
      <c r="EJ54" s="9"/>
      <c r="EK54" s="9"/>
      <c r="EL54" s="9"/>
      <c r="EM54" s="9"/>
      <c r="EN54" s="9"/>
      <c r="EO54" s="9"/>
      <c r="EP54" s="9"/>
      <c r="EQ54" s="9"/>
      <c r="ER54" s="9"/>
      <c r="ES54" s="9"/>
      <c r="ET54" s="9"/>
      <c r="EU54" s="10"/>
      <c r="EV54" s="9"/>
      <c r="EW54" s="9"/>
      <c r="EX54" s="9"/>
      <c r="EY54" s="9"/>
      <c r="EZ54" s="9"/>
      <c r="FA54" s="9"/>
      <c r="FB54" s="9"/>
      <c r="FC54" s="9"/>
      <c r="FD54" s="9"/>
      <c r="FE54" s="9"/>
      <c r="FF54" s="9"/>
      <c r="FG54" s="9"/>
      <c r="FH54" s="9"/>
      <c r="FI54" s="9"/>
      <c r="FJ54" s="9"/>
      <c r="FK54" s="9"/>
      <c r="FL54" s="9"/>
      <c r="FM54" s="9"/>
      <c r="FN54" s="9"/>
      <c r="FO54" s="9"/>
      <c r="FP54" s="9"/>
      <c r="FQ54" s="9"/>
      <c r="FR54" s="9"/>
      <c r="FS54" s="9"/>
      <c r="FT54" s="9"/>
      <c r="FU54" s="9"/>
      <c r="FV54" s="9"/>
      <c r="FW54" s="10"/>
      <c r="FX54" s="9"/>
      <c r="FY54" s="9"/>
      <c r="FZ54" s="9"/>
      <c r="GA54" s="9"/>
      <c r="GB54" s="9"/>
      <c r="GC54" s="9"/>
      <c r="GD54" s="9"/>
      <c r="GE54" s="9"/>
      <c r="GF54" s="9"/>
      <c r="GG54" s="9"/>
      <c r="GH54" s="9"/>
      <c r="GI54" s="9"/>
      <c r="GJ54" s="9"/>
      <c r="GK54" s="9"/>
      <c r="GL54" s="9"/>
      <c r="GM54" s="9"/>
      <c r="GN54" s="9"/>
      <c r="GO54" s="9"/>
      <c r="GP54" s="9"/>
      <c r="GQ54" s="9"/>
      <c r="GR54" s="9"/>
      <c r="GS54" s="9"/>
      <c r="GT54" s="9"/>
      <c r="GU54" s="9"/>
      <c r="GV54" s="9"/>
      <c r="GW54" s="9"/>
      <c r="GX54" s="9"/>
      <c r="GY54" s="10"/>
      <c r="GZ54" s="9"/>
      <c r="HA54" s="9"/>
    </row>
    <row r="55" spans="1:209" s="2" customFormat="1" ht="17" customHeight="1">
      <c r="A55" s="14" t="s">
        <v>54</v>
      </c>
      <c r="B55" s="35">
        <v>0</v>
      </c>
      <c r="C55" s="35">
        <v>0</v>
      </c>
      <c r="D55" s="4">
        <f t="shared" si="27"/>
        <v>0</v>
      </c>
      <c r="E55" s="11">
        <v>0</v>
      </c>
      <c r="F55" s="5" t="s">
        <v>362</v>
      </c>
      <c r="G55" s="5" t="s">
        <v>362</v>
      </c>
      <c r="H55" s="5" t="s">
        <v>362</v>
      </c>
      <c r="I55" s="5" t="s">
        <v>362</v>
      </c>
      <c r="J55" s="5" t="s">
        <v>362</v>
      </c>
      <c r="K55" s="5" t="s">
        <v>362</v>
      </c>
      <c r="L55" s="5" t="s">
        <v>362</v>
      </c>
      <c r="M55" s="5" t="s">
        <v>362</v>
      </c>
      <c r="N55" s="35">
        <v>419.4</v>
      </c>
      <c r="O55" s="35">
        <v>1470.7</v>
      </c>
      <c r="P55" s="4">
        <f t="shared" si="28"/>
        <v>1.3</v>
      </c>
      <c r="Q55" s="11">
        <v>20</v>
      </c>
      <c r="R55" s="35">
        <v>0</v>
      </c>
      <c r="S55" s="35">
        <v>0</v>
      </c>
      <c r="T55" s="4">
        <f t="shared" si="29"/>
        <v>1</v>
      </c>
      <c r="U55" s="11">
        <v>30</v>
      </c>
      <c r="V55" s="35">
        <v>8.5</v>
      </c>
      <c r="W55" s="35">
        <v>8.9</v>
      </c>
      <c r="X55" s="4">
        <f t="shared" si="30"/>
        <v>1.0470588235294118</v>
      </c>
      <c r="Y55" s="11">
        <v>20</v>
      </c>
      <c r="Z55" s="35">
        <v>13142</v>
      </c>
      <c r="AA55" s="35">
        <v>10581</v>
      </c>
      <c r="AB55" s="4">
        <f t="shared" si="31"/>
        <v>0.8051285953431746</v>
      </c>
      <c r="AC55" s="11">
        <v>5</v>
      </c>
      <c r="AD55" s="11">
        <v>101</v>
      </c>
      <c r="AE55" s="11">
        <v>120</v>
      </c>
      <c r="AF55" s="4">
        <f t="shared" si="32"/>
        <v>1.1881188118811881</v>
      </c>
      <c r="AG55" s="11">
        <v>20</v>
      </c>
      <c r="AH55" s="5" t="s">
        <v>362</v>
      </c>
      <c r="AI55" s="5" t="s">
        <v>362</v>
      </c>
      <c r="AJ55" s="5" t="s">
        <v>362</v>
      </c>
      <c r="AK55" s="5" t="s">
        <v>362</v>
      </c>
      <c r="AL55" s="5" t="s">
        <v>362</v>
      </c>
      <c r="AM55" s="5" t="s">
        <v>362</v>
      </c>
      <c r="AN55" s="5" t="s">
        <v>362</v>
      </c>
      <c r="AO55" s="5" t="s">
        <v>362</v>
      </c>
      <c r="AP55" s="44">
        <f t="shared" si="40"/>
        <v>1.1024125861571354</v>
      </c>
      <c r="AQ55" s="45">
        <v>521</v>
      </c>
      <c r="AR55" s="35">
        <f t="shared" si="41"/>
        <v>142.09090909090909</v>
      </c>
      <c r="AS55" s="35">
        <f t="shared" si="33"/>
        <v>156.6</v>
      </c>
      <c r="AT55" s="35">
        <f t="shared" si="34"/>
        <v>14.509090909090901</v>
      </c>
      <c r="AU55" s="35">
        <v>51.2</v>
      </c>
      <c r="AV55" s="35">
        <v>52.3</v>
      </c>
      <c r="AW55" s="35">
        <f t="shared" si="35"/>
        <v>53.1</v>
      </c>
      <c r="AX55" s="35"/>
      <c r="AY55" s="35">
        <f t="shared" si="36"/>
        <v>53.1</v>
      </c>
      <c r="AZ55" s="35">
        <v>0</v>
      </c>
      <c r="BA55" s="35">
        <f t="shared" si="37"/>
        <v>53.1</v>
      </c>
      <c r="BB55" s="35"/>
      <c r="BC55" s="35">
        <f t="shared" si="38"/>
        <v>53.1</v>
      </c>
      <c r="BD55" s="35">
        <v>55.5</v>
      </c>
      <c r="BE55" s="35">
        <f t="shared" si="39"/>
        <v>-2.4</v>
      </c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10"/>
      <c r="CR55" s="9"/>
      <c r="CS55" s="9"/>
      <c r="CT55" s="9"/>
      <c r="CU55" s="9"/>
      <c r="CV55" s="9"/>
      <c r="CW55" s="9"/>
      <c r="CX55" s="9"/>
      <c r="CY55" s="9"/>
      <c r="CZ55" s="9"/>
      <c r="DA55" s="9"/>
      <c r="DB55" s="9"/>
      <c r="DC55" s="9"/>
      <c r="DD55" s="9"/>
      <c r="DE55" s="9"/>
      <c r="DF55" s="9"/>
      <c r="DG55" s="9"/>
      <c r="DH55" s="9"/>
      <c r="DI55" s="9"/>
      <c r="DJ55" s="9"/>
      <c r="DK55" s="9"/>
      <c r="DL55" s="9"/>
      <c r="DM55" s="9"/>
      <c r="DN55" s="9"/>
      <c r="DO55" s="9"/>
      <c r="DP55" s="9"/>
      <c r="DQ55" s="9"/>
      <c r="DR55" s="9"/>
      <c r="DS55" s="10"/>
      <c r="DT55" s="9"/>
      <c r="DU55" s="9"/>
      <c r="DV55" s="9"/>
      <c r="DW55" s="9"/>
      <c r="DX55" s="9"/>
      <c r="DY55" s="9"/>
      <c r="DZ55" s="9"/>
      <c r="EA55" s="9"/>
      <c r="EB55" s="9"/>
      <c r="EC55" s="9"/>
      <c r="ED55" s="9"/>
      <c r="EE55" s="9"/>
      <c r="EF55" s="9"/>
      <c r="EG55" s="9"/>
      <c r="EH55" s="9"/>
      <c r="EI55" s="9"/>
      <c r="EJ55" s="9"/>
      <c r="EK55" s="9"/>
      <c r="EL55" s="9"/>
      <c r="EM55" s="9"/>
      <c r="EN55" s="9"/>
      <c r="EO55" s="9"/>
      <c r="EP55" s="9"/>
      <c r="EQ55" s="9"/>
      <c r="ER55" s="9"/>
      <c r="ES55" s="9"/>
      <c r="ET55" s="9"/>
      <c r="EU55" s="10"/>
      <c r="EV55" s="9"/>
      <c r="EW55" s="9"/>
      <c r="EX55" s="9"/>
      <c r="EY55" s="9"/>
      <c r="EZ55" s="9"/>
      <c r="FA55" s="9"/>
      <c r="FB55" s="9"/>
      <c r="FC55" s="9"/>
      <c r="FD55" s="9"/>
      <c r="FE55" s="9"/>
      <c r="FF55" s="9"/>
      <c r="FG55" s="9"/>
      <c r="FH55" s="9"/>
      <c r="FI55" s="9"/>
      <c r="FJ55" s="9"/>
      <c r="FK55" s="9"/>
      <c r="FL55" s="9"/>
      <c r="FM55" s="9"/>
      <c r="FN55" s="9"/>
      <c r="FO55" s="9"/>
      <c r="FP55" s="9"/>
      <c r="FQ55" s="9"/>
      <c r="FR55" s="9"/>
      <c r="FS55" s="9"/>
      <c r="FT55" s="9"/>
      <c r="FU55" s="9"/>
      <c r="FV55" s="9"/>
      <c r="FW55" s="10"/>
      <c r="FX55" s="9"/>
      <c r="FY55" s="9"/>
      <c r="FZ55" s="9"/>
      <c r="GA55" s="9"/>
      <c r="GB55" s="9"/>
      <c r="GC55" s="9"/>
      <c r="GD55" s="9"/>
      <c r="GE55" s="9"/>
      <c r="GF55" s="9"/>
      <c r="GG55" s="9"/>
      <c r="GH55" s="9"/>
      <c r="GI55" s="9"/>
      <c r="GJ55" s="9"/>
      <c r="GK55" s="9"/>
      <c r="GL55" s="9"/>
      <c r="GM55" s="9"/>
      <c r="GN55" s="9"/>
      <c r="GO55" s="9"/>
      <c r="GP55" s="9"/>
      <c r="GQ55" s="9"/>
      <c r="GR55" s="9"/>
      <c r="GS55" s="9"/>
      <c r="GT55" s="9"/>
      <c r="GU55" s="9"/>
      <c r="GV55" s="9"/>
      <c r="GW55" s="9"/>
      <c r="GX55" s="9"/>
      <c r="GY55" s="10"/>
      <c r="GZ55" s="9"/>
      <c r="HA55" s="9"/>
    </row>
    <row r="56" spans="1:209" s="2" customFormat="1" ht="17" customHeight="1">
      <c r="A56" s="14" t="s">
        <v>55</v>
      </c>
      <c r="B56" s="35">
        <v>0</v>
      </c>
      <c r="C56" s="35">
        <v>0</v>
      </c>
      <c r="D56" s="4">
        <f t="shared" si="27"/>
        <v>0</v>
      </c>
      <c r="E56" s="11">
        <v>0</v>
      </c>
      <c r="F56" s="5" t="s">
        <v>362</v>
      </c>
      <c r="G56" s="5" t="s">
        <v>362</v>
      </c>
      <c r="H56" s="5" t="s">
        <v>362</v>
      </c>
      <c r="I56" s="5" t="s">
        <v>362</v>
      </c>
      <c r="J56" s="5" t="s">
        <v>362</v>
      </c>
      <c r="K56" s="5" t="s">
        <v>362</v>
      </c>
      <c r="L56" s="5" t="s">
        <v>362</v>
      </c>
      <c r="M56" s="5" t="s">
        <v>362</v>
      </c>
      <c r="N56" s="35">
        <v>487.9</v>
      </c>
      <c r="O56" s="35">
        <v>370.5</v>
      </c>
      <c r="P56" s="4">
        <f t="shared" si="28"/>
        <v>0.75937692150030744</v>
      </c>
      <c r="Q56" s="11">
        <v>20</v>
      </c>
      <c r="R56" s="35">
        <v>315</v>
      </c>
      <c r="S56" s="35">
        <v>297.60000000000002</v>
      </c>
      <c r="T56" s="4">
        <f t="shared" si="29"/>
        <v>0.9447619047619048</v>
      </c>
      <c r="U56" s="11">
        <v>25</v>
      </c>
      <c r="V56" s="35">
        <v>24</v>
      </c>
      <c r="W56" s="35">
        <v>24.5</v>
      </c>
      <c r="X56" s="4">
        <f t="shared" si="30"/>
        <v>1.0208333333333333</v>
      </c>
      <c r="Y56" s="11">
        <v>25</v>
      </c>
      <c r="Z56" s="35">
        <v>5841</v>
      </c>
      <c r="AA56" s="35">
        <v>3916</v>
      </c>
      <c r="AB56" s="4">
        <f t="shared" si="31"/>
        <v>0.6704331450094162</v>
      </c>
      <c r="AC56" s="11">
        <v>5</v>
      </c>
      <c r="AD56" s="11">
        <v>445</v>
      </c>
      <c r="AE56" s="11">
        <v>590</v>
      </c>
      <c r="AF56" s="4">
        <f t="shared" si="32"/>
        <v>1.2125842696629212</v>
      </c>
      <c r="AG56" s="11">
        <v>20</v>
      </c>
      <c r="AH56" s="5" t="s">
        <v>362</v>
      </c>
      <c r="AI56" s="5" t="s">
        <v>362</v>
      </c>
      <c r="AJ56" s="5" t="s">
        <v>362</v>
      </c>
      <c r="AK56" s="5" t="s">
        <v>362</v>
      </c>
      <c r="AL56" s="5" t="s">
        <v>362</v>
      </c>
      <c r="AM56" s="5" t="s">
        <v>362</v>
      </c>
      <c r="AN56" s="5" t="s">
        <v>362</v>
      </c>
      <c r="AO56" s="5" t="s">
        <v>362</v>
      </c>
      <c r="AP56" s="44">
        <f t="shared" si="40"/>
        <v>0.96769758421781704</v>
      </c>
      <c r="AQ56" s="45">
        <v>1046</v>
      </c>
      <c r="AR56" s="35">
        <f t="shared" si="41"/>
        <v>285.27272727272725</v>
      </c>
      <c r="AS56" s="35">
        <f t="shared" si="33"/>
        <v>276.10000000000002</v>
      </c>
      <c r="AT56" s="35">
        <f t="shared" si="34"/>
        <v>-9.1727272727272293</v>
      </c>
      <c r="AU56" s="35">
        <v>87.5</v>
      </c>
      <c r="AV56" s="35">
        <v>85.6</v>
      </c>
      <c r="AW56" s="35">
        <f t="shared" si="35"/>
        <v>103</v>
      </c>
      <c r="AX56" s="35"/>
      <c r="AY56" s="35">
        <f t="shared" si="36"/>
        <v>103</v>
      </c>
      <c r="AZ56" s="35">
        <v>0</v>
      </c>
      <c r="BA56" s="35">
        <f t="shared" si="37"/>
        <v>103</v>
      </c>
      <c r="BB56" s="35"/>
      <c r="BC56" s="35">
        <f t="shared" si="38"/>
        <v>103</v>
      </c>
      <c r="BD56" s="35">
        <v>107.7</v>
      </c>
      <c r="BE56" s="35">
        <f t="shared" si="39"/>
        <v>-4.7</v>
      </c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10"/>
      <c r="CR56" s="9"/>
      <c r="CS56" s="9"/>
      <c r="CT56" s="9"/>
      <c r="CU56" s="9"/>
      <c r="CV56" s="9"/>
      <c r="CW56" s="9"/>
      <c r="CX56" s="9"/>
      <c r="CY56" s="9"/>
      <c r="CZ56" s="9"/>
      <c r="DA56" s="9"/>
      <c r="DB56" s="9"/>
      <c r="DC56" s="9"/>
      <c r="DD56" s="9"/>
      <c r="DE56" s="9"/>
      <c r="DF56" s="9"/>
      <c r="DG56" s="9"/>
      <c r="DH56" s="9"/>
      <c r="DI56" s="9"/>
      <c r="DJ56" s="9"/>
      <c r="DK56" s="9"/>
      <c r="DL56" s="9"/>
      <c r="DM56" s="9"/>
      <c r="DN56" s="9"/>
      <c r="DO56" s="9"/>
      <c r="DP56" s="9"/>
      <c r="DQ56" s="9"/>
      <c r="DR56" s="9"/>
      <c r="DS56" s="10"/>
      <c r="DT56" s="9"/>
      <c r="DU56" s="9"/>
      <c r="DV56" s="9"/>
      <c r="DW56" s="9"/>
      <c r="DX56" s="9"/>
      <c r="DY56" s="9"/>
      <c r="DZ56" s="9"/>
      <c r="EA56" s="9"/>
      <c r="EB56" s="9"/>
      <c r="EC56" s="9"/>
      <c r="ED56" s="9"/>
      <c r="EE56" s="9"/>
      <c r="EF56" s="9"/>
      <c r="EG56" s="9"/>
      <c r="EH56" s="9"/>
      <c r="EI56" s="9"/>
      <c r="EJ56" s="9"/>
      <c r="EK56" s="9"/>
      <c r="EL56" s="9"/>
      <c r="EM56" s="9"/>
      <c r="EN56" s="9"/>
      <c r="EO56" s="9"/>
      <c r="EP56" s="9"/>
      <c r="EQ56" s="9"/>
      <c r="ER56" s="9"/>
      <c r="ES56" s="9"/>
      <c r="ET56" s="9"/>
      <c r="EU56" s="10"/>
      <c r="EV56" s="9"/>
      <c r="EW56" s="9"/>
      <c r="EX56" s="9"/>
      <c r="EY56" s="9"/>
      <c r="EZ56" s="9"/>
      <c r="FA56" s="9"/>
      <c r="FB56" s="9"/>
      <c r="FC56" s="9"/>
      <c r="FD56" s="9"/>
      <c r="FE56" s="9"/>
      <c r="FF56" s="9"/>
      <c r="FG56" s="9"/>
      <c r="FH56" s="9"/>
      <c r="FI56" s="9"/>
      <c r="FJ56" s="9"/>
      <c r="FK56" s="9"/>
      <c r="FL56" s="9"/>
      <c r="FM56" s="9"/>
      <c r="FN56" s="9"/>
      <c r="FO56" s="9"/>
      <c r="FP56" s="9"/>
      <c r="FQ56" s="9"/>
      <c r="FR56" s="9"/>
      <c r="FS56" s="9"/>
      <c r="FT56" s="9"/>
      <c r="FU56" s="9"/>
      <c r="FV56" s="9"/>
      <c r="FW56" s="10"/>
      <c r="FX56" s="9"/>
      <c r="FY56" s="9"/>
      <c r="FZ56" s="9"/>
      <c r="GA56" s="9"/>
      <c r="GB56" s="9"/>
      <c r="GC56" s="9"/>
      <c r="GD56" s="9"/>
      <c r="GE56" s="9"/>
      <c r="GF56" s="9"/>
      <c r="GG56" s="9"/>
      <c r="GH56" s="9"/>
      <c r="GI56" s="9"/>
      <c r="GJ56" s="9"/>
      <c r="GK56" s="9"/>
      <c r="GL56" s="9"/>
      <c r="GM56" s="9"/>
      <c r="GN56" s="9"/>
      <c r="GO56" s="9"/>
      <c r="GP56" s="9"/>
      <c r="GQ56" s="9"/>
      <c r="GR56" s="9"/>
      <c r="GS56" s="9"/>
      <c r="GT56" s="9"/>
      <c r="GU56" s="9"/>
      <c r="GV56" s="9"/>
      <c r="GW56" s="9"/>
      <c r="GX56" s="9"/>
      <c r="GY56" s="10"/>
      <c r="GZ56" s="9"/>
      <c r="HA56" s="9"/>
    </row>
    <row r="57" spans="1:209" s="2" customFormat="1" ht="17" customHeight="1">
      <c r="A57" s="14" t="s">
        <v>56</v>
      </c>
      <c r="B57" s="35">
        <v>0</v>
      </c>
      <c r="C57" s="35">
        <v>0</v>
      </c>
      <c r="D57" s="4">
        <f t="shared" si="27"/>
        <v>0</v>
      </c>
      <c r="E57" s="11">
        <v>0</v>
      </c>
      <c r="F57" s="5" t="s">
        <v>362</v>
      </c>
      <c r="G57" s="5" t="s">
        <v>362</v>
      </c>
      <c r="H57" s="5" t="s">
        <v>362</v>
      </c>
      <c r="I57" s="5" t="s">
        <v>362</v>
      </c>
      <c r="J57" s="5" t="s">
        <v>362</v>
      </c>
      <c r="K57" s="5" t="s">
        <v>362</v>
      </c>
      <c r="L57" s="5" t="s">
        <v>362</v>
      </c>
      <c r="M57" s="5" t="s">
        <v>362</v>
      </c>
      <c r="N57" s="35">
        <v>372.2</v>
      </c>
      <c r="O57" s="35">
        <v>272.3</v>
      </c>
      <c r="P57" s="4">
        <f t="shared" si="28"/>
        <v>0.73159591617410002</v>
      </c>
      <c r="Q57" s="11">
        <v>20</v>
      </c>
      <c r="R57" s="35">
        <v>943</v>
      </c>
      <c r="S57" s="35">
        <v>1018.7</v>
      </c>
      <c r="T57" s="4">
        <f t="shared" si="29"/>
        <v>1.0802757158006364</v>
      </c>
      <c r="U57" s="11">
        <v>30</v>
      </c>
      <c r="V57" s="35">
        <v>30</v>
      </c>
      <c r="W57" s="35">
        <v>32.700000000000003</v>
      </c>
      <c r="X57" s="4">
        <f t="shared" si="30"/>
        <v>1.0900000000000001</v>
      </c>
      <c r="Y57" s="11">
        <v>20</v>
      </c>
      <c r="Z57" s="35">
        <v>1660</v>
      </c>
      <c r="AA57" s="35">
        <v>2307</v>
      </c>
      <c r="AB57" s="4">
        <f t="shared" si="31"/>
        <v>1.2189759036144578</v>
      </c>
      <c r="AC57" s="11">
        <v>5</v>
      </c>
      <c r="AD57" s="11">
        <v>889</v>
      </c>
      <c r="AE57" s="11">
        <v>968</v>
      </c>
      <c r="AF57" s="4">
        <f t="shared" si="32"/>
        <v>1.0888638920134983</v>
      </c>
      <c r="AG57" s="11">
        <v>20</v>
      </c>
      <c r="AH57" s="5" t="s">
        <v>362</v>
      </c>
      <c r="AI57" s="5" t="s">
        <v>362</v>
      </c>
      <c r="AJ57" s="5" t="s">
        <v>362</v>
      </c>
      <c r="AK57" s="5" t="s">
        <v>362</v>
      </c>
      <c r="AL57" s="5" t="s">
        <v>362</v>
      </c>
      <c r="AM57" s="5" t="s">
        <v>362</v>
      </c>
      <c r="AN57" s="5" t="s">
        <v>362</v>
      </c>
      <c r="AO57" s="5" t="s">
        <v>362</v>
      </c>
      <c r="AP57" s="44">
        <f t="shared" si="40"/>
        <v>1.0180247069036144</v>
      </c>
      <c r="AQ57" s="45">
        <v>1073</v>
      </c>
      <c r="AR57" s="35">
        <f t="shared" si="41"/>
        <v>292.63636363636363</v>
      </c>
      <c r="AS57" s="35">
        <f t="shared" si="33"/>
        <v>297.89999999999998</v>
      </c>
      <c r="AT57" s="35">
        <f t="shared" si="34"/>
        <v>5.2636363636363512</v>
      </c>
      <c r="AU57" s="35">
        <v>83.3</v>
      </c>
      <c r="AV57" s="35">
        <v>97.3</v>
      </c>
      <c r="AW57" s="35">
        <f t="shared" si="35"/>
        <v>117.3</v>
      </c>
      <c r="AX57" s="35"/>
      <c r="AY57" s="35">
        <f t="shared" si="36"/>
        <v>117.3</v>
      </c>
      <c r="AZ57" s="35">
        <v>0</v>
      </c>
      <c r="BA57" s="35">
        <f t="shared" si="37"/>
        <v>117.3</v>
      </c>
      <c r="BB57" s="35">
        <f>MIN(BA57,19.7)</f>
        <v>19.7</v>
      </c>
      <c r="BC57" s="35">
        <f t="shared" si="38"/>
        <v>97.6</v>
      </c>
      <c r="BD57" s="35">
        <v>94.3</v>
      </c>
      <c r="BE57" s="35">
        <f t="shared" si="39"/>
        <v>3.3</v>
      </c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10"/>
      <c r="CR57" s="9"/>
      <c r="CS57" s="9"/>
      <c r="CT57" s="9"/>
      <c r="CU57" s="9"/>
      <c r="CV57" s="9"/>
      <c r="CW57" s="9"/>
      <c r="CX57" s="9"/>
      <c r="CY57" s="9"/>
      <c r="CZ57" s="9"/>
      <c r="DA57" s="9"/>
      <c r="DB57" s="9"/>
      <c r="DC57" s="9"/>
      <c r="DD57" s="9"/>
      <c r="DE57" s="9"/>
      <c r="DF57" s="9"/>
      <c r="DG57" s="9"/>
      <c r="DH57" s="9"/>
      <c r="DI57" s="9"/>
      <c r="DJ57" s="9"/>
      <c r="DK57" s="9"/>
      <c r="DL57" s="9"/>
      <c r="DM57" s="9"/>
      <c r="DN57" s="9"/>
      <c r="DO57" s="9"/>
      <c r="DP57" s="9"/>
      <c r="DQ57" s="9"/>
      <c r="DR57" s="9"/>
      <c r="DS57" s="10"/>
      <c r="DT57" s="9"/>
      <c r="DU57" s="9"/>
      <c r="DV57" s="9"/>
      <c r="DW57" s="9"/>
      <c r="DX57" s="9"/>
      <c r="DY57" s="9"/>
      <c r="DZ57" s="9"/>
      <c r="EA57" s="9"/>
      <c r="EB57" s="9"/>
      <c r="EC57" s="9"/>
      <c r="ED57" s="9"/>
      <c r="EE57" s="9"/>
      <c r="EF57" s="9"/>
      <c r="EG57" s="9"/>
      <c r="EH57" s="9"/>
      <c r="EI57" s="9"/>
      <c r="EJ57" s="9"/>
      <c r="EK57" s="9"/>
      <c r="EL57" s="9"/>
      <c r="EM57" s="9"/>
      <c r="EN57" s="9"/>
      <c r="EO57" s="9"/>
      <c r="EP57" s="9"/>
      <c r="EQ57" s="9"/>
      <c r="ER57" s="9"/>
      <c r="ES57" s="9"/>
      <c r="ET57" s="9"/>
      <c r="EU57" s="10"/>
      <c r="EV57" s="9"/>
      <c r="EW57" s="9"/>
      <c r="EX57" s="9"/>
      <c r="EY57" s="9"/>
      <c r="EZ57" s="9"/>
      <c r="FA57" s="9"/>
      <c r="FB57" s="9"/>
      <c r="FC57" s="9"/>
      <c r="FD57" s="9"/>
      <c r="FE57" s="9"/>
      <c r="FF57" s="9"/>
      <c r="FG57" s="9"/>
      <c r="FH57" s="9"/>
      <c r="FI57" s="9"/>
      <c r="FJ57" s="9"/>
      <c r="FK57" s="9"/>
      <c r="FL57" s="9"/>
      <c r="FM57" s="9"/>
      <c r="FN57" s="9"/>
      <c r="FO57" s="9"/>
      <c r="FP57" s="9"/>
      <c r="FQ57" s="9"/>
      <c r="FR57" s="9"/>
      <c r="FS57" s="9"/>
      <c r="FT57" s="9"/>
      <c r="FU57" s="9"/>
      <c r="FV57" s="9"/>
      <c r="FW57" s="10"/>
      <c r="FX57" s="9"/>
      <c r="FY57" s="9"/>
      <c r="FZ57" s="9"/>
      <c r="GA57" s="9"/>
      <c r="GB57" s="9"/>
      <c r="GC57" s="9"/>
      <c r="GD57" s="9"/>
      <c r="GE57" s="9"/>
      <c r="GF57" s="9"/>
      <c r="GG57" s="9"/>
      <c r="GH57" s="9"/>
      <c r="GI57" s="9"/>
      <c r="GJ57" s="9"/>
      <c r="GK57" s="9"/>
      <c r="GL57" s="9"/>
      <c r="GM57" s="9"/>
      <c r="GN57" s="9"/>
      <c r="GO57" s="9"/>
      <c r="GP57" s="9"/>
      <c r="GQ57" s="9"/>
      <c r="GR57" s="9"/>
      <c r="GS57" s="9"/>
      <c r="GT57" s="9"/>
      <c r="GU57" s="9"/>
      <c r="GV57" s="9"/>
      <c r="GW57" s="9"/>
      <c r="GX57" s="9"/>
      <c r="GY57" s="10"/>
      <c r="GZ57" s="9"/>
      <c r="HA57" s="9"/>
    </row>
    <row r="58" spans="1:209" s="2" customFormat="1" ht="17" customHeight="1">
      <c r="A58" s="14" t="s">
        <v>57</v>
      </c>
      <c r="B58" s="35">
        <v>0</v>
      </c>
      <c r="C58" s="35">
        <v>0</v>
      </c>
      <c r="D58" s="4">
        <f t="shared" si="27"/>
        <v>0</v>
      </c>
      <c r="E58" s="11">
        <v>0</v>
      </c>
      <c r="F58" s="5" t="s">
        <v>362</v>
      </c>
      <c r="G58" s="5" t="s">
        <v>362</v>
      </c>
      <c r="H58" s="5" t="s">
        <v>362</v>
      </c>
      <c r="I58" s="5" t="s">
        <v>362</v>
      </c>
      <c r="J58" s="5" t="s">
        <v>362</v>
      </c>
      <c r="K58" s="5" t="s">
        <v>362</v>
      </c>
      <c r="L58" s="5" t="s">
        <v>362</v>
      </c>
      <c r="M58" s="5" t="s">
        <v>362</v>
      </c>
      <c r="N58" s="35">
        <v>23.8</v>
      </c>
      <c r="O58" s="35">
        <v>99.2</v>
      </c>
      <c r="P58" s="4">
        <f t="shared" si="28"/>
        <v>1.3</v>
      </c>
      <c r="Q58" s="11">
        <v>20</v>
      </c>
      <c r="R58" s="35">
        <v>51</v>
      </c>
      <c r="S58" s="35">
        <v>51.9</v>
      </c>
      <c r="T58" s="4">
        <f t="shared" si="29"/>
        <v>1.0176470588235293</v>
      </c>
      <c r="U58" s="11">
        <v>30</v>
      </c>
      <c r="V58" s="35">
        <v>7.5</v>
      </c>
      <c r="W58" s="35">
        <v>7.8</v>
      </c>
      <c r="X58" s="4">
        <f t="shared" si="30"/>
        <v>1.04</v>
      </c>
      <c r="Y58" s="11">
        <v>20</v>
      </c>
      <c r="Z58" s="35">
        <v>1120</v>
      </c>
      <c r="AA58" s="35">
        <v>1509</v>
      </c>
      <c r="AB58" s="4">
        <f t="shared" si="31"/>
        <v>1.2147321428571427</v>
      </c>
      <c r="AC58" s="11">
        <v>5</v>
      </c>
      <c r="AD58" s="11">
        <v>645</v>
      </c>
      <c r="AE58" s="11">
        <v>599</v>
      </c>
      <c r="AF58" s="4">
        <f t="shared" si="32"/>
        <v>0.92868217054263569</v>
      </c>
      <c r="AG58" s="11">
        <v>20</v>
      </c>
      <c r="AH58" s="5" t="s">
        <v>362</v>
      </c>
      <c r="AI58" s="5" t="s">
        <v>362</v>
      </c>
      <c r="AJ58" s="5" t="s">
        <v>362</v>
      </c>
      <c r="AK58" s="5" t="s">
        <v>362</v>
      </c>
      <c r="AL58" s="5" t="s">
        <v>362</v>
      </c>
      <c r="AM58" s="5" t="s">
        <v>362</v>
      </c>
      <c r="AN58" s="5" t="s">
        <v>362</v>
      </c>
      <c r="AO58" s="5" t="s">
        <v>362</v>
      </c>
      <c r="AP58" s="44">
        <f t="shared" si="40"/>
        <v>1.07343911462994</v>
      </c>
      <c r="AQ58" s="45">
        <v>1155</v>
      </c>
      <c r="AR58" s="35">
        <f t="shared" si="41"/>
        <v>315</v>
      </c>
      <c r="AS58" s="35">
        <f t="shared" si="33"/>
        <v>338.1</v>
      </c>
      <c r="AT58" s="35">
        <f t="shared" si="34"/>
        <v>23.100000000000023</v>
      </c>
      <c r="AU58" s="35">
        <v>115.7</v>
      </c>
      <c r="AV58" s="35">
        <v>116.5</v>
      </c>
      <c r="AW58" s="35">
        <f t="shared" si="35"/>
        <v>105.9</v>
      </c>
      <c r="AX58" s="35"/>
      <c r="AY58" s="35">
        <f t="shared" si="36"/>
        <v>105.9</v>
      </c>
      <c r="AZ58" s="35">
        <v>0</v>
      </c>
      <c r="BA58" s="35">
        <f t="shared" si="37"/>
        <v>105.9</v>
      </c>
      <c r="BB58" s="35">
        <f>MIN(BA58,52.5)</f>
        <v>52.5</v>
      </c>
      <c r="BC58" s="35">
        <f t="shared" si="38"/>
        <v>53.4</v>
      </c>
      <c r="BD58" s="35">
        <v>51</v>
      </c>
      <c r="BE58" s="35">
        <f t="shared" si="39"/>
        <v>2.4</v>
      </c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10"/>
      <c r="CR58" s="9"/>
      <c r="CS58" s="9"/>
      <c r="CT58" s="9"/>
      <c r="CU58" s="9"/>
      <c r="CV58" s="9"/>
      <c r="CW58" s="9"/>
      <c r="CX58" s="9"/>
      <c r="CY58" s="9"/>
      <c r="CZ58" s="9"/>
      <c r="DA58" s="9"/>
      <c r="DB58" s="9"/>
      <c r="DC58" s="9"/>
      <c r="DD58" s="9"/>
      <c r="DE58" s="9"/>
      <c r="DF58" s="9"/>
      <c r="DG58" s="9"/>
      <c r="DH58" s="9"/>
      <c r="DI58" s="9"/>
      <c r="DJ58" s="9"/>
      <c r="DK58" s="9"/>
      <c r="DL58" s="9"/>
      <c r="DM58" s="9"/>
      <c r="DN58" s="9"/>
      <c r="DO58" s="9"/>
      <c r="DP58" s="9"/>
      <c r="DQ58" s="9"/>
      <c r="DR58" s="9"/>
      <c r="DS58" s="10"/>
      <c r="DT58" s="9"/>
      <c r="DU58" s="9"/>
      <c r="DV58" s="9"/>
      <c r="DW58" s="9"/>
      <c r="DX58" s="9"/>
      <c r="DY58" s="9"/>
      <c r="DZ58" s="9"/>
      <c r="EA58" s="9"/>
      <c r="EB58" s="9"/>
      <c r="EC58" s="9"/>
      <c r="ED58" s="9"/>
      <c r="EE58" s="9"/>
      <c r="EF58" s="9"/>
      <c r="EG58" s="9"/>
      <c r="EH58" s="9"/>
      <c r="EI58" s="9"/>
      <c r="EJ58" s="9"/>
      <c r="EK58" s="9"/>
      <c r="EL58" s="9"/>
      <c r="EM58" s="9"/>
      <c r="EN58" s="9"/>
      <c r="EO58" s="9"/>
      <c r="EP58" s="9"/>
      <c r="EQ58" s="9"/>
      <c r="ER58" s="9"/>
      <c r="ES58" s="9"/>
      <c r="ET58" s="9"/>
      <c r="EU58" s="10"/>
      <c r="EV58" s="9"/>
      <c r="EW58" s="9"/>
      <c r="EX58" s="9"/>
      <c r="EY58" s="9"/>
      <c r="EZ58" s="9"/>
      <c r="FA58" s="9"/>
      <c r="FB58" s="9"/>
      <c r="FC58" s="9"/>
      <c r="FD58" s="9"/>
      <c r="FE58" s="9"/>
      <c r="FF58" s="9"/>
      <c r="FG58" s="9"/>
      <c r="FH58" s="9"/>
      <c r="FI58" s="9"/>
      <c r="FJ58" s="9"/>
      <c r="FK58" s="9"/>
      <c r="FL58" s="9"/>
      <c r="FM58" s="9"/>
      <c r="FN58" s="9"/>
      <c r="FO58" s="9"/>
      <c r="FP58" s="9"/>
      <c r="FQ58" s="9"/>
      <c r="FR58" s="9"/>
      <c r="FS58" s="9"/>
      <c r="FT58" s="9"/>
      <c r="FU58" s="9"/>
      <c r="FV58" s="9"/>
      <c r="FW58" s="10"/>
      <c r="FX58" s="9"/>
      <c r="FY58" s="9"/>
      <c r="FZ58" s="9"/>
      <c r="GA58" s="9"/>
      <c r="GB58" s="9"/>
      <c r="GC58" s="9"/>
      <c r="GD58" s="9"/>
      <c r="GE58" s="9"/>
      <c r="GF58" s="9"/>
      <c r="GG58" s="9"/>
      <c r="GH58" s="9"/>
      <c r="GI58" s="9"/>
      <c r="GJ58" s="9"/>
      <c r="GK58" s="9"/>
      <c r="GL58" s="9"/>
      <c r="GM58" s="9"/>
      <c r="GN58" s="9"/>
      <c r="GO58" s="9"/>
      <c r="GP58" s="9"/>
      <c r="GQ58" s="9"/>
      <c r="GR58" s="9"/>
      <c r="GS58" s="9"/>
      <c r="GT58" s="9"/>
      <c r="GU58" s="9"/>
      <c r="GV58" s="9"/>
      <c r="GW58" s="9"/>
      <c r="GX58" s="9"/>
      <c r="GY58" s="10"/>
      <c r="GZ58" s="9"/>
      <c r="HA58" s="9"/>
    </row>
    <row r="59" spans="1:209" s="2" customFormat="1" ht="17" customHeight="1">
      <c r="A59" s="14" t="s">
        <v>58</v>
      </c>
      <c r="B59" s="35">
        <v>0</v>
      </c>
      <c r="C59" s="35">
        <v>0</v>
      </c>
      <c r="D59" s="4">
        <f t="shared" si="27"/>
        <v>0</v>
      </c>
      <c r="E59" s="11">
        <v>0</v>
      </c>
      <c r="F59" s="5" t="s">
        <v>362</v>
      </c>
      <c r="G59" s="5" t="s">
        <v>362</v>
      </c>
      <c r="H59" s="5" t="s">
        <v>362</v>
      </c>
      <c r="I59" s="5" t="s">
        <v>362</v>
      </c>
      <c r="J59" s="5" t="s">
        <v>362</v>
      </c>
      <c r="K59" s="5" t="s">
        <v>362</v>
      </c>
      <c r="L59" s="5" t="s">
        <v>362</v>
      </c>
      <c r="M59" s="5" t="s">
        <v>362</v>
      </c>
      <c r="N59" s="35">
        <v>158.30000000000001</v>
      </c>
      <c r="O59" s="35">
        <v>308.7</v>
      </c>
      <c r="P59" s="4">
        <f t="shared" si="28"/>
        <v>1.2750094756790902</v>
      </c>
      <c r="Q59" s="11">
        <v>20</v>
      </c>
      <c r="R59" s="35">
        <v>30</v>
      </c>
      <c r="S59" s="35">
        <v>30.8</v>
      </c>
      <c r="T59" s="4">
        <f t="shared" si="29"/>
        <v>1.0266666666666666</v>
      </c>
      <c r="U59" s="11">
        <v>30</v>
      </c>
      <c r="V59" s="35">
        <v>12.3</v>
      </c>
      <c r="W59" s="35">
        <v>12.6</v>
      </c>
      <c r="X59" s="4">
        <f t="shared" si="30"/>
        <v>1.024390243902439</v>
      </c>
      <c r="Y59" s="11">
        <v>20</v>
      </c>
      <c r="Z59" s="35">
        <v>4718</v>
      </c>
      <c r="AA59" s="35">
        <v>5094</v>
      </c>
      <c r="AB59" s="4">
        <f t="shared" si="31"/>
        <v>1.07969478592624</v>
      </c>
      <c r="AC59" s="11">
        <v>5</v>
      </c>
      <c r="AD59" s="11">
        <v>255</v>
      </c>
      <c r="AE59" s="11">
        <v>255</v>
      </c>
      <c r="AF59" s="4">
        <f t="shared" si="32"/>
        <v>1</v>
      </c>
      <c r="AG59" s="11">
        <v>20</v>
      </c>
      <c r="AH59" s="5" t="s">
        <v>362</v>
      </c>
      <c r="AI59" s="5" t="s">
        <v>362</v>
      </c>
      <c r="AJ59" s="5" t="s">
        <v>362</v>
      </c>
      <c r="AK59" s="5" t="s">
        <v>362</v>
      </c>
      <c r="AL59" s="5" t="s">
        <v>362</v>
      </c>
      <c r="AM59" s="5" t="s">
        <v>362</v>
      </c>
      <c r="AN59" s="5" t="s">
        <v>362</v>
      </c>
      <c r="AO59" s="5" t="s">
        <v>362</v>
      </c>
      <c r="AP59" s="44">
        <f t="shared" si="40"/>
        <v>1.0756470349606502</v>
      </c>
      <c r="AQ59" s="45">
        <v>1171</v>
      </c>
      <c r="AR59" s="35">
        <f t="shared" si="41"/>
        <v>319.36363636363637</v>
      </c>
      <c r="AS59" s="35">
        <f t="shared" si="33"/>
        <v>343.5</v>
      </c>
      <c r="AT59" s="35">
        <f t="shared" si="34"/>
        <v>24.136363636363626</v>
      </c>
      <c r="AU59" s="35">
        <v>111.1</v>
      </c>
      <c r="AV59" s="35">
        <v>117.2</v>
      </c>
      <c r="AW59" s="35">
        <f t="shared" si="35"/>
        <v>115.2</v>
      </c>
      <c r="AX59" s="35"/>
      <c r="AY59" s="35">
        <f t="shared" si="36"/>
        <v>115.2</v>
      </c>
      <c r="AZ59" s="35">
        <v>0</v>
      </c>
      <c r="BA59" s="35">
        <f t="shared" si="37"/>
        <v>115.2</v>
      </c>
      <c r="BB59" s="35"/>
      <c r="BC59" s="35">
        <f t="shared" si="38"/>
        <v>115.2</v>
      </c>
      <c r="BD59" s="35">
        <v>115.2</v>
      </c>
      <c r="BE59" s="35">
        <f t="shared" si="39"/>
        <v>0</v>
      </c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10"/>
      <c r="CR59" s="9"/>
      <c r="CS59" s="9"/>
      <c r="CT59" s="9"/>
      <c r="CU59" s="9"/>
      <c r="CV59" s="9"/>
      <c r="CW59" s="9"/>
      <c r="CX59" s="9"/>
      <c r="CY59" s="9"/>
      <c r="CZ59" s="9"/>
      <c r="DA59" s="9"/>
      <c r="DB59" s="9"/>
      <c r="DC59" s="9"/>
      <c r="DD59" s="9"/>
      <c r="DE59" s="9"/>
      <c r="DF59" s="9"/>
      <c r="DG59" s="9"/>
      <c r="DH59" s="9"/>
      <c r="DI59" s="9"/>
      <c r="DJ59" s="9"/>
      <c r="DK59" s="9"/>
      <c r="DL59" s="9"/>
      <c r="DM59" s="9"/>
      <c r="DN59" s="9"/>
      <c r="DO59" s="9"/>
      <c r="DP59" s="9"/>
      <c r="DQ59" s="9"/>
      <c r="DR59" s="9"/>
      <c r="DS59" s="10"/>
      <c r="DT59" s="9"/>
      <c r="DU59" s="9"/>
      <c r="DV59" s="9"/>
      <c r="DW59" s="9"/>
      <c r="DX59" s="9"/>
      <c r="DY59" s="9"/>
      <c r="DZ59" s="9"/>
      <c r="EA59" s="9"/>
      <c r="EB59" s="9"/>
      <c r="EC59" s="9"/>
      <c r="ED59" s="9"/>
      <c r="EE59" s="9"/>
      <c r="EF59" s="9"/>
      <c r="EG59" s="9"/>
      <c r="EH59" s="9"/>
      <c r="EI59" s="9"/>
      <c r="EJ59" s="9"/>
      <c r="EK59" s="9"/>
      <c r="EL59" s="9"/>
      <c r="EM59" s="9"/>
      <c r="EN59" s="9"/>
      <c r="EO59" s="9"/>
      <c r="EP59" s="9"/>
      <c r="EQ59" s="9"/>
      <c r="ER59" s="9"/>
      <c r="ES59" s="9"/>
      <c r="ET59" s="9"/>
      <c r="EU59" s="10"/>
      <c r="EV59" s="9"/>
      <c r="EW59" s="9"/>
      <c r="EX59" s="9"/>
      <c r="EY59" s="9"/>
      <c r="EZ59" s="9"/>
      <c r="FA59" s="9"/>
      <c r="FB59" s="9"/>
      <c r="FC59" s="9"/>
      <c r="FD59" s="9"/>
      <c r="FE59" s="9"/>
      <c r="FF59" s="9"/>
      <c r="FG59" s="9"/>
      <c r="FH59" s="9"/>
      <c r="FI59" s="9"/>
      <c r="FJ59" s="9"/>
      <c r="FK59" s="9"/>
      <c r="FL59" s="9"/>
      <c r="FM59" s="9"/>
      <c r="FN59" s="9"/>
      <c r="FO59" s="9"/>
      <c r="FP59" s="9"/>
      <c r="FQ59" s="9"/>
      <c r="FR59" s="9"/>
      <c r="FS59" s="9"/>
      <c r="FT59" s="9"/>
      <c r="FU59" s="9"/>
      <c r="FV59" s="9"/>
      <c r="FW59" s="10"/>
      <c r="FX59" s="9"/>
      <c r="FY59" s="9"/>
      <c r="FZ59" s="9"/>
      <c r="GA59" s="9"/>
      <c r="GB59" s="9"/>
      <c r="GC59" s="9"/>
      <c r="GD59" s="9"/>
      <c r="GE59" s="9"/>
      <c r="GF59" s="9"/>
      <c r="GG59" s="9"/>
      <c r="GH59" s="9"/>
      <c r="GI59" s="9"/>
      <c r="GJ59" s="9"/>
      <c r="GK59" s="9"/>
      <c r="GL59" s="9"/>
      <c r="GM59" s="9"/>
      <c r="GN59" s="9"/>
      <c r="GO59" s="9"/>
      <c r="GP59" s="9"/>
      <c r="GQ59" s="9"/>
      <c r="GR59" s="9"/>
      <c r="GS59" s="9"/>
      <c r="GT59" s="9"/>
      <c r="GU59" s="9"/>
      <c r="GV59" s="9"/>
      <c r="GW59" s="9"/>
      <c r="GX59" s="9"/>
      <c r="GY59" s="10"/>
      <c r="GZ59" s="9"/>
      <c r="HA59" s="9"/>
    </row>
    <row r="60" spans="1:209" s="2" customFormat="1" ht="17" customHeight="1">
      <c r="A60" s="14" t="s">
        <v>59</v>
      </c>
      <c r="B60" s="35">
        <v>24000</v>
      </c>
      <c r="C60" s="35">
        <v>26147.599999999999</v>
      </c>
      <c r="D60" s="4">
        <f t="shared" si="27"/>
        <v>1.0894833333333334</v>
      </c>
      <c r="E60" s="11">
        <v>10</v>
      </c>
      <c r="F60" s="5" t="s">
        <v>362</v>
      </c>
      <c r="G60" s="5" t="s">
        <v>362</v>
      </c>
      <c r="H60" s="5" t="s">
        <v>362</v>
      </c>
      <c r="I60" s="5" t="s">
        <v>362</v>
      </c>
      <c r="J60" s="5" t="s">
        <v>362</v>
      </c>
      <c r="K60" s="5" t="s">
        <v>362</v>
      </c>
      <c r="L60" s="5" t="s">
        <v>362</v>
      </c>
      <c r="M60" s="5" t="s">
        <v>362</v>
      </c>
      <c r="N60" s="35">
        <v>2036.1</v>
      </c>
      <c r="O60" s="35">
        <v>2035.7</v>
      </c>
      <c r="P60" s="4">
        <f t="shared" si="28"/>
        <v>0.99980354599479404</v>
      </c>
      <c r="Q60" s="11">
        <v>20</v>
      </c>
      <c r="R60" s="35">
        <v>30</v>
      </c>
      <c r="S60" s="35">
        <v>31</v>
      </c>
      <c r="T60" s="4">
        <f t="shared" si="29"/>
        <v>1.0333333333333334</v>
      </c>
      <c r="U60" s="11">
        <v>30</v>
      </c>
      <c r="V60" s="35">
        <v>10.5</v>
      </c>
      <c r="W60" s="35">
        <v>10.8</v>
      </c>
      <c r="X60" s="4">
        <f t="shared" si="30"/>
        <v>1.0285714285714287</v>
      </c>
      <c r="Y60" s="11">
        <v>20</v>
      </c>
      <c r="Z60" s="35">
        <v>14502</v>
      </c>
      <c r="AA60" s="35">
        <v>15389</v>
      </c>
      <c r="AB60" s="4">
        <f t="shared" si="31"/>
        <v>1.06116397738243</v>
      </c>
      <c r="AC60" s="11">
        <v>5</v>
      </c>
      <c r="AD60" s="11">
        <v>251</v>
      </c>
      <c r="AE60" s="11">
        <v>314</v>
      </c>
      <c r="AF60" s="4">
        <f t="shared" si="32"/>
        <v>1.2050996015936255</v>
      </c>
      <c r="AG60" s="11">
        <v>20</v>
      </c>
      <c r="AH60" s="5" t="s">
        <v>362</v>
      </c>
      <c r="AI60" s="5" t="s">
        <v>362</v>
      </c>
      <c r="AJ60" s="5" t="s">
        <v>362</v>
      </c>
      <c r="AK60" s="5" t="s">
        <v>362</v>
      </c>
      <c r="AL60" s="5" t="s">
        <v>362</v>
      </c>
      <c r="AM60" s="5" t="s">
        <v>362</v>
      </c>
      <c r="AN60" s="5" t="s">
        <v>362</v>
      </c>
      <c r="AO60" s="5" t="s">
        <v>362</v>
      </c>
      <c r="AP60" s="44">
        <f t="shared" si="40"/>
        <v>1.0654299499375472</v>
      </c>
      <c r="AQ60" s="45">
        <v>145</v>
      </c>
      <c r="AR60" s="35">
        <f t="shared" si="41"/>
        <v>39.545454545454547</v>
      </c>
      <c r="AS60" s="35">
        <f t="shared" si="33"/>
        <v>42.1</v>
      </c>
      <c r="AT60" s="35">
        <f t="shared" si="34"/>
        <v>2.5545454545454547</v>
      </c>
      <c r="AU60" s="35">
        <v>13.2</v>
      </c>
      <c r="AV60" s="35">
        <v>14.3</v>
      </c>
      <c r="AW60" s="35">
        <f t="shared" si="35"/>
        <v>14.6</v>
      </c>
      <c r="AX60" s="35"/>
      <c r="AY60" s="35">
        <f t="shared" si="36"/>
        <v>14.6</v>
      </c>
      <c r="AZ60" s="35">
        <v>0</v>
      </c>
      <c r="BA60" s="35">
        <f t="shared" si="37"/>
        <v>14.6</v>
      </c>
      <c r="BB60" s="35"/>
      <c r="BC60" s="35">
        <f t="shared" si="38"/>
        <v>14.6</v>
      </c>
      <c r="BD60" s="35">
        <v>14.6</v>
      </c>
      <c r="BE60" s="35">
        <f t="shared" si="39"/>
        <v>0</v>
      </c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10"/>
      <c r="CR60" s="9"/>
      <c r="CS60" s="9"/>
      <c r="CT60" s="9"/>
      <c r="CU60" s="9"/>
      <c r="CV60" s="9"/>
      <c r="CW60" s="9"/>
      <c r="CX60" s="9"/>
      <c r="CY60" s="9"/>
      <c r="CZ60" s="9"/>
      <c r="DA60" s="9"/>
      <c r="DB60" s="9"/>
      <c r="DC60" s="9"/>
      <c r="DD60" s="9"/>
      <c r="DE60" s="9"/>
      <c r="DF60" s="9"/>
      <c r="DG60" s="9"/>
      <c r="DH60" s="9"/>
      <c r="DI60" s="9"/>
      <c r="DJ60" s="9"/>
      <c r="DK60" s="9"/>
      <c r="DL60" s="9"/>
      <c r="DM60" s="9"/>
      <c r="DN60" s="9"/>
      <c r="DO60" s="9"/>
      <c r="DP60" s="9"/>
      <c r="DQ60" s="9"/>
      <c r="DR60" s="9"/>
      <c r="DS60" s="10"/>
      <c r="DT60" s="9"/>
      <c r="DU60" s="9"/>
      <c r="DV60" s="9"/>
      <c r="DW60" s="9"/>
      <c r="DX60" s="9"/>
      <c r="DY60" s="9"/>
      <c r="DZ60" s="9"/>
      <c r="EA60" s="9"/>
      <c r="EB60" s="9"/>
      <c r="EC60" s="9"/>
      <c r="ED60" s="9"/>
      <c r="EE60" s="9"/>
      <c r="EF60" s="9"/>
      <c r="EG60" s="9"/>
      <c r="EH60" s="9"/>
      <c r="EI60" s="9"/>
      <c r="EJ60" s="9"/>
      <c r="EK60" s="9"/>
      <c r="EL60" s="9"/>
      <c r="EM60" s="9"/>
      <c r="EN60" s="9"/>
      <c r="EO60" s="9"/>
      <c r="EP60" s="9"/>
      <c r="EQ60" s="9"/>
      <c r="ER60" s="9"/>
      <c r="ES60" s="9"/>
      <c r="ET60" s="9"/>
      <c r="EU60" s="10"/>
      <c r="EV60" s="9"/>
      <c r="EW60" s="9"/>
      <c r="EX60" s="9"/>
      <c r="EY60" s="9"/>
      <c r="EZ60" s="9"/>
      <c r="FA60" s="9"/>
      <c r="FB60" s="9"/>
      <c r="FC60" s="9"/>
      <c r="FD60" s="9"/>
      <c r="FE60" s="9"/>
      <c r="FF60" s="9"/>
      <c r="FG60" s="9"/>
      <c r="FH60" s="9"/>
      <c r="FI60" s="9"/>
      <c r="FJ60" s="9"/>
      <c r="FK60" s="9"/>
      <c r="FL60" s="9"/>
      <c r="FM60" s="9"/>
      <c r="FN60" s="9"/>
      <c r="FO60" s="9"/>
      <c r="FP60" s="9"/>
      <c r="FQ60" s="9"/>
      <c r="FR60" s="9"/>
      <c r="FS60" s="9"/>
      <c r="FT60" s="9"/>
      <c r="FU60" s="9"/>
      <c r="FV60" s="9"/>
      <c r="FW60" s="10"/>
      <c r="FX60" s="9"/>
      <c r="FY60" s="9"/>
      <c r="FZ60" s="9"/>
      <c r="GA60" s="9"/>
      <c r="GB60" s="9"/>
      <c r="GC60" s="9"/>
      <c r="GD60" s="9"/>
      <c r="GE60" s="9"/>
      <c r="GF60" s="9"/>
      <c r="GG60" s="9"/>
      <c r="GH60" s="9"/>
      <c r="GI60" s="9"/>
      <c r="GJ60" s="9"/>
      <c r="GK60" s="9"/>
      <c r="GL60" s="9"/>
      <c r="GM60" s="9"/>
      <c r="GN60" s="9"/>
      <c r="GO60" s="9"/>
      <c r="GP60" s="9"/>
      <c r="GQ60" s="9"/>
      <c r="GR60" s="9"/>
      <c r="GS60" s="9"/>
      <c r="GT60" s="9"/>
      <c r="GU60" s="9"/>
      <c r="GV60" s="9"/>
      <c r="GW60" s="9"/>
      <c r="GX60" s="9"/>
      <c r="GY60" s="10"/>
      <c r="GZ60" s="9"/>
      <c r="HA60" s="9"/>
    </row>
    <row r="61" spans="1:209" s="2" customFormat="1" ht="17" customHeight="1">
      <c r="A61" s="14" t="s">
        <v>60</v>
      </c>
      <c r="B61" s="35">
        <v>0</v>
      </c>
      <c r="C61" s="35">
        <v>0</v>
      </c>
      <c r="D61" s="4">
        <f t="shared" si="27"/>
        <v>0</v>
      </c>
      <c r="E61" s="11">
        <v>0</v>
      </c>
      <c r="F61" s="5" t="s">
        <v>362</v>
      </c>
      <c r="G61" s="5" t="s">
        <v>362</v>
      </c>
      <c r="H61" s="5" t="s">
        <v>362</v>
      </c>
      <c r="I61" s="5" t="s">
        <v>362</v>
      </c>
      <c r="J61" s="5" t="s">
        <v>362</v>
      </c>
      <c r="K61" s="5" t="s">
        <v>362</v>
      </c>
      <c r="L61" s="5" t="s">
        <v>362</v>
      </c>
      <c r="M61" s="5" t="s">
        <v>362</v>
      </c>
      <c r="N61" s="35">
        <v>467.4</v>
      </c>
      <c r="O61" s="35">
        <v>411.7</v>
      </c>
      <c r="P61" s="4">
        <f t="shared" si="28"/>
        <v>0.88083012409071459</v>
      </c>
      <c r="Q61" s="11">
        <v>20</v>
      </c>
      <c r="R61" s="35">
        <v>330</v>
      </c>
      <c r="S61" s="35">
        <v>335.9</v>
      </c>
      <c r="T61" s="4">
        <f t="shared" si="29"/>
        <v>1.0178787878787878</v>
      </c>
      <c r="U61" s="11">
        <v>30</v>
      </c>
      <c r="V61" s="35">
        <v>21</v>
      </c>
      <c r="W61" s="35">
        <v>15.4</v>
      </c>
      <c r="X61" s="4">
        <f t="shared" si="30"/>
        <v>0.73333333333333339</v>
      </c>
      <c r="Y61" s="11">
        <v>20</v>
      </c>
      <c r="Z61" s="35">
        <v>8961</v>
      </c>
      <c r="AA61" s="35">
        <v>8118</v>
      </c>
      <c r="AB61" s="4">
        <f t="shared" si="31"/>
        <v>0.90592567793773016</v>
      </c>
      <c r="AC61" s="11">
        <v>5</v>
      </c>
      <c r="AD61" s="11">
        <v>750</v>
      </c>
      <c r="AE61" s="11">
        <v>733</v>
      </c>
      <c r="AF61" s="4">
        <f t="shared" si="32"/>
        <v>0.97733333333333339</v>
      </c>
      <c r="AG61" s="11">
        <v>20</v>
      </c>
      <c r="AH61" s="5" t="s">
        <v>362</v>
      </c>
      <c r="AI61" s="5" t="s">
        <v>362</v>
      </c>
      <c r="AJ61" s="5" t="s">
        <v>362</v>
      </c>
      <c r="AK61" s="5" t="s">
        <v>362</v>
      </c>
      <c r="AL61" s="5" t="s">
        <v>362</v>
      </c>
      <c r="AM61" s="5" t="s">
        <v>362</v>
      </c>
      <c r="AN61" s="5" t="s">
        <v>362</v>
      </c>
      <c r="AO61" s="5" t="s">
        <v>362</v>
      </c>
      <c r="AP61" s="44">
        <f t="shared" si="40"/>
        <v>0.91469397727578861</v>
      </c>
      <c r="AQ61" s="45">
        <v>641</v>
      </c>
      <c r="AR61" s="35">
        <f t="shared" si="41"/>
        <v>174.81818181818181</v>
      </c>
      <c r="AS61" s="35">
        <f t="shared" si="33"/>
        <v>159.9</v>
      </c>
      <c r="AT61" s="35">
        <f t="shared" si="34"/>
        <v>-14.918181818181807</v>
      </c>
      <c r="AU61" s="35">
        <v>53.8</v>
      </c>
      <c r="AV61" s="35">
        <v>56.8</v>
      </c>
      <c r="AW61" s="35">
        <f t="shared" si="35"/>
        <v>49.3</v>
      </c>
      <c r="AX61" s="35"/>
      <c r="AY61" s="35">
        <f t="shared" si="36"/>
        <v>49.3</v>
      </c>
      <c r="AZ61" s="35">
        <v>0</v>
      </c>
      <c r="BA61" s="35">
        <f t="shared" si="37"/>
        <v>49.3</v>
      </c>
      <c r="BB61" s="35"/>
      <c r="BC61" s="35">
        <f t="shared" si="38"/>
        <v>49.3</v>
      </c>
      <c r="BD61" s="35">
        <v>49.4</v>
      </c>
      <c r="BE61" s="35">
        <f t="shared" si="39"/>
        <v>-0.1</v>
      </c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10"/>
      <c r="CR61" s="9"/>
      <c r="CS61" s="9"/>
      <c r="CT61" s="9"/>
      <c r="CU61" s="9"/>
      <c r="CV61" s="9"/>
      <c r="CW61" s="9"/>
      <c r="CX61" s="9"/>
      <c r="CY61" s="9"/>
      <c r="CZ61" s="9"/>
      <c r="DA61" s="9"/>
      <c r="DB61" s="9"/>
      <c r="DC61" s="9"/>
      <c r="DD61" s="9"/>
      <c r="DE61" s="9"/>
      <c r="DF61" s="9"/>
      <c r="DG61" s="9"/>
      <c r="DH61" s="9"/>
      <c r="DI61" s="9"/>
      <c r="DJ61" s="9"/>
      <c r="DK61" s="9"/>
      <c r="DL61" s="9"/>
      <c r="DM61" s="9"/>
      <c r="DN61" s="9"/>
      <c r="DO61" s="9"/>
      <c r="DP61" s="9"/>
      <c r="DQ61" s="9"/>
      <c r="DR61" s="9"/>
      <c r="DS61" s="10"/>
      <c r="DT61" s="9"/>
      <c r="DU61" s="9"/>
      <c r="DV61" s="9"/>
      <c r="DW61" s="9"/>
      <c r="DX61" s="9"/>
      <c r="DY61" s="9"/>
      <c r="DZ61" s="9"/>
      <c r="EA61" s="9"/>
      <c r="EB61" s="9"/>
      <c r="EC61" s="9"/>
      <c r="ED61" s="9"/>
      <c r="EE61" s="9"/>
      <c r="EF61" s="9"/>
      <c r="EG61" s="9"/>
      <c r="EH61" s="9"/>
      <c r="EI61" s="9"/>
      <c r="EJ61" s="9"/>
      <c r="EK61" s="9"/>
      <c r="EL61" s="9"/>
      <c r="EM61" s="9"/>
      <c r="EN61" s="9"/>
      <c r="EO61" s="9"/>
      <c r="EP61" s="9"/>
      <c r="EQ61" s="9"/>
      <c r="ER61" s="9"/>
      <c r="ES61" s="9"/>
      <c r="ET61" s="9"/>
      <c r="EU61" s="10"/>
      <c r="EV61" s="9"/>
      <c r="EW61" s="9"/>
      <c r="EX61" s="9"/>
      <c r="EY61" s="9"/>
      <c r="EZ61" s="9"/>
      <c r="FA61" s="9"/>
      <c r="FB61" s="9"/>
      <c r="FC61" s="9"/>
      <c r="FD61" s="9"/>
      <c r="FE61" s="9"/>
      <c r="FF61" s="9"/>
      <c r="FG61" s="9"/>
      <c r="FH61" s="9"/>
      <c r="FI61" s="9"/>
      <c r="FJ61" s="9"/>
      <c r="FK61" s="9"/>
      <c r="FL61" s="9"/>
      <c r="FM61" s="9"/>
      <c r="FN61" s="9"/>
      <c r="FO61" s="9"/>
      <c r="FP61" s="9"/>
      <c r="FQ61" s="9"/>
      <c r="FR61" s="9"/>
      <c r="FS61" s="9"/>
      <c r="FT61" s="9"/>
      <c r="FU61" s="9"/>
      <c r="FV61" s="9"/>
      <c r="FW61" s="10"/>
      <c r="FX61" s="9"/>
      <c r="FY61" s="9"/>
      <c r="FZ61" s="9"/>
      <c r="GA61" s="9"/>
      <c r="GB61" s="9"/>
      <c r="GC61" s="9"/>
      <c r="GD61" s="9"/>
      <c r="GE61" s="9"/>
      <c r="GF61" s="9"/>
      <c r="GG61" s="9"/>
      <c r="GH61" s="9"/>
      <c r="GI61" s="9"/>
      <c r="GJ61" s="9"/>
      <c r="GK61" s="9"/>
      <c r="GL61" s="9"/>
      <c r="GM61" s="9"/>
      <c r="GN61" s="9"/>
      <c r="GO61" s="9"/>
      <c r="GP61" s="9"/>
      <c r="GQ61" s="9"/>
      <c r="GR61" s="9"/>
      <c r="GS61" s="9"/>
      <c r="GT61" s="9"/>
      <c r="GU61" s="9"/>
      <c r="GV61" s="9"/>
      <c r="GW61" s="9"/>
      <c r="GX61" s="9"/>
      <c r="GY61" s="10"/>
      <c r="GZ61" s="9"/>
      <c r="HA61" s="9"/>
    </row>
    <row r="62" spans="1:209" s="2" customFormat="1" ht="17" customHeight="1">
      <c r="A62" s="14" t="s">
        <v>61</v>
      </c>
      <c r="B62" s="35">
        <v>0</v>
      </c>
      <c r="C62" s="35">
        <v>0</v>
      </c>
      <c r="D62" s="4">
        <f t="shared" si="27"/>
        <v>1</v>
      </c>
      <c r="E62" s="11">
        <v>10</v>
      </c>
      <c r="F62" s="5" t="s">
        <v>362</v>
      </c>
      <c r="G62" s="5" t="s">
        <v>362</v>
      </c>
      <c r="H62" s="5" t="s">
        <v>362</v>
      </c>
      <c r="I62" s="5" t="s">
        <v>362</v>
      </c>
      <c r="J62" s="5" t="s">
        <v>362</v>
      </c>
      <c r="K62" s="5" t="s">
        <v>362</v>
      </c>
      <c r="L62" s="5" t="s">
        <v>362</v>
      </c>
      <c r="M62" s="5" t="s">
        <v>362</v>
      </c>
      <c r="N62" s="35">
        <v>254</v>
      </c>
      <c r="O62" s="35">
        <v>366.2</v>
      </c>
      <c r="P62" s="4">
        <f t="shared" si="28"/>
        <v>1.2241732283464566</v>
      </c>
      <c r="Q62" s="11">
        <v>20</v>
      </c>
      <c r="R62" s="35">
        <v>36</v>
      </c>
      <c r="S62" s="35">
        <v>36.700000000000003</v>
      </c>
      <c r="T62" s="4">
        <f t="shared" si="29"/>
        <v>1.0194444444444446</v>
      </c>
      <c r="U62" s="11">
        <v>30</v>
      </c>
      <c r="V62" s="35">
        <v>16.5</v>
      </c>
      <c r="W62" s="35">
        <v>17</v>
      </c>
      <c r="X62" s="4">
        <f t="shared" si="30"/>
        <v>1.0303030303030303</v>
      </c>
      <c r="Y62" s="11">
        <v>20</v>
      </c>
      <c r="Z62" s="35">
        <v>1460</v>
      </c>
      <c r="AA62" s="35">
        <v>917</v>
      </c>
      <c r="AB62" s="4">
        <f t="shared" si="31"/>
        <v>0.62808219178082192</v>
      </c>
      <c r="AC62" s="11">
        <v>5</v>
      </c>
      <c r="AD62" s="11">
        <v>200</v>
      </c>
      <c r="AE62" s="11">
        <v>200</v>
      </c>
      <c r="AF62" s="4">
        <f t="shared" si="32"/>
        <v>1</v>
      </c>
      <c r="AG62" s="11">
        <v>20</v>
      </c>
      <c r="AH62" s="5" t="s">
        <v>362</v>
      </c>
      <c r="AI62" s="5" t="s">
        <v>362</v>
      </c>
      <c r="AJ62" s="5" t="s">
        <v>362</v>
      </c>
      <c r="AK62" s="5" t="s">
        <v>362</v>
      </c>
      <c r="AL62" s="5" t="s">
        <v>362</v>
      </c>
      <c r="AM62" s="5" t="s">
        <v>362</v>
      </c>
      <c r="AN62" s="5" t="s">
        <v>362</v>
      </c>
      <c r="AO62" s="5" t="s">
        <v>362</v>
      </c>
      <c r="AP62" s="44">
        <f t="shared" si="40"/>
        <v>1.0363168520497827</v>
      </c>
      <c r="AQ62" s="45">
        <v>466</v>
      </c>
      <c r="AR62" s="35">
        <f t="shared" si="41"/>
        <v>127.09090909090909</v>
      </c>
      <c r="AS62" s="35">
        <f t="shared" si="33"/>
        <v>131.69999999999999</v>
      </c>
      <c r="AT62" s="35">
        <f t="shared" si="34"/>
        <v>4.6090909090908951</v>
      </c>
      <c r="AU62" s="35">
        <v>45.3</v>
      </c>
      <c r="AV62" s="35">
        <v>46.1</v>
      </c>
      <c r="AW62" s="35">
        <f t="shared" si="35"/>
        <v>40.299999999999997</v>
      </c>
      <c r="AX62" s="35"/>
      <c r="AY62" s="35">
        <f t="shared" si="36"/>
        <v>40.299999999999997</v>
      </c>
      <c r="AZ62" s="35">
        <v>0</v>
      </c>
      <c r="BA62" s="35">
        <f t="shared" si="37"/>
        <v>40.299999999999997</v>
      </c>
      <c r="BB62" s="35">
        <f>MIN(BA62,21.2)</f>
        <v>21.2</v>
      </c>
      <c r="BC62" s="35">
        <f t="shared" si="38"/>
        <v>19.100000000000001</v>
      </c>
      <c r="BD62" s="35">
        <v>21.7</v>
      </c>
      <c r="BE62" s="35">
        <f t="shared" si="39"/>
        <v>-2.6</v>
      </c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10"/>
      <c r="CR62" s="9"/>
      <c r="CS62" s="9"/>
      <c r="CT62" s="9"/>
      <c r="CU62" s="9"/>
      <c r="CV62" s="9"/>
      <c r="CW62" s="9"/>
      <c r="CX62" s="9"/>
      <c r="CY62" s="9"/>
      <c r="CZ62" s="9"/>
      <c r="DA62" s="9"/>
      <c r="DB62" s="9"/>
      <c r="DC62" s="9"/>
      <c r="DD62" s="9"/>
      <c r="DE62" s="9"/>
      <c r="DF62" s="9"/>
      <c r="DG62" s="9"/>
      <c r="DH62" s="9"/>
      <c r="DI62" s="9"/>
      <c r="DJ62" s="9"/>
      <c r="DK62" s="9"/>
      <c r="DL62" s="9"/>
      <c r="DM62" s="9"/>
      <c r="DN62" s="9"/>
      <c r="DO62" s="9"/>
      <c r="DP62" s="9"/>
      <c r="DQ62" s="9"/>
      <c r="DR62" s="9"/>
      <c r="DS62" s="10"/>
      <c r="DT62" s="9"/>
      <c r="DU62" s="9"/>
      <c r="DV62" s="9"/>
      <c r="DW62" s="9"/>
      <c r="DX62" s="9"/>
      <c r="DY62" s="9"/>
      <c r="DZ62" s="9"/>
      <c r="EA62" s="9"/>
      <c r="EB62" s="9"/>
      <c r="EC62" s="9"/>
      <c r="ED62" s="9"/>
      <c r="EE62" s="9"/>
      <c r="EF62" s="9"/>
      <c r="EG62" s="9"/>
      <c r="EH62" s="9"/>
      <c r="EI62" s="9"/>
      <c r="EJ62" s="9"/>
      <c r="EK62" s="9"/>
      <c r="EL62" s="9"/>
      <c r="EM62" s="9"/>
      <c r="EN62" s="9"/>
      <c r="EO62" s="9"/>
      <c r="EP62" s="9"/>
      <c r="EQ62" s="9"/>
      <c r="ER62" s="9"/>
      <c r="ES62" s="9"/>
      <c r="ET62" s="9"/>
      <c r="EU62" s="10"/>
      <c r="EV62" s="9"/>
      <c r="EW62" s="9"/>
      <c r="EX62" s="9"/>
      <c r="EY62" s="9"/>
      <c r="EZ62" s="9"/>
      <c r="FA62" s="9"/>
      <c r="FB62" s="9"/>
      <c r="FC62" s="9"/>
      <c r="FD62" s="9"/>
      <c r="FE62" s="9"/>
      <c r="FF62" s="9"/>
      <c r="FG62" s="9"/>
      <c r="FH62" s="9"/>
      <c r="FI62" s="9"/>
      <c r="FJ62" s="9"/>
      <c r="FK62" s="9"/>
      <c r="FL62" s="9"/>
      <c r="FM62" s="9"/>
      <c r="FN62" s="9"/>
      <c r="FO62" s="9"/>
      <c r="FP62" s="9"/>
      <c r="FQ62" s="9"/>
      <c r="FR62" s="9"/>
      <c r="FS62" s="9"/>
      <c r="FT62" s="9"/>
      <c r="FU62" s="9"/>
      <c r="FV62" s="9"/>
      <c r="FW62" s="10"/>
      <c r="FX62" s="9"/>
      <c r="FY62" s="9"/>
      <c r="FZ62" s="9"/>
      <c r="GA62" s="9"/>
      <c r="GB62" s="9"/>
      <c r="GC62" s="9"/>
      <c r="GD62" s="9"/>
      <c r="GE62" s="9"/>
      <c r="GF62" s="9"/>
      <c r="GG62" s="9"/>
      <c r="GH62" s="9"/>
      <c r="GI62" s="9"/>
      <c r="GJ62" s="9"/>
      <c r="GK62" s="9"/>
      <c r="GL62" s="9"/>
      <c r="GM62" s="9"/>
      <c r="GN62" s="9"/>
      <c r="GO62" s="9"/>
      <c r="GP62" s="9"/>
      <c r="GQ62" s="9"/>
      <c r="GR62" s="9"/>
      <c r="GS62" s="9"/>
      <c r="GT62" s="9"/>
      <c r="GU62" s="9"/>
      <c r="GV62" s="9"/>
      <c r="GW62" s="9"/>
      <c r="GX62" s="9"/>
      <c r="GY62" s="10"/>
      <c r="GZ62" s="9"/>
      <c r="HA62" s="9"/>
    </row>
    <row r="63" spans="1:209" s="2" customFormat="1" ht="17" customHeight="1">
      <c r="A63" s="14" t="s">
        <v>62</v>
      </c>
      <c r="B63" s="35">
        <v>0</v>
      </c>
      <c r="C63" s="35">
        <v>0</v>
      </c>
      <c r="D63" s="4">
        <f t="shared" si="27"/>
        <v>0</v>
      </c>
      <c r="E63" s="11">
        <v>0</v>
      </c>
      <c r="F63" s="5" t="s">
        <v>362</v>
      </c>
      <c r="G63" s="5" t="s">
        <v>362</v>
      </c>
      <c r="H63" s="5" t="s">
        <v>362</v>
      </c>
      <c r="I63" s="5" t="s">
        <v>362</v>
      </c>
      <c r="J63" s="5" t="s">
        <v>362</v>
      </c>
      <c r="K63" s="5" t="s">
        <v>362</v>
      </c>
      <c r="L63" s="5" t="s">
        <v>362</v>
      </c>
      <c r="M63" s="5" t="s">
        <v>362</v>
      </c>
      <c r="N63" s="35">
        <v>287.3</v>
      </c>
      <c r="O63" s="35">
        <v>80.5</v>
      </c>
      <c r="P63" s="4">
        <f t="shared" si="28"/>
        <v>0.28019491820396797</v>
      </c>
      <c r="Q63" s="11">
        <v>20</v>
      </c>
      <c r="R63" s="35">
        <v>0</v>
      </c>
      <c r="S63" s="35">
        <v>0</v>
      </c>
      <c r="T63" s="4">
        <f t="shared" si="29"/>
        <v>1</v>
      </c>
      <c r="U63" s="11">
        <v>35</v>
      </c>
      <c r="V63" s="35">
        <v>4.5</v>
      </c>
      <c r="W63" s="35">
        <v>4.7</v>
      </c>
      <c r="X63" s="4">
        <f t="shared" si="30"/>
        <v>1.0444444444444445</v>
      </c>
      <c r="Y63" s="11">
        <v>15</v>
      </c>
      <c r="Z63" s="35">
        <v>600</v>
      </c>
      <c r="AA63" s="35">
        <v>468</v>
      </c>
      <c r="AB63" s="4">
        <f t="shared" si="31"/>
        <v>0.78</v>
      </c>
      <c r="AC63" s="11">
        <v>5</v>
      </c>
      <c r="AD63" s="11">
        <v>29</v>
      </c>
      <c r="AE63" s="11">
        <v>29</v>
      </c>
      <c r="AF63" s="4">
        <f t="shared" si="32"/>
        <v>1</v>
      </c>
      <c r="AG63" s="11">
        <v>20</v>
      </c>
      <c r="AH63" s="5" t="s">
        <v>362</v>
      </c>
      <c r="AI63" s="5" t="s">
        <v>362</v>
      </c>
      <c r="AJ63" s="5" t="s">
        <v>362</v>
      </c>
      <c r="AK63" s="5" t="s">
        <v>362</v>
      </c>
      <c r="AL63" s="5" t="s">
        <v>362</v>
      </c>
      <c r="AM63" s="5" t="s">
        <v>362</v>
      </c>
      <c r="AN63" s="5" t="s">
        <v>362</v>
      </c>
      <c r="AO63" s="5" t="s">
        <v>362</v>
      </c>
      <c r="AP63" s="44">
        <f t="shared" si="40"/>
        <v>0.84390068453416867</v>
      </c>
      <c r="AQ63" s="45">
        <v>775</v>
      </c>
      <c r="AR63" s="35">
        <f t="shared" si="41"/>
        <v>211.36363636363637</v>
      </c>
      <c r="AS63" s="35">
        <f t="shared" si="33"/>
        <v>178.4</v>
      </c>
      <c r="AT63" s="35">
        <f t="shared" si="34"/>
        <v>-32.963636363636368</v>
      </c>
      <c r="AU63" s="35">
        <v>56.4</v>
      </c>
      <c r="AV63" s="35">
        <v>55.4</v>
      </c>
      <c r="AW63" s="35">
        <f t="shared" si="35"/>
        <v>66.599999999999994</v>
      </c>
      <c r="AX63" s="35"/>
      <c r="AY63" s="35">
        <f t="shared" si="36"/>
        <v>66.599999999999994</v>
      </c>
      <c r="AZ63" s="35">
        <v>0</v>
      </c>
      <c r="BA63" s="35">
        <f t="shared" si="37"/>
        <v>66.599999999999994</v>
      </c>
      <c r="BB63" s="35"/>
      <c r="BC63" s="35">
        <f t="shared" si="38"/>
        <v>66.599999999999994</v>
      </c>
      <c r="BD63" s="35">
        <v>67.3</v>
      </c>
      <c r="BE63" s="35">
        <f t="shared" si="39"/>
        <v>-0.7</v>
      </c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10"/>
      <c r="CR63" s="9"/>
      <c r="CS63" s="9"/>
      <c r="CT63" s="9"/>
      <c r="CU63" s="9"/>
      <c r="CV63" s="9"/>
      <c r="CW63" s="9"/>
      <c r="CX63" s="9"/>
      <c r="CY63" s="9"/>
      <c r="CZ63" s="9"/>
      <c r="DA63" s="9"/>
      <c r="DB63" s="9"/>
      <c r="DC63" s="9"/>
      <c r="DD63" s="9"/>
      <c r="DE63" s="9"/>
      <c r="DF63" s="9"/>
      <c r="DG63" s="9"/>
      <c r="DH63" s="9"/>
      <c r="DI63" s="9"/>
      <c r="DJ63" s="9"/>
      <c r="DK63" s="9"/>
      <c r="DL63" s="9"/>
      <c r="DM63" s="9"/>
      <c r="DN63" s="9"/>
      <c r="DO63" s="9"/>
      <c r="DP63" s="9"/>
      <c r="DQ63" s="9"/>
      <c r="DR63" s="9"/>
      <c r="DS63" s="10"/>
      <c r="DT63" s="9"/>
      <c r="DU63" s="9"/>
      <c r="DV63" s="9"/>
      <c r="DW63" s="9"/>
      <c r="DX63" s="9"/>
      <c r="DY63" s="9"/>
      <c r="DZ63" s="9"/>
      <c r="EA63" s="9"/>
      <c r="EB63" s="9"/>
      <c r="EC63" s="9"/>
      <c r="ED63" s="9"/>
      <c r="EE63" s="9"/>
      <c r="EF63" s="9"/>
      <c r="EG63" s="9"/>
      <c r="EH63" s="9"/>
      <c r="EI63" s="9"/>
      <c r="EJ63" s="9"/>
      <c r="EK63" s="9"/>
      <c r="EL63" s="9"/>
      <c r="EM63" s="9"/>
      <c r="EN63" s="9"/>
      <c r="EO63" s="9"/>
      <c r="EP63" s="9"/>
      <c r="EQ63" s="9"/>
      <c r="ER63" s="9"/>
      <c r="ES63" s="9"/>
      <c r="ET63" s="9"/>
      <c r="EU63" s="10"/>
      <c r="EV63" s="9"/>
      <c r="EW63" s="9"/>
      <c r="EX63" s="9"/>
      <c r="EY63" s="9"/>
      <c r="EZ63" s="9"/>
      <c r="FA63" s="9"/>
      <c r="FB63" s="9"/>
      <c r="FC63" s="9"/>
      <c r="FD63" s="9"/>
      <c r="FE63" s="9"/>
      <c r="FF63" s="9"/>
      <c r="FG63" s="9"/>
      <c r="FH63" s="9"/>
      <c r="FI63" s="9"/>
      <c r="FJ63" s="9"/>
      <c r="FK63" s="9"/>
      <c r="FL63" s="9"/>
      <c r="FM63" s="9"/>
      <c r="FN63" s="9"/>
      <c r="FO63" s="9"/>
      <c r="FP63" s="9"/>
      <c r="FQ63" s="9"/>
      <c r="FR63" s="9"/>
      <c r="FS63" s="9"/>
      <c r="FT63" s="9"/>
      <c r="FU63" s="9"/>
      <c r="FV63" s="9"/>
      <c r="FW63" s="10"/>
      <c r="FX63" s="9"/>
      <c r="FY63" s="9"/>
      <c r="FZ63" s="9"/>
      <c r="GA63" s="9"/>
      <c r="GB63" s="9"/>
      <c r="GC63" s="9"/>
      <c r="GD63" s="9"/>
      <c r="GE63" s="9"/>
      <c r="GF63" s="9"/>
      <c r="GG63" s="9"/>
      <c r="GH63" s="9"/>
      <c r="GI63" s="9"/>
      <c r="GJ63" s="9"/>
      <c r="GK63" s="9"/>
      <c r="GL63" s="9"/>
      <c r="GM63" s="9"/>
      <c r="GN63" s="9"/>
      <c r="GO63" s="9"/>
      <c r="GP63" s="9"/>
      <c r="GQ63" s="9"/>
      <c r="GR63" s="9"/>
      <c r="GS63" s="9"/>
      <c r="GT63" s="9"/>
      <c r="GU63" s="9"/>
      <c r="GV63" s="9"/>
      <c r="GW63" s="9"/>
      <c r="GX63" s="9"/>
      <c r="GY63" s="10"/>
      <c r="GZ63" s="9"/>
      <c r="HA63" s="9"/>
    </row>
    <row r="64" spans="1:209" s="2" customFormat="1" ht="17" customHeight="1">
      <c r="A64" s="14" t="s">
        <v>63</v>
      </c>
      <c r="B64" s="35">
        <v>3400</v>
      </c>
      <c r="C64" s="35">
        <v>503</v>
      </c>
      <c r="D64" s="4">
        <f t="shared" si="27"/>
        <v>0.14794117647058824</v>
      </c>
      <c r="E64" s="11">
        <v>10</v>
      </c>
      <c r="F64" s="5" t="s">
        <v>362</v>
      </c>
      <c r="G64" s="5" t="s">
        <v>362</v>
      </c>
      <c r="H64" s="5" t="s">
        <v>362</v>
      </c>
      <c r="I64" s="5" t="s">
        <v>362</v>
      </c>
      <c r="J64" s="5" t="s">
        <v>362</v>
      </c>
      <c r="K64" s="5" t="s">
        <v>362</v>
      </c>
      <c r="L64" s="5" t="s">
        <v>362</v>
      </c>
      <c r="M64" s="5" t="s">
        <v>362</v>
      </c>
      <c r="N64" s="35">
        <v>647.6</v>
      </c>
      <c r="O64" s="35">
        <v>407.2</v>
      </c>
      <c r="P64" s="4">
        <f t="shared" si="28"/>
        <v>0.62878319950586781</v>
      </c>
      <c r="Q64" s="11">
        <v>20</v>
      </c>
      <c r="R64" s="35">
        <v>36</v>
      </c>
      <c r="S64" s="35">
        <v>36.9</v>
      </c>
      <c r="T64" s="4">
        <f t="shared" si="29"/>
        <v>1.0249999999999999</v>
      </c>
      <c r="U64" s="11">
        <v>25</v>
      </c>
      <c r="V64" s="35">
        <v>27</v>
      </c>
      <c r="W64" s="35">
        <v>27.4</v>
      </c>
      <c r="X64" s="4">
        <f t="shared" si="30"/>
        <v>1.0148148148148148</v>
      </c>
      <c r="Y64" s="11">
        <v>25</v>
      </c>
      <c r="Z64" s="35">
        <v>5000</v>
      </c>
      <c r="AA64" s="35">
        <v>4932</v>
      </c>
      <c r="AB64" s="4">
        <f t="shared" si="31"/>
        <v>0.98640000000000005</v>
      </c>
      <c r="AC64" s="11">
        <v>5</v>
      </c>
      <c r="AD64" s="11">
        <v>581</v>
      </c>
      <c r="AE64" s="11">
        <v>620</v>
      </c>
      <c r="AF64" s="4">
        <f t="shared" si="32"/>
        <v>1.0671256454388984</v>
      </c>
      <c r="AG64" s="11">
        <v>20</v>
      </c>
      <c r="AH64" s="5" t="s">
        <v>362</v>
      </c>
      <c r="AI64" s="5" t="s">
        <v>362</v>
      </c>
      <c r="AJ64" s="5" t="s">
        <v>362</v>
      </c>
      <c r="AK64" s="5" t="s">
        <v>362</v>
      </c>
      <c r="AL64" s="5" t="s">
        <v>362</v>
      </c>
      <c r="AM64" s="5" t="s">
        <v>362</v>
      </c>
      <c r="AN64" s="5" t="s">
        <v>362</v>
      </c>
      <c r="AO64" s="5" t="s">
        <v>362</v>
      </c>
      <c r="AP64" s="44">
        <f t="shared" si="40"/>
        <v>0.86976151460925299</v>
      </c>
      <c r="AQ64" s="45">
        <v>847</v>
      </c>
      <c r="AR64" s="35">
        <f t="shared" si="41"/>
        <v>231</v>
      </c>
      <c r="AS64" s="35">
        <f t="shared" si="33"/>
        <v>200.9</v>
      </c>
      <c r="AT64" s="35">
        <f t="shared" si="34"/>
        <v>-30.099999999999994</v>
      </c>
      <c r="AU64" s="35">
        <v>57.5</v>
      </c>
      <c r="AV64" s="35">
        <v>64</v>
      </c>
      <c r="AW64" s="35">
        <f t="shared" si="35"/>
        <v>79.400000000000006</v>
      </c>
      <c r="AX64" s="35"/>
      <c r="AY64" s="35">
        <f t="shared" si="36"/>
        <v>79.400000000000006</v>
      </c>
      <c r="AZ64" s="35">
        <v>0</v>
      </c>
      <c r="BA64" s="35">
        <f t="shared" si="37"/>
        <v>79.400000000000006</v>
      </c>
      <c r="BB64" s="35">
        <f>MIN(BA64,38.5)</f>
        <v>38.5</v>
      </c>
      <c r="BC64" s="35">
        <f t="shared" si="38"/>
        <v>40.9</v>
      </c>
      <c r="BD64" s="35">
        <v>39.6</v>
      </c>
      <c r="BE64" s="35">
        <f t="shared" si="39"/>
        <v>1.3</v>
      </c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9"/>
      <c r="CJ64" s="9"/>
      <c r="CK64" s="9"/>
      <c r="CL64" s="9"/>
      <c r="CM64" s="9"/>
      <c r="CN64" s="9"/>
      <c r="CO64" s="9"/>
      <c r="CP64" s="9"/>
      <c r="CQ64" s="10"/>
      <c r="CR64" s="9"/>
      <c r="CS64" s="9"/>
      <c r="CT64" s="9"/>
      <c r="CU64" s="9"/>
      <c r="CV64" s="9"/>
      <c r="CW64" s="9"/>
      <c r="CX64" s="9"/>
      <c r="CY64" s="9"/>
      <c r="CZ64" s="9"/>
      <c r="DA64" s="9"/>
      <c r="DB64" s="9"/>
      <c r="DC64" s="9"/>
      <c r="DD64" s="9"/>
      <c r="DE64" s="9"/>
      <c r="DF64" s="9"/>
      <c r="DG64" s="9"/>
      <c r="DH64" s="9"/>
      <c r="DI64" s="9"/>
      <c r="DJ64" s="9"/>
      <c r="DK64" s="9"/>
      <c r="DL64" s="9"/>
      <c r="DM64" s="9"/>
      <c r="DN64" s="9"/>
      <c r="DO64" s="9"/>
      <c r="DP64" s="9"/>
      <c r="DQ64" s="9"/>
      <c r="DR64" s="9"/>
      <c r="DS64" s="10"/>
      <c r="DT64" s="9"/>
      <c r="DU64" s="9"/>
      <c r="DV64" s="9"/>
      <c r="DW64" s="9"/>
      <c r="DX64" s="9"/>
      <c r="DY64" s="9"/>
      <c r="DZ64" s="9"/>
      <c r="EA64" s="9"/>
      <c r="EB64" s="9"/>
      <c r="EC64" s="9"/>
      <c r="ED64" s="9"/>
      <c r="EE64" s="9"/>
      <c r="EF64" s="9"/>
      <c r="EG64" s="9"/>
      <c r="EH64" s="9"/>
      <c r="EI64" s="9"/>
      <c r="EJ64" s="9"/>
      <c r="EK64" s="9"/>
      <c r="EL64" s="9"/>
      <c r="EM64" s="9"/>
      <c r="EN64" s="9"/>
      <c r="EO64" s="9"/>
      <c r="EP64" s="9"/>
      <c r="EQ64" s="9"/>
      <c r="ER64" s="9"/>
      <c r="ES64" s="9"/>
      <c r="ET64" s="9"/>
      <c r="EU64" s="10"/>
      <c r="EV64" s="9"/>
      <c r="EW64" s="9"/>
      <c r="EX64" s="9"/>
      <c r="EY64" s="9"/>
      <c r="EZ64" s="9"/>
      <c r="FA64" s="9"/>
      <c r="FB64" s="9"/>
      <c r="FC64" s="9"/>
      <c r="FD64" s="9"/>
      <c r="FE64" s="9"/>
      <c r="FF64" s="9"/>
      <c r="FG64" s="9"/>
      <c r="FH64" s="9"/>
      <c r="FI64" s="9"/>
      <c r="FJ64" s="9"/>
      <c r="FK64" s="9"/>
      <c r="FL64" s="9"/>
      <c r="FM64" s="9"/>
      <c r="FN64" s="9"/>
      <c r="FO64" s="9"/>
      <c r="FP64" s="9"/>
      <c r="FQ64" s="9"/>
      <c r="FR64" s="9"/>
      <c r="FS64" s="9"/>
      <c r="FT64" s="9"/>
      <c r="FU64" s="9"/>
      <c r="FV64" s="9"/>
      <c r="FW64" s="10"/>
      <c r="FX64" s="9"/>
      <c r="FY64" s="9"/>
      <c r="FZ64" s="9"/>
      <c r="GA64" s="9"/>
      <c r="GB64" s="9"/>
      <c r="GC64" s="9"/>
      <c r="GD64" s="9"/>
      <c r="GE64" s="9"/>
      <c r="GF64" s="9"/>
      <c r="GG64" s="9"/>
      <c r="GH64" s="9"/>
      <c r="GI64" s="9"/>
      <c r="GJ64" s="9"/>
      <c r="GK64" s="9"/>
      <c r="GL64" s="9"/>
      <c r="GM64" s="9"/>
      <c r="GN64" s="9"/>
      <c r="GO64" s="9"/>
      <c r="GP64" s="9"/>
      <c r="GQ64" s="9"/>
      <c r="GR64" s="9"/>
      <c r="GS64" s="9"/>
      <c r="GT64" s="9"/>
      <c r="GU64" s="9"/>
      <c r="GV64" s="9"/>
      <c r="GW64" s="9"/>
      <c r="GX64" s="9"/>
      <c r="GY64" s="10"/>
      <c r="GZ64" s="9"/>
      <c r="HA64" s="9"/>
    </row>
    <row r="65" spans="1:209" s="2" customFormat="1" ht="17" customHeight="1">
      <c r="A65" s="18" t="s">
        <v>64</v>
      </c>
      <c r="B65" s="6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35"/>
      <c r="AA65" s="35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35"/>
      <c r="BD65" s="35"/>
      <c r="BE65" s="35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10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10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10"/>
      <c r="EV65" s="9"/>
      <c r="EW65" s="9"/>
      <c r="EX65" s="9"/>
      <c r="EY65" s="9"/>
      <c r="EZ65" s="9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  <c r="FL65" s="9"/>
      <c r="FM65" s="9"/>
      <c r="FN65" s="9"/>
      <c r="FO65" s="9"/>
      <c r="FP65" s="9"/>
      <c r="FQ65" s="9"/>
      <c r="FR65" s="9"/>
      <c r="FS65" s="9"/>
      <c r="FT65" s="9"/>
      <c r="FU65" s="9"/>
      <c r="FV65" s="9"/>
      <c r="FW65" s="10"/>
      <c r="FX65" s="9"/>
      <c r="FY65" s="9"/>
      <c r="FZ65" s="9"/>
      <c r="GA65" s="9"/>
      <c r="GB65" s="9"/>
      <c r="GC65" s="9"/>
      <c r="GD65" s="9"/>
      <c r="GE65" s="9"/>
      <c r="GF65" s="9"/>
      <c r="GG65" s="9"/>
      <c r="GH65" s="9"/>
      <c r="GI65" s="9"/>
      <c r="GJ65" s="9"/>
      <c r="GK65" s="9"/>
      <c r="GL65" s="9"/>
      <c r="GM65" s="9"/>
      <c r="GN65" s="9"/>
      <c r="GO65" s="9"/>
      <c r="GP65" s="9"/>
      <c r="GQ65" s="9"/>
      <c r="GR65" s="9"/>
      <c r="GS65" s="9"/>
      <c r="GT65" s="9"/>
      <c r="GU65" s="9"/>
      <c r="GV65" s="9"/>
      <c r="GW65" s="9"/>
      <c r="GX65" s="9"/>
      <c r="GY65" s="10"/>
      <c r="GZ65" s="9"/>
      <c r="HA65" s="9"/>
    </row>
    <row r="66" spans="1:209" s="2" customFormat="1" ht="17" customHeight="1">
      <c r="A66" s="14" t="s">
        <v>65</v>
      </c>
      <c r="B66" s="35">
        <v>0</v>
      </c>
      <c r="C66" s="35">
        <v>3</v>
      </c>
      <c r="D66" s="4">
        <f t="shared" si="27"/>
        <v>1</v>
      </c>
      <c r="E66" s="11">
        <v>10</v>
      </c>
      <c r="F66" s="5" t="s">
        <v>362</v>
      </c>
      <c r="G66" s="5" t="s">
        <v>362</v>
      </c>
      <c r="H66" s="5" t="s">
        <v>362</v>
      </c>
      <c r="I66" s="5" t="s">
        <v>362</v>
      </c>
      <c r="J66" s="5" t="s">
        <v>362</v>
      </c>
      <c r="K66" s="5" t="s">
        <v>362</v>
      </c>
      <c r="L66" s="5" t="s">
        <v>362</v>
      </c>
      <c r="M66" s="5" t="s">
        <v>362</v>
      </c>
      <c r="N66" s="35">
        <v>1111.5</v>
      </c>
      <c r="O66" s="35">
        <v>444.9</v>
      </c>
      <c r="P66" s="4">
        <f t="shared" si="28"/>
        <v>0.40026990553306341</v>
      </c>
      <c r="Q66" s="11">
        <v>20</v>
      </c>
      <c r="R66" s="35">
        <v>2514.4</v>
      </c>
      <c r="S66" s="35">
        <v>2514.6</v>
      </c>
      <c r="T66" s="4">
        <f t="shared" si="29"/>
        <v>1.0000795418390072</v>
      </c>
      <c r="U66" s="11">
        <v>30</v>
      </c>
      <c r="V66" s="35">
        <v>8.1999999999999993</v>
      </c>
      <c r="W66" s="35">
        <v>8.9</v>
      </c>
      <c r="X66" s="4">
        <f t="shared" si="30"/>
        <v>1.0853658536585367</v>
      </c>
      <c r="Y66" s="11">
        <v>20</v>
      </c>
      <c r="Z66" s="35">
        <v>9550</v>
      </c>
      <c r="AA66" s="35">
        <v>11630</v>
      </c>
      <c r="AB66" s="4">
        <f t="shared" si="31"/>
        <v>1.2017801047120418</v>
      </c>
      <c r="AC66" s="11">
        <v>5</v>
      </c>
      <c r="AD66" s="11">
        <v>1850</v>
      </c>
      <c r="AE66" s="11">
        <v>2001</v>
      </c>
      <c r="AF66" s="4">
        <f t="shared" si="32"/>
        <v>1.0816216216216217</v>
      </c>
      <c r="AG66" s="11">
        <v>20</v>
      </c>
      <c r="AH66" s="5" t="s">
        <v>362</v>
      </c>
      <c r="AI66" s="5" t="s">
        <v>362</v>
      </c>
      <c r="AJ66" s="5" t="s">
        <v>362</v>
      </c>
      <c r="AK66" s="5" t="s">
        <v>362</v>
      </c>
      <c r="AL66" s="5" t="s">
        <v>362</v>
      </c>
      <c r="AM66" s="5" t="s">
        <v>362</v>
      </c>
      <c r="AN66" s="5" t="s">
        <v>362</v>
      </c>
      <c r="AO66" s="5" t="s">
        <v>362</v>
      </c>
      <c r="AP66" s="44">
        <f t="shared" si="40"/>
        <v>0.92720413709518923</v>
      </c>
      <c r="AQ66" s="45">
        <v>2206</v>
      </c>
      <c r="AR66" s="35">
        <f t="shared" si="41"/>
        <v>601.63636363636363</v>
      </c>
      <c r="AS66" s="35">
        <f t="shared" si="33"/>
        <v>557.79999999999995</v>
      </c>
      <c r="AT66" s="35">
        <f t="shared" si="34"/>
        <v>-43.836363636363672</v>
      </c>
      <c r="AU66" s="35">
        <v>188</v>
      </c>
      <c r="AV66" s="35">
        <v>192.2</v>
      </c>
      <c r="AW66" s="35">
        <f t="shared" si="35"/>
        <v>177.6</v>
      </c>
      <c r="AX66" s="35"/>
      <c r="AY66" s="35">
        <f t="shared" si="36"/>
        <v>177.6</v>
      </c>
      <c r="AZ66" s="35">
        <v>0</v>
      </c>
      <c r="BA66" s="35">
        <f t="shared" si="37"/>
        <v>177.6</v>
      </c>
      <c r="BB66" s="35"/>
      <c r="BC66" s="35">
        <f t="shared" si="38"/>
        <v>177.6</v>
      </c>
      <c r="BD66" s="35">
        <v>169.4</v>
      </c>
      <c r="BE66" s="35">
        <f t="shared" si="39"/>
        <v>8.1999999999999993</v>
      </c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10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10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10"/>
      <c r="EV66" s="9"/>
      <c r="EW66" s="9"/>
      <c r="EX66" s="9"/>
      <c r="EY66" s="9"/>
      <c r="EZ66" s="9"/>
      <c r="FA66" s="9"/>
      <c r="FB66" s="9"/>
      <c r="FC66" s="9"/>
      <c r="FD66" s="9"/>
      <c r="FE66" s="9"/>
      <c r="FF66" s="9"/>
      <c r="FG66" s="9"/>
      <c r="FH66" s="9"/>
      <c r="FI66" s="9"/>
      <c r="FJ66" s="9"/>
      <c r="FK66" s="9"/>
      <c r="FL66" s="9"/>
      <c r="FM66" s="9"/>
      <c r="FN66" s="9"/>
      <c r="FO66" s="9"/>
      <c r="FP66" s="9"/>
      <c r="FQ66" s="9"/>
      <c r="FR66" s="9"/>
      <c r="FS66" s="9"/>
      <c r="FT66" s="9"/>
      <c r="FU66" s="9"/>
      <c r="FV66" s="9"/>
      <c r="FW66" s="10"/>
      <c r="FX66" s="9"/>
      <c r="FY66" s="9"/>
      <c r="FZ66" s="9"/>
      <c r="GA66" s="9"/>
      <c r="GB66" s="9"/>
      <c r="GC66" s="9"/>
      <c r="GD66" s="9"/>
      <c r="GE66" s="9"/>
      <c r="GF66" s="9"/>
      <c r="GG66" s="9"/>
      <c r="GH66" s="9"/>
      <c r="GI66" s="9"/>
      <c r="GJ66" s="9"/>
      <c r="GK66" s="9"/>
      <c r="GL66" s="9"/>
      <c r="GM66" s="9"/>
      <c r="GN66" s="9"/>
      <c r="GO66" s="9"/>
      <c r="GP66" s="9"/>
      <c r="GQ66" s="9"/>
      <c r="GR66" s="9"/>
      <c r="GS66" s="9"/>
      <c r="GT66" s="9"/>
      <c r="GU66" s="9"/>
      <c r="GV66" s="9"/>
      <c r="GW66" s="9"/>
      <c r="GX66" s="9"/>
      <c r="GY66" s="10"/>
      <c r="GZ66" s="9"/>
      <c r="HA66" s="9"/>
    </row>
    <row r="67" spans="1:209" s="2" customFormat="1" ht="17" customHeight="1">
      <c r="A67" s="14" t="s">
        <v>66</v>
      </c>
      <c r="B67" s="35">
        <v>46524</v>
      </c>
      <c r="C67" s="35">
        <v>49021.599999999999</v>
      </c>
      <c r="D67" s="4">
        <f t="shared" si="27"/>
        <v>1.0536841200240736</v>
      </c>
      <c r="E67" s="11">
        <v>10</v>
      </c>
      <c r="F67" s="5" t="s">
        <v>362</v>
      </c>
      <c r="G67" s="5" t="s">
        <v>362</v>
      </c>
      <c r="H67" s="5" t="s">
        <v>362</v>
      </c>
      <c r="I67" s="5" t="s">
        <v>362</v>
      </c>
      <c r="J67" s="5" t="s">
        <v>362</v>
      </c>
      <c r="K67" s="5" t="s">
        <v>362</v>
      </c>
      <c r="L67" s="5" t="s">
        <v>362</v>
      </c>
      <c r="M67" s="5" t="s">
        <v>362</v>
      </c>
      <c r="N67" s="35">
        <v>3082.6</v>
      </c>
      <c r="O67" s="35">
        <v>3363.5</v>
      </c>
      <c r="P67" s="4">
        <f t="shared" si="28"/>
        <v>1.0911243755271525</v>
      </c>
      <c r="Q67" s="11">
        <v>20</v>
      </c>
      <c r="R67" s="35">
        <v>13.5</v>
      </c>
      <c r="S67" s="35">
        <v>13.6</v>
      </c>
      <c r="T67" s="4">
        <f t="shared" si="29"/>
        <v>1.0074074074074073</v>
      </c>
      <c r="U67" s="11">
        <v>5</v>
      </c>
      <c r="V67" s="35">
        <v>402.4</v>
      </c>
      <c r="W67" s="35">
        <v>376.7</v>
      </c>
      <c r="X67" s="4">
        <f t="shared" si="30"/>
        <v>0.93613320079522866</v>
      </c>
      <c r="Y67" s="11">
        <v>45</v>
      </c>
      <c r="Z67" s="35">
        <v>187100</v>
      </c>
      <c r="AA67" s="35">
        <v>182765</v>
      </c>
      <c r="AB67" s="4">
        <f t="shared" si="31"/>
        <v>0.97683057188669165</v>
      </c>
      <c r="AC67" s="11">
        <v>5</v>
      </c>
      <c r="AD67" s="11">
        <v>360</v>
      </c>
      <c r="AE67" s="11">
        <v>289</v>
      </c>
      <c r="AF67" s="4">
        <f t="shared" si="32"/>
        <v>0.80277777777777781</v>
      </c>
      <c r="AG67" s="11">
        <v>20</v>
      </c>
      <c r="AH67" s="5" t="s">
        <v>362</v>
      </c>
      <c r="AI67" s="5" t="s">
        <v>362</v>
      </c>
      <c r="AJ67" s="5" t="s">
        <v>362</v>
      </c>
      <c r="AK67" s="5" t="s">
        <v>362</v>
      </c>
      <c r="AL67" s="5" t="s">
        <v>362</v>
      </c>
      <c r="AM67" s="5" t="s">
        <v>362</v>
      </c>
      <c r="AN67" s="5" t="s">
        <v>362</v>
      </c>
      <c r="AO67" s="5" t="s">
        <v>362</v>
      </c>
      <c r="AP67" s="44">
        <f t="shared" si="40"/>
        <v>0.95678160189138206</v>
      </c>
      <c r="AQ67" s="45">
        <v>2564</v>
      </c>
      <c r="AR67" s="35">
        <f t="shared" si="41"/>
        <v>699.27272727272725</v>
      </c>
      <c r="AS67" s="35">
        <f t="shared" si="33"/>
        <v>669.1</v>
      </c>
      <c r="AT67" s="35">
        <f t="shared" si="34"/>
        <v>-30.172727272727229</v>
      </c>
      <c r="AU67" s="35">
        <v>256.3</v>
      </c>
      <c r="AV67" s="35">
        <v>260.7</v>
      </c>
      <c r="AW67" s="35">
        <f t="shared" si="35"/>
        <v>152.1</v>
      </c>
      <c r="AX67" s="35"/>
      <c r="AY67" s="35">
        <f t="shared" si="36"/>
        <v>152.1</v>
      </c>
      <c r="AZ67" s="35">
        <v>0</v>
      </c>
      <c r="BA67" s="35">
        <f t="shared" si="37"/>
        <v>152.1</v>
      </c>
      <c r="BB67" s="35">
        <f>MIN(BA67,116.5)</f>
        <v>116.5</v>
      </c>
      <c r="BC67" s="35">
        <f t="shared" si="38"/>
        <v>35.6</v>
      </c>
      <c r="BD67" s="35">
        <v>34.9</v>
      </c>
      <c r="BE67" s="35">
        <f t="shared" si="39"/>
        <v>0.7</v>
      </c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10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10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10"/>
      <c r="EV67" s="9"/>
      <c r="EW67" s="9"/>
      <c r="EX67" s="9"/>
      <c r="EY67" s="9"/>
      <c r="EZ67" s="9"/>
      <c r="FA67" s="9"/>
      <c r="FB67" s="9"/>
      <c r="FC67" s="9"/>
      <c r="FD67" s="9"/>
      <c r="FE67" s="9"/>
      <c r="FF67" s="9"/>
      <c r="FG67" s="9"/>
      <c r="FH67" s="9"/>
      <c r="FI67" s="9"/>
      <c r="FJ67" s="9"/>
      <c r="FK67" s="9"/>
      <c r="FL67" s="9"/>
      <c r="FM67" s="9"/>
      <c r="FN67" s="9"/>
      <c r="FO67" s="9"/>
      <c r="FP67" s="9"/>
      <c r="FQ67" s="9"/>
      <c r="FR67" s="9"/>
      <c r="FS67" s="9"/>
      <c r="FT67" s="9"/>
      <c r="FU67" s="9"/>
      <c r="FV67" s="9"/>
      <c r="FW67" s="10"/>
      <c r="FX67" s="9"/>
      <c r="FY67" s="9"/>
      <c r="FZ67" s="9"/>
      <c r="GA67" s="9"/>
      <c r="GB67" s="9"/>
      <c r="GC67" s="9"/>
      <c r="GD67" s="9"/>
      <c r="GE67" s="9"/>
      <c r="GF67" s="9"/>
      <c r="GG67" s="9"/>
      <c r="GH67" s="9"/>
      <c r="GI67" s="9"/>
      <c r="GJ67" s="9"/>
      <c r="GK67" s="9"/>
      <c r="GL67" s="9"/>
      <c r="GM67" s="9"/>
      <c r="GN67" s="9"/>
      <c r="GO67" s="9"/>
      <c r="GP67" s="9"/>
      <c r="GQ67" s="9"/>
      <c r="GR67" s="9"/>
      <c r="GS67" s="9"/>
      <c r="GT67" s="9"/>
      <c r="GU67" s="9"/>
      <c r="GV67" s="9"/>
      <c r="GW67" s="9"/>
      <c r="GX67" s="9"/>
      <c r="GY67" s="10"/>
      <c r="GZ67" s="9"/>
      <c r="HA67" s="9"/>
    </row>
    <row r="68" spans="1:209" s="2" customFormat="1" ht="17" customHeight="1">
      <c r="A68" s="14" t="s">
        <v>67</v>
      </c>
      <c r="B68" s="35">
        <v>0</v>
      </c>
      <c r="C68" s="35">
        <v>862.3</v>
      </c>
      <c r="D68" s="4">
        <f t="shared" si="27"/>
        <v>1</v>
      </c>
      <c r="E68" s="11">
        <v>10</v>
      </c>
      <c r="F68" s="5" t="s">
        <v>362</v>
      </c>
      <c r="G68" s="5" t="s">
        <v>362</v>
      </c>
      <c r="H68" s="5" t="s">
        <v>362</v>
      </c>
      <c r="I68" s="5" t="s">
        <v>362</v>
      </c>
      <c r="J68" s="5" t="s">
        <v>362</v>
      </c>
      <c r="K68" s="5" t="s">
        <v>362</v>
      </c>
      <c r="L68" s="5" t="s">
        <v>362</v>
      </c>
      <c r="M68" s="5" t="s">
        <v>362</v>
      </c>
      <c r="N68" s="35">
        <v>458.2</v>
      </c>
      <c r="O68" s="35">
        <v>403.7</v>
      </c>
      <c r="P68" s="4">
        <f t="shared" si="28"/>
        <v>0.88105630728939333</v>
      </c>
      <c r="Q68" s="11">
        <v>20</v>
      </c>
      <c r="R68" s="35">
        <v>81.099999999999994</v>
      </c>
      <c r="S68" s="35">
        <v>86.2</v>
      </c>
      <c r="T68" s="4">
        <f t="shared" si="29"/>
        <v>1.0628853267570901</v>
      </c>
      <c r="U68" s="11">
        <v>20</v>
      </c>
      <c r="V68" s="35">
        <v>41.3</v>
      </c>
      <c r="W68" s="35">
        <v>45.6</v>
      </c>
      <c r="X68" s="4">
        <f t="shared" si="30"/>
        <v>1.1041162227602908</v>
      </c>
      <c r="Y68" s="11">
        <v>30</v>
      </c>
      <c r="Z68" s="35">
        <v>4960</v>
      </c>
      <c r="AA68" s="35">
        <v>4569</v>
      </c>
      <c r="AB68" s="4">
        <f t="shared" si="31"/>
        <v>0.92116935483870965</v>
      </c>
      <c r="AC68" s="11">
        <v>5</v>
      </c>
      <c r="AD68" s="11">
        <v>160</v>
      </c>
      <c r="AE68" s="11">
        <v>170</v>
      </c>
      <c r="AF68" s="4">
        <f t="shared" si="32"/>
        <v>1.0625</v>
      </c>
      <c r="AG68" s="11">
        <v>20</v>
      </c>
      <c r="AH68" s="5" t="s">
        <v>362</v>
      </c>
      <c r="AI68" s="5" t="s">
        <v>362</v>
      </c>
      <c r="AJ68" s="5" t="s">
        <v>362</v>
      </c>
      <c r="AK68" s="5" t="s">
        <v>362</v>
      </c>
      <c r="AL68" s="5" t="s">
        <v>362</v>
      </c>
      <c r="AM68" s="5" t="s">
        <v>362</v>
      </c>
      <c r="AN68" s="5" t="s">
        <v>362</v>
      </c>
      <c r="AO68" s="5" t="s">
        <v>362</v>
      </c>
      <c r="AP68" s="44">
        <f t="shared" si="40"/>
        <v>1.0272206298850661</v>
      </c>
      <c r="AQ68" s="45">
        <v>1012</v>
      </c>
      <c r="AR68" s="35">
        <f t="shared" si="41"/>
        <v>276</v>
      </c>
      <c r="AS68" s="35">
        <f t="shared" si="33"/>
        <v>283.5</v>
      </c>
      <c r="AT68" s="35">
        <f t="shared" si="34"/>
        <v>7.5</v>
      </c>
      <c r="AU68" s="35">
        <v>96.4</v>
      </c>
      <c r="AV68" s="35">
        <v>93.5</v>
      </c>
      <c r="AW68" s="35">
        <f t="shared" si="35"/>
        <v>93.6</v>
      </c>
      <c r="AX68" s="35"/>
      <c r="AY68" s="35">
        <f t="shared" si="36"/>
        <v>93.6</v>
      </c>
      <c r="AZ68" s="35">
        <v>0</v>
      </c>
      <c r="BA68" s="35">
        <f t="shared" si="37"/>
        <v>93.6</v>
      </c>
      <c r="BB68" s="35"/>
      <c r="BC68" s="35">
        <f t="shared" si="38"/>
        <v>93.6</v>
      </c>
      <c r="BD68" s="35">
        <v>95.1</v>
      </c>
      <c r="BE68" s="35">
        <f t="shared" si="39"/>
        <v>-1.5</v>
      </c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10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10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10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10"/>
      <c r="FX68" s="9"/>
      <c r="FY68" s="9"/>
      <c r="FZ68" s="9"/>
      <c r="GA68" s="9"/>
      <c r="GB68" s="9"/>
      <c r="GC68" s="9"/>
      <c r="GD68" s="9"/>
      <c r="GE68" s="9"/>
      <c r="GF68" s="9"/>
      <c r="GG68" s="9"/>
      <c r="GH68" s="9"/>
      <c r="GI68" s="9"/>
      <c r="GJ68" s="9"/>
      <c r="GK68" s="9"/>
      <c r="GL68" s="9"/>
      <c r="GM68" s="9"/>
      <c r="GN68" s="9"/>
      <c r="GO68" s="9"/>
      <c r="GP68" s="9"/>
      <c r="GQ68" s="9"/>
      <c r="GR68" s="9"/>
      <c r="GS68" s="9"/>
      <c r="GT68" s="9"/>
      <c r="GU68" s="9"/>
      <c r="GV68" s="9"/>
      <c r="GW68" s="9"/>
      <c r="GX68" s="9"/>
      <c r="GY68" s="10"/>
      <c r="GZ68" s="9"/>
      <c r="HA68" s="9"/>
    </row>
    <row r="69" spans="1:209" s="2" customFormat="1" ht="17" customHeight="1">
      <c r="A69" s="14" t="s">
        <v>68</v>
      </c>
      <c r="B69" s="35">
        <v>562925</v>
      </c>
      <c r="C69" s="35">
        <v>512537</v>
      </c>
      <c r="D69" s="4">
        <f t="shared" si="27"/>
        <v>0.91048896389394685</v>
      </c>
      <c r="E69" s="11">
        <v>10</v>
      </c>
      <c r="F69" s="5" t="s">
        <v>362</v>
      </c>
      <c r="G69" s="5" t="s">
        <v>362</v>
      </c>
      <c r="H69" s="5" t="s">
        <v>362</v>
      </c>
      <c r="I69" s="5" t="s">
        <v>362</v>
      </c>
      <c r="J69" s="5" t="s">
        <v>362</v>
      </c>
      <c r="K69" s="5" t="s">
        <v>362</v>
      </c>
      <c r="L69" s="5" t="s">
        <v>362</v>
      </c>
      <c r="M69" s="5" t="s">
        <v>362</v>
      </c>
      <c r="N69" s="35">
        <v>1674.9</v>
      </c>
      <c r="O69" s="35">
        <v>1329.8</v>
      </c>
      <c r="P69" s="4">
        <f t="shared" si="28"/>
        <v>0.79395784822974502</v>
      </c>
      <c r="Q69" s="11">
        <v>20</v>
      </c>
      <c r="R69" s="35">
        <v>11.4</v>
      </c>
      <c r="S69" s="35">
        <v>15.4</v>
      </c>
      <c r="T69" s="4">
        <f t="shared" si="29"/>
        <v>1.2150877192982457</v>
      </c>
      <c r="U69" s="11">
        <v>10</v>
      </c>
      <c r="V69" s="35">
        <v>12.7</v>
      </c>
      <c r="W69" s="35">
        <v>101.4</v>
      </c>
      <c r="X69" s="4">
        <f t="shared" si="30"/>
        <v>1.3</v>
      </c>
      <c r="Y69" s="11">
        <v>40</v>
      </c>
      <c r="Z69" s="35">
        <v>3120</v>
      </c>
      <c r="AA69" s="35">
        <v>3323</v>
      </c>
      <c r="AB69" s="4">
        <f t="shared" si="31"/>
        <v>1.0650641025641026</v>
      </c>
      <c r="AC69" s="11">
        <v>5</v>
      </c>
      <c r="AD69" s="11">
        <v>130</v>
      </c>
      <c r="AE69" s="11">
        <v>116</v>
      </c>
      <c r="AF69" s="4">
        <f t="shared" si="32"/>
        <v>0.89230769230769236</v>
      </c>
      <c r="AG69" s="11">
        <v>20</v>
      </c>
      <c r="AH69" s="5" t="s">
        <v>362</v>
      </c>
      <c r="AI69" s="5" t="s">
        <v>362</v>
      </c>
      <c r="AJ69" s="5" t="s">
        <v>362</v>
      </c>
      <c r="AK69" s="5" t="s">
        <v>362</v>
      </c>
      <c r="AL69" s="5" t="s">
        <v>362</v>
      </c>
      <c r="AM69" s="5" t="s">
        <v>362</v>
      </c>
      <c r="AN69" s="5" t="s">
        <v>362</v>
      </c>
      <c r="AO69" s="5" t="s">
        <v>362</v>
      </c>
      <c r="AP69" s="44">
        <f t="shared" si="40"/>
        <v>1.0695847443380113</v>
      </c>
      <c r="AQ69" s="45">
        <v>1599</v>
      </c>
      <c r="AR69" s="35">
        <f t="shared" si="41"/>
        <v>436.09090909090912</v>
      </c>
      <c r="AS69" s="35">
        <f t="shared" si="33"/>
        <v>466.4</v>
      </c>
      <c r="AT69" s="35">
        <f t="shared" si="34"/>
        <v>30.309090909090855</v>
      </c>
      <c r="AU69" s="35">
        <v>159.6</v>
      </c>
      <c r="AV69" s="35">
        <v>147.19999999999999</v>
      </c>
      <c r="AW69" s="35">
        <f t="shared" si="35"/>
        <v>159.6</v>
      </c>
      <c r="AX69" s="35"/>
      <c r="AY69" s="35">
        <f t="shared" si="36"/>
        <v>159.6</v>
      </c>
      <c r="AZ69" s="35">
        <v>0</v>
      </c>
      <c r="BA69" s="35">
        <f t="shared" si="37"/>
        <v>159.6</v>
      </c>
      <c r="BB69" s="35">
        <f>MIN(BA69,13.8)</f>
        <v>13.8</v>
      </c>
      <c r="BC69" s="35">
        <f t="shared" si="38"/>
        <v>145.80000000000001</v>
      </c>
      <c r="BD69" s="35">
        <v>145.9</v>
      </c>
      <c r="BE69" s="35">
        <f t="shared" si="39"/>
        <v>-0.1</v>
      </c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I69" s="9"/>
      <c r="CJ69" s="9"/>
      <c r="CK69" s="9"/>
      <c r="CL69" s="9"/>
      <c r="CM69" s="9"/>
      <c r="CN69" s="9"/>
      <c r="CO69" s="9"/>
      <c r="CP69" s="9"/>
      <c r="CQ69" s="10"/>
      <c r="CR69" s="9"/>
      <c r="CS69" s="9"/>
      <c r="CT69" s="9"/>
      <c r="CU69" s="9"/>
      <c r="CV69" s="9"/>
      <c r="CW69" s="9"/>
      <c r="CX69" s="9"/>
      <c r="CY69" s="9"/>
      <c r="CZ69" s="9"/>
      <c r="DA69" s="9"/>
      <c r="DB69" s="9"/>
      <c r="DC69" s="9"/>
      <c r="DD69" s="9"/>
      <c r="DE69" s="9"/>
      <c r="DF69" s="9"/>
      <c r="DG69" s="9"/>
      <c r="DH69" s="9"/>
      <c r="DI69" s="9"/>
      <c r="DJ69" s="9"/>
      <c r="DK69" s="9"/>
      <c r="DL69" s="9"/>
      <c r="DM69" s="9"/>
      <c r="DN69" s="9"/>
      <c r="DO69" s="9"/>
      <c r="DP69" s="9"/>
      <c r="DQ69" s="9"/>
      <c r="DR69" s="9"/>
      <c r="DS69" s="10"/>
      <c r="DT69" s="9"/>
      <c r="DU69" s="9"/>
      <c r="DV69" s="9"/>
      <c r="DW69" s="9"/>
      <c r="DX69" s="9"/>
      <c r="DY69" s="9"/>
      <c r="DZ69" s="9"/>
      <c r="EA69" s="9"/>
      <c r="EB69" s="9"/>
      <c r="EC69" s="9"/>
      <c r="ED69" s="9"/>
      <c r="EE69" s="9"/>
      <c r="EF69" s="9"/>
      <c r="EG69" s="9"/>
      <c r="EH69" s="9"/>
      <c r="EI69" s="9"/>
      <c r="EJ69" s="9"/>
      <c r="EK69" s="9"/>
      <c r="EL69" s="9"/>
      <c r="EM69" s="9"/>
      <c r="EN69" s="9"/>
      <c r="EO69" s="9"/>
      <c r="EP69" s="9"/>
      <c r="EQ69" s="9"/>
      <c r="ER69" s="9"/>
      <c r="ES69" s="9"/>
      <c r="ET69" s="9"/>
      <c r="EU69" s="10"/>
      <c r="EV69" s="9"/>
      <c r="EW69" s="9"/>
      <c r="EX69" s="9"/>
      <c r="EY69" s="9"/>
      <c r="EZ69" s="9"/>
      <c r="FA69" s="9"/>
      <c r="FB69" s="9"/>
      <c r="FC69" s="9"/>
      <c r="FD69" s="9"/>
      <c r="FE69" s="9"/>
      <c r="FF69" s="9"/>
      <c r="FG69" s="9"/>
      <c r="FH69" s="9"/>
      <c r="FI69" s="9"/>
      <c r="FJ69" s="9"/>
      <c r="FK69" s="9"/>
      <c r="FL69" s="9"/>
      <c r="FM69" s="9"/>
      <c r="FN69" s="9"/>
      <c r="FO69" s="9"/>
      <c r="FP69" s="9"/>
      <c r="FQ69" s="9"/>
      <c r="FR69" s="9"/>
      <c r="FS69" s="9"/>
      <c r="FT69" s="9"/>
      <c r="FU69" s="9"/>
      <c r="FV69" s="9"/>
      <c r="FW69" s="10"/>
      <c r="FX69" s="9"/>
      <c r="FY69" s="9"/>
      <c r="FZ69" s="9"/>
      <c r="GA69" s="9"/>
      <c r="GB69" s="9"/>
      <c r="GC69" s="9"/>
      <c r="GD69" s="9"/>
      <c r="GE69" s="9"/>
      <c r="GF69" s="9"/>
      <c r="GG69" s="9"/>
      <c r="GH69" s="9"/>
      <c r="GI69" s="9"/>
      <c r="GJ69" s="9"/>
      <c r="GK69" s="9"/>
      <c r="GL69" s="9"/>
      <c r="GM69" s="9"/>
      <c r="GN69" s="9"/>
      <c r="GO69" s="9"/>
      <c r="GP69" s="9"/>
      <c r="GQ69" s="9"/>
      <c r="GR69" s="9"/>
      <c r="GS69" s="9"/>
      <c r="GT69" s="9"/>
      <c r="GU69" s="9"/>
      <c r="GV69" s="9"/>
      <c r="GW69" s="9"/>
      <c r="GX69" s="9"/>
      <c r="GY69" s="10"/>
      <c r="GZ69" s="9"/>
      <c r="HA69" s="9"/>
    </row>
    <row r="70" spans="1:209" s="2" customFormat="1" ht="17" customHeight="1">
      <c r="A70" s="14" t="s">
        <v>69</v>
      </c>
      <c r="B70" s="35">
        <v>0</v>
      </c>
      <c r="C70" s="35">
        <v>0</v>
      </c>
      <c r="D70" s="4">
        <f t="shared" si="27"/>
        <v>0</v>
      </c>
      <c r="E70" s="11">
        <v>0</v>
      </c>
      <c r="F70" s="5" t="s">
        <v>362</v>
      </c>
      <c r="G70" s="5" t="s">
        <v>362</v>
      </c>
      <c r="H70" s="5" t="s">
        <v>362</v>
      </c>
      <c r="I70" s="5" t="s">
        <v>362</v>
      </c>
      <c r="J70" s="5" t="s">
        <v>362</v>
      </c>
      <c r="K70" s="5" t="s">
        <v>362</v>
      </c>
      <c r="L70" s="5" t="s">
        <v>362</v>
      </c>
      <c r="M70" s="5" t="s">
        <v>362</v>
      </c>
      <c r="N70" s="35">
        <v>389.6</v>
      </c>
      <c r="O70" s="35">
        <v>323.8</v>
      </c>
      <c r="P70" s="4">
        <f t="shared" si="28"/>
        <v>0.83110882956878851</v>
      </c>
      <c r="Q70" s="11">
        <v>20</v>
      </c>
      <c r="R70" s="35">
        <v>110.8</v>
      </c>
      <c r="S70" s="35">
        <v>113.9</v>
      </c>
      <c r="T70" s="4">
        <f t="shared" si="29"/>
        <v>1.0279783393501807</v>
      </c>
      <c r="U70" s="11">
        <v>20</v>
      </c>
      <c r="V70" s="35">
        <v>49.7</v>
      </c>
      <c r="W70" s="35">
        <v>45.3</v>
      </c>
      <c r="X70" s="4">
        <f t="shared" si="30"/>
        <v>0.91146881287726345</v>
      </c>
      <c r="Y70" s="11">
        <v>30</v>
      </c>
      <c r="Z70" s="35">
        <v>4250</v>
      </c>
      <c r="AA70" s="35">
        <v>5400</v>
      </c>
      <c r="AB70" s="4">
        <f t="shared" si="31"/>
        <v>1.2070588235294117</v>
      </c>
      <c r="AC70" s="11">
        <v>5</v>
      </c>
      <c r="AD70" s="11">
        <v>530</v>
      </c>
      <c r="AE70" s="11">
        <v>534</v>
      </c>
      <c r="AF70" s="4">
        <f t="shared" si="32"/>
        <v>1.0075471698113208</v>
      </c>
      <c r="AG70" s="11">
        <v>20</v>
      </c>
      <c r="AH70" s="5" t="s">
        <v>362</v>
      </c>
      <c r="AI70" s="5" t="s">
        <v>362</v>
      </c>
      <c r="AJ70" s="5" t="s">
        <v>362</v>
      </c>
      <c r="AK70" s="5" t="s">
        <v>362</v>
      </c>
      <c r="AL70" s="5" t="s">
        <v>362</v>
      </c>
      <c r="AM70" s="5" t="s">
        <v>362</v>
      </c>
      <c r="AN70" s="5" t="s">
        <v>362</v>
      </c>
      <c r="AO70" s="5" t="s">
        <v>362</v>
      </c>
      <c r="AP70" s="44">
        <f t="shared" si="40"/>
        <v>0.95486363451127099</v>
      </c>
      <c r="AQ70" s="45">
        <v>1641</v>
      </c>
      <c r="AR70" s="35">
        <f t="shared" si="41"/>
        <v>447.54545454545456</v>
      </c>
      <c r="AS70" s="35">
        <f t="shared" si="33"/>
        <v>427.3</v>
      </c>
      <c r="AT70" s="35">
        <f t="shared" si="34"/>
        <v>-20.24545454545455</v>
      </c>
      <c r="AU70" s="35">
        <v>98.7</v>
      </c>
      <c r="AV70" s="35">
        <v>130.4</v>
      </c>
      <c r="AW70" s="35">
        <f t="shared" si="35"/>
        <v>198.2</v>
      </c>
      <c r="AX70" s="35"/>
      <c r="AY70" s="35">
        <f t="shared" si="36"/>
        <v>198.2</v>
      </c>
      <c r="AZ70" s="35">
        <v>0</v>
      </c>
      <c r="BA70" s="35">
        <f t="shared" si="37"/>
        <v>198.2</v>
      </c>
      <c r="BB70" s="35"/>
      <c r="BC70" s="35">
        <f t="shared" si="38"/>
        <v>198.2</v>
      </c>
      <c r="BD70" s="35">
        <v>192</v>
      </c>
      <c r="BE70" s="35">
        <f t="shared" si="39"/>
        <v>6.2</v>
      </c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9"/>
      <c r="BU70" s="9"/>
      <c r="BV70" s="9"/>
      <c r="BW70" s="9"/>
      <c r="BX70" s="9"/>
      <c r="BY70" s="9"/>
      <c r="BZ70" s="9"/>
      <c r="CA70" s="9"/>
      <c r="CB70" s="9"/>
      <c r="CC70" s="9"/>
      <c r="CD70" s="9"/>
      <c r="CE70" s="9"/>
      <c r="CF70" s="9"/>
      <c r="CG70" s="9"/>
      <c r="CH70" s="9"/>
      <c r="CI70" s="9"/>
      <c r="CJ70" s="9"/>
      <c r="CK70" s="9"/>
      <c r="CL70" s="9"/>
      <c r="CM70" s="9"/>
      <c r="CN70" s="9"/>
      <c r="CO70" s="9"/>
      <c r="CP70" s="9"/>
      <c r="CQ70" s="10"/>
      <c r="CR70" s="9"/>
      <c r="CS70" s="9"/>
      <c r="CT70" s="9"/>
      <c r="CU70" s="9"/>
      <c r="CV70" s="9"/>
      <c r="CW70" s="9"/>
      <c r="CX70" s="9"/>
      <c r="CY70" s="9"/>
      <c r="CZ70" s="9"/>
      <c r="DA70" s="9"/>
      <c r="DB70" s="9"/>
      <c r="DC70" s="9"/>
      <c r="DD70" s="9"/>
      <c r="DE70" s="9"/>
      <c r="DF70" s="9"/>
      <c r="DG70" s="9"/>
      <c r="DH70" s="9"/>
      <c r="DI70" s="9"/>
      <c r="DJ70" s="9"/>
      <c r="DK70" s="9"/>
      <c r="DL70" s="9"/>
      <c r="DM70" s="9"/>
      <c r="DN70" s="9"/>
      <c r="DO70" s="9"/>
      <c r="DP70" s="9"/>
      <c r="DQ70" s="9"/>
      <c r="DR70" s="9"/>
      <c r="DS70" s="10"/>
      <c r="DT70" s="9"/>
      <c r="DU70" s="9"/>
      <c r="DV70" s="9"/>
      <c r="DW70" s="9"/>
      <c r="DX70" s="9"/>
      <c r="DY70" s="9"/>
      <c r="DZ70" s="9"/>
      <c r="EA70" s="9"/>
      <c r="EB70" s="9"/>
      <c r="EC70" s="9"/>
      <c r="ED70" s="9"/>
      <c r="EE70" s="9"/>
      <c r="EF70" s="9"/>
      <c r="EG70" s="9"/>
      <c r="EH70" s="9"/>
      <c r="EI70" s="9"/>
      <c r="EJ70" s="9"/>
      <c r="EK70" s="9"/>
      <c r="EL70" s="9"/>
      <c r="EM70" s="9"/>
      <c r="EN70" s="9"/>
      <c r="EO70" s="9"/>
      <c r="EP70" s="9"/>
      <c r="EQ70" s="9"/>
      <c r="ER70" s="9"/>
      <c r="ES70" s="9"/>
      <c r="ET70" s="9"/>
      <c r="EU70" s="10"/>
      <c r="EV70" s="9"/>
      <c r="EW70" s="9"/>
      <c r="EX70" s="9"/>
      <c r="EY70" s="9"/>
      <c r="EZ70" s="9"/>
      <c r="FA70" s="9"/>
      <c r="FB70" s="9"/>
      <c r="FC70" s="9"/>
      <c r="FD70" s="9"/>
      <c r="FE70" s="9"/>
      <c r="FF70" s="9"/>
      <c r="FG70" s="9"/>
      <c r="FH70" s="9"/>
      <c r="FI70" s="9"/>
      <c r="FJ70" s="9"/>
      <c r="FK70" s="9"/>
      <c r="FL70" s="9"/>
      <c r="FM70" s="9"/>
      <c r="FN70" s="9"/>
      <c r="FO70" s="9"/>
      <c r="FP70" s="9"/>
      <c r="FQ70" s="9"/>
      <c r="FR70" s="9"/>
      <c r="FS70" s="9"/>
      <c r="FT70" s="9"/>
      <c r="FU70" s="9"/>
      <c r="FV70" s="9"/>
      <c r="FW70" s="10"/>
      <c r="FX70" s="9"/>
      <c r="FY70" s="9"/>
      <c r="FZ70" s="9"/>
      <c r="GA70" s="9"/>
      <c r="GB70" s="9"/>
      <c r="GC70" s="9"/>
      <c r="GD70" s="9"/>
      <c r="GE70" s="9"/>
      <c r="GF70" s="9"/>
      <c r="GG70" s="9"/>
      <c r="GH70" s="9"/>
      <c r="GI70" s="9"/>
      <c r="GJ70" s="9"/>
      <c r="GK70" s="9"/>
      <c r="GL70" s="9"/>
      <c r="GM70" s="9"/>
      <c r="GN70" s="9"/>
      <c r="GO70" s="9"/>
      <c r="GP70" s="9"/>
      <c r="GQ70" s="9"/>
      <c r="GR70" s="9"/>
      <c r="GS70" s="9"/>
      <c r="GT70" s="9"/>
      <c r="GU70" s="9"/>
      <c r="GV70" s="9"/>
      <c r="GW70" s="9"/>
      <c r="GX70" s="9"/>
      <c r="GY70" s="10"/>
      <c r="GZ70" s="9"/>
      <c r="HA70" s="9"/>
    </row>
    <row r="71" spans="1:209" s="2" customFormat="1" ht="17" customHeight="1">
      <c r="A71" s="18" t="s">
        <v>70</v>
      </c>
      <c r="B71" s="6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35"/>
      <c r="AA71" s="35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35"/>
      <c r="BD71" s="35"/>
      <c r="BE71" s="35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9"/>
      <c r="BU71" s="9"/>
      <c r="BV71" s="9"/>
      <c r="BW71" s="9"/>
      <c r="BX71" s="9"/>
      <c r="BY71" s="9"/>
      <c r="BZ71" s="9"/>
      <c r="CA71" s="9"/>
      <c r="CB71" s="9"/>
      <c r="CC71" s="9"/>
      <c r="CD71" s="9"/>
      <c r="CE71" s="9"/>
      <c r="CF71" s="9"/>
      <c r="CG71" s="9"/>
      <c r="CH71" s="9"/>
      <c r="CI71" s="9"/>
      <c r="CJ71" s="9"/>
      <c r="CK71" s="9"/>
      <c r="CL71" s="9"/>
      <c r="CM71" s="9"/>
      <c r="CN71" s="9"/>
      <c r="CO71" s="9"/>
      <c r="CP71" s="9"/>
      <c r="CQ71" s="10"/>
      <c r="CR71" s="9"/>
      <c r="CS71" s="9"/>
      <c r="CT71" s="9"/>
      <c r="CU71" s="9"/>
      <c r="CV71" s="9"/>
      <c r="CW71" s="9"/>
      <c r="CX71" s="9"/>
      <c r="CY71" s="9"/>
      <c r="CZ71" s="9"/>
      <c r="DA71" s="9"/>
      <c r="DB71" s="9"/>
      <c r="DC71" s="9"/>
      <c r="DD71" s="9"/>
      <c r="DE71" s="9"/>
      <c r="DF71" s="9"/>
      <c r="DG71" s="9"/>
      <c r="DH71" s="9"/>
      <c r="DI71" s="9"/>
      <c r="DJ71" s="9"/>
      <c r="DK71" s="9"/>
      <c r="DL71" s="9"/>
      <c r="DM71" s="9"/>
      <c r="DN71" s="9"/>
      <c r="DO71" s="9"/>
      <c r="DP71" s="9"/>
      <c r="DQ71" s="9"/>
      <c r="DR71" s="9"/>
      <c r="DS71" s="10"/>
      <c r="DT71" s="9"/>
      <c r="DU71" s="9"/>
      <c r="DV71" s="9"/>
      <c r="DW71" s="9"/>
      <c r="DX71" s="9"/>
      <c r="DY71" s="9"/>
      <c r="DZ71" s="9"/>
      <c r="EA71" s="9"/>
      <c r="EB71" s="9"/>
      <c r="EC71" s="9"/>
      <c r="ED71" s="9"/>
      <c r="EE71" s="9"/>
      <c r="EF71" s="9"/>
      <c r="EG71" s="9"/>
      <c r="EH71" s="9"/>
      <c r="EI71" s="9"/>
      <c r="EJ71" s="9"/>
      <c r="EK71" s="9"/>
      <c r="EL71" s="9"/>
      <c r="EM71" s="9"/>
      <c r="EN71" s="9"/>
      <c r="EO71" s="9"/>
      <c r="EP71" s="9"/>
      <c r="EQ71" s="9"/>
      <c r="ER71" s="9"/>
      <c r="ES71" s="9"/>
      <c r="ET71" s="9"/>
      <c r="EU71" s="10"/>
      <c r="EV71" s="9"/>
      <c r="EW71" s="9"/>
      <c r="EX71" s="9"/>
      <c r="EY71" s="9"/>
      <c r="EZ71" s="9"/>
      <c r="FA71" s="9"/>
      <c r="FB71" s="9"/>
      <c r="FC71" s="9"/>
      <c r="FD71" s="9"/>
      <c r="FE71" s="9"/>
      <c r="FF71" s="9"/>
      <c r="FG71" s="9"/>
      <c r="FH71" s="9"/>
      <c r="FI71" s="9"/>
      <c r="FJ71" s="9"/>
      <c r="FK71" s="9"/>
      <c r="FL71" s="9"/>
      <c r="FM71" s="9"/>
      <c r="FN71" s="9"/>
      <c r="FO71" s="9"/>
      <c r="FP71" s="9"/>
      <c r="FQ71" s="9"/>
      <c r="FR71" s="9"/>
      <c r="FS71" s="9"/>
      <c r="FT71" s="9"/>
      <c r="FU71" s="9"/>
      <c r="FV71" s="9"/>
      <c r="FW71" s="10"/>
      <c r="FX71" s="9"/>
      <c r="FY71" s="9"/>
      <c r="FZ71" s="9"/>
      <c r="GA71" s="9"/>
      <c r="GB71" s="9"/>
      <c r="GC71" s="9"/>
      <c r="GD71" s="9"/>
      <c r="GE71" s="9"/>
      <c r="GF71" s="9"/>
      <c r="GG71" s="9"/>
      <c r="GH71" s="9"/>
      <c r="GI71" s="9"/>
      <c r="GJ71" s="9"/>
      <c r="GK71" s="9"/>
      <c r="GL71" s="9"/>
      <c r="GM71" s="9"/>
      <c r="GN71" s="9"/>
      <c r="GO71" s="9"/>
      <c r="GP71" s="9"/>
      <c r="GQ71" s="9"/>
      <c r="GR71" s="9"/>
      <c r="GS71" s="9"/>
      <c r="GT71" s="9"/>
      <c r="GU71" s="9"/>
      <c r="GV71" s="9"/>
      <c r="GW71" s="9"/>
      <c r="GX71" s="9"/>
      <c r="GY71" s="10"/>
      <c r="GZ71" s="9"/>
      <c r="HA71" s="9"/>
    </row>
    <row r="72" spans="1:209" s="2" customFormat="1" ht="17" customHeight="1">
      <c r="A72" s="14" t="s">
        <v>71</v>
      </c>
      <c r="B72" s="35">
        <v>2910</v>
      </c>
      <c r="C72" s="35">
        <v>2713.8</v>
      </c>
      <c r="D72" s="4">
        <f t="shared" si="27"/>
        <v>0.93257731958762891</v>
      </c>
      <c r="E72" s="11">
        <v>10</v>
      </c>
      <c r="F72" s="5" t="s">
        <v>362</v>
      </c>
      <c r="G72" s="5" t="s">
        <v>362</v>
      </c>
      <c r="H72" s="5" t="s">
        <v>362</v>
      </c>
      <c r="I72" s="5" t="s">
        <v>362</v>
      </c>
      <c r="J72" s="5" t="s">
        <v>362</v>
      </c>
      <c r="K72" s="5" t="s">
        <v>362</v>
      </c>
      <c r="L72" s="5" t="s">
        <v>362</v>
      </c>
      <c r="M72" s="5" t="s">
        <v>362</v>
      </c>
      <c r="N72" s="35">
        <v>648.6</v>
      </c>
      <c r="O72" s="35">
        <v>416.9</v>
      </c>
      <c r="P72" s="4">
        <f t="shared" si="28"/>
        <v>0.64276904101140908</v>
      </c>
      <c r="Q72" s="11">
        <v>20</v>
      </c>
      <c r="R72" s="35">
        <v>150</v>
      </c>
      <c r="S72" s="35">
        <v>152.1</v>
      </c>
      <c r="T72" s="4">
        <f t="shared" si="29"/>
        <v>1.014</v>
      </c>
      <c r="U72" s="11">
        <v>30</v>
      </c>
      <c r="V72" s="35">
        <v>8</v>
      </c>
      <c r="W72" s="35">
        <v>8.1999999999999993</v>
      </c>
      <c r="X72" s="4">
        <f t="shared" si="30"/>
        <v>1.0249999999999999</v>
      </c>
      <c r="Y72" s="11">
        <v>20</v>
      </c>
      <c r="Z72" s="35">
        <v>8166.6</v>
      </c>
      <c r="AA72" s="35">
        <v>7713</v>
      </c>
      <c r="AB72" s="4">
        <f t="shared" si="31"/>
        <v>0.94445668944236272</v>
      </c>
      <c r="AC72" s="11">
        <v>5</v>
      </c>
      <c r="AD72" s="11">
        <v>318</v>
      </c>
      <c r="AE72" s="11">
        <v>318</v>
      </c>
      <c r="AF72" s="4">
        <f t="shared" si="32"/>
        <v>1</v>
      </c>
      <c r="AG72" s="11">
        <v>20</v>
      </c>
      <c r="AH72" s="5" t="s">
        <v>362</v>
      </c>
      <c r="AI72" s="5" t="s">
        <v>362</v>
      </c>
      <c r="AJ72" s="5" t="s">
        <v>362</v>
      </c>
      <c r="AK72" s="5" t="s">
        <v>362</v>
      </c>
      <c r="AL72" s="5" t="s">
        <v>362</v>
      </c>
      <c r="AM72" s="5" t="s">
        <v>362</v>
      </c>
      <c r="AN72" s="5" t="s">
        <v>362</v>
      </c>
      <c r="AO72" s="5" t="s">
        <v>362</v>
      </c>
      <c r="AP72" s="44">
        <f t="shared" si="40"/>
        <v>0.931651785364917</v>
      </c>
      <c r="AQ72" s="45">
        <v>447</v>
      </c>
      <c r="AR72" s="35">
        <f t="shared" si="41"/>
        <v>121.90909090909091</v>
      </c>
      <c r="AS72" s="35">
        <f t="shared" si="33"/>
        <v>113.6</v>
      </c>
      <c r="AT72" s="35">
        <f t="shared" si="34"/>
        <v>-8.3090909090909122</v>
      </c>
      <c r="AU72" s="35">
        <v>35.700000000000003</v>
      </c>
      <c r="AV72" s="35">
        <v>33.299999999999997</v>
      </c>
      <c r="AW72" s="35">
        <f t="shared" si="35"/>
        <v>44.6</v>
      </c>
      <c r="AX72" s="35"/>
      <c r="AY72" s="35">
        <f t="shared" si="36"/>
        <v>44.6</v>
      </c>
      <c r="AZ72" s="35">
        <v>0</v>
      </c>
      <c r="BA72" s="35">
        <f t="shared" si="37"/>
        <v>44.6</v>
      </c>
      <c r="BB72" s="35"/>
      <c r="BC72" s="35">
        <f t="shared" si="38"/>
        <v>44.6</v>
      </c>
      <c r="BD72" s="35">
        <v>44.5</v>
      </c>
      <c r="BE72" s="35">
        <f t="shared" si="39"/>
        <v>0.1</v>
      </c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9"/>
      <c r="CJ72" s="9"/>
      <c r="CK72" s="9"/>
      <c r="CL72" s="9"/>
      <c r="CM72" s="9"/>
      <c r="CN72" s="9"/>
      <c r="CO72" s="9"/>
      <c r="CP72" s="9"/>
      <c r="CQ72" s="10"/>
      <c r="CR72" s="9"/>
      <c r="CS72" s="9"/>
      <c r="CT72" s="9"/>
      <c r="CU72" s="9"/>
      <c r="CV72" s="9"/>
      <c r="CW72" s="9"/>
      <c r="CX72" s="9"/>
      <c r="CY72" s="9"/>
      <c r="CZ72" s="9"/>
      <c r="DA72" s="9"/>
      <c r="DB72" s="9"/>
      <c r="DC72" s="9"/>
      <c r="DD72" s="9"/>
      <c r="DE72" s="9"/>
      <c r="DF72" s="9"/>
      <c r="DG72" s="9"/>
      <c r="DH72" s="9"/>
      <c r="DI72" s="9"/>
      <c r="DJ72" s="9"/>
      <c r="DK72" s="9"/>
      <c r="DL72" s="9"/>
      <c r="DM72" s="9"/>
      <c r="DN72" s="9"/>
      <c r="DO72" s="9"/>
      <c r="DP72" s="9"/>
      <c r="DQ72" s="9"/>
      <c r="DR72" s="9"/>
      <c r="DS72" s="10"/>
      <c r="DT72" s="9"/>
      <c r="DU72" s="9"/>
      <c r="DV72" s="9"/>
      <c r="DW72" s="9"/>
      <c r="DX72" s="9"/>
      <c r="DY72" s="9"/>
      <c r="DZ72" s="9"/>
      <c r="EA72" s="9"/>
      <c r="EB72" s="9"/>
      <c r="EC72" s="9"/>
      <c r="ED72" s="9"/>
      <c r="EE72" s="9"/>
      <c r="EF72" s="9"/>
      <c r="EG72" s="9"/>
      <c r="EH72" s="9"/>
      <c r="EI72" s="9"/>
      <c r="EJ72" s="9"/>
      <c r="EK72" s="9"/>
      <c r="EL72" s="9"/>
      <c r="EM72" s="9"/>
      <c r="EN72" s="9"/>
      <c r="EO72" s="9"/>
      <c r="EP72" s="9"/>
      <c r="EQ72" s="9"/>
      <c r="ER72" s="9"/>
      <c r="ES72" s="9"/>
      <c r="ET72" s="9"/>
      <c r="EU72" s="10"/>
      <c r="EV72" s="9"/>
      <c r="EW72" s="9"/>
      <c r="EX72" s="9"/>
      <c r="EY72" s="9"/>
      <c r="EZ72" s="9"/>
      <c r="FA72" s="9"/>
      <c r="FB72" s="9"/>
      <c r="FC72" s="9"/>
      <c r="FD72" s="9"/>
      <c r="FE72" s="9"/>
      <c r="FF72" s="9"/>
      <c r="FG72" s="9"/>
      <c r="FH72" s="9"/>
      <c r="FI72" s="9"/>
      <c r="FJ72" s="9"/>
      <c r="FK72" s="9"/>
      <c r="FL72" s="9"/>
      <c r="FM72" s="9"/>
      <c r="FN72" s="9"/>
      <c r="FO72" s="9"/>
      <c r="FP72" s="9"/>
      <c r="FQ72" s="9"/>
      <c r="FR72" s="9"/>
      <c r="FS72" s="9"/>
      <c r="FT72" s="9"/>
      <c r="FU72" s="9"/>
      <c r="FV72" s="9"/>
      <c r="FW72" s="10"/>
      <c r="FX72" s="9"/>
      <c r="FY72" s="9"/>
      <c r="FZ72" s="9"/>
      <c r="GA72" s="9"/>
      <c r="GB72" s="9"/>
      <c r="GC72" s="9"/>
      <c r="GD72" s="9"/>
      <c r="GE72" s="9"/>
      <c r="GF72" s="9"/>
      <c r="GG72" s="9"/>
      <c r="GH72" s="9"/>
      <c r="GI72" s="9"/>
      <c r="GJ72" s="9"/>
      <c r="GK72" s="9"/>
      <c r="GL72" s="9"/>
      <c r="GM72" s="9"/>
      <c r="GN72" s="9"/>
      <c r="GO72" s="9"/>
      <c r="GP72" s="9"/>
      <c r="GQ72" s="9"/>
      <c r="GR72" s="9"/>
      <c r="GS72" s="9"/>
      <c r="GT72" s="9"/>
      <c r="GU72" s="9"/>
      <c r="GV72" s="9"/>
      <c r="GW72" s="9"/>
      <c r="GX72" s="9"/>
      <c r="GY72" s="10"/>
      <c r="GZ72" s="9"/>
      <c r="HA72" s="9"/>
    </row>
    <row r="73" spans="1:209" s="2" customFormat="1" ht="17" customHeight="1">
      <c r="A73" s="14" t="s">
        <v>72</v>
      </c>
      <c r="B73" s="35">
        <v>47357</v>
      </c>
      <c r="C73" s="35">
        <v>50181.9</v>
      </c>
      <c r="D73" s="4">
        <f t="shared" si="27"/>
        <v>1.0596511603353254</v>
      </c>
      <c r="E73" s="11">
        <v>10</v>
      </c>
      <c r="F73" s="5" t="s">
        <v>362</v>
      </c>
      <c r="G73" s="5" t="s">
        <v>362</v>
      </c>
      <c r="H73" s="5" t="s">
        <v>362</v>
      </c>
      <c r="I73" s="5" t="s">
        <v>362</v>
      </c>
      <c r="J73" s="5" t="s">
        <v>362</v>
      </c>
      <c r="K73" s="5" t="s">
        <v>362</v>
      </c>
      <c r="L73" s="5" t="s">
        <v>362</v>
      </c>
      <c r="M73" s="5" t="s">
        <v>362</v>
      </c>
      <c r="N73" s="35">
        <v>3421</v>
      </c>
      <c r="O73" s="35">
        <v>3930.1</v>
      </c>
      <c r="P73" s="4">
        <f t="shared" si="28"/>
        <v>1.1488161356328559</v>
      </c>
      <c r="Q73" s="11">
        <v>20</v>
      </c>
      <c r="R73" s="35">
        <v>48</v>
      </c>
      <c r="S73" s="35">
        <v>49.4</v>
      </c>
      <c r="T73" s="4">
        <f t="shared" si="29"/>
        <v>1.0291666666666666</v>
      </c>
      <c r="U73" s="11">
        <v>20</v>
      </c>
      <c r="V73" s="35">
        <v>57</v>
      </c>
      <c r="W73" s="35">
        <v>66.900000000000006</v>
      </c>
      <c r="X73" s="4">
        <f t="shared" si="30"/>
        <v>1.1736842105263159</v>
      </c>
      <c r="Y73" s="11">
        <v>30</v>
      </c>
      <c r="Z73" s="35">
        <v>146562.9</v>
      </c>
      <c r="AA73" s="35">
        <v>140216</v>
      </c>
      <c r="AB73" s="4">
        <f t="shared" si="31"/>
        <v>0.95669504356150159</v>
      </c>
      <c r="AC73" s="11">
        <v>5</v>
      </c>
      <c r="AD73" s="11">
        <v>762</v>
      </c>
      <c r="AE73" s="11">
        <v>764</v>
      </c>
      <c r="AF73" s="4">
        <f t="shared" si="32"/>
        <v>1.0026246719160106</v>
      </c>
      <c r="AG73" s="11">
        <v>20</v>
      </c>
      <c r="AH73" s="5" t="s">
        <v>362</v>
      </c>
      <c r="AI73" s="5" t="s">
        <v>362</v>
      </c>
      <c r="AJ73" s="5" t="s">
        <v>362</v>
      </c>
      <c r="AK73" s="5" t="s">
        <v>362</v>
      </c>
      <c r="AL73" s="5" t="s">
        <v>362</v>
      </c>
      <c r="AM73" s="5" t="s">
        <v>362</v>
      </c>
      <c r="AN73" s="5" t="s">
        <v>362</v>
      </c>
      <c r="AO73" s="5" t="s">
        <v>362</v>
      </c>
      <c r="AP73" s="44">
        <f t="shared" si="40"/>
        <v>1.0876444059167705</v>
      </c>
      <c r="AQ73" s="45">
        <v>937</v>
      </c>
      <c r="AR73" s="35">
        <f t="shared" si="41"/>
        <v>255.54545454545456</v>
      </c>
      <c r="AS73" s="35">
        <f t="shared" si="33"/>
        <v>277.89999999999998</v>
      </c>
      <c r="AT73" s="35">
        <f t="shared" si="34"/>
        <v>22.354545454545416</v>
      </c>
      <c r="AU73" s="35">
        <v>91.9</v>
      </c>
      <c r="AV73" s="35">
        <v>87.8</v>
      </c>
      <c r="AW73" s="35">
        <f t="shared" si="35"/>
        <v>98.2</v>
      </c>
      <c r="AX73" s="35"/>
      <c r="AY73" s="35">
        <f t="shared" si="36"/>
        <v>98.2</v>
      </c>
      <c r="AZ73" s="35">
        <v>0</v>
      </c>
      <c r="BA73" s="35">
        <f t="shared" si="37"/>
        <v>98.2</v>
      </c>
      <c r="BB73" s="35">
        <f>MIN(BA73,42.6)</f>
        <v>42.6</v>
      </c>
      <c r="BC73" s="35">
        <f t="shared" si="38"/>
        <v>55.6</v>
      </c>
      <c r="BD73" s="35">
        <v>57.3</v>
      </c>
      <c r="BE73" s="35">
        <f t="shared" si="39"/>
        <v>-1.7</v>
      </c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9"/>
      <c r="BU73" s="9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9"/>
      <c r="CH73" s="9"/>
      <c r="CI73" s="9"/>
      <c r="CJ73" s="9"/>
      <c r="CK73" s="9"/>
      <c r="CL73" s="9"/>
      <c r="CM73" s="9"/>
      <c r="CN73" s="9"/>
      <c r="CO73" s="9"/>
      <c r="CP73" s="9"/>
      <c r="CQ73" s="10"/>
      <c r="CR73" s="9"/>
      <c r="CS73" s="9"/>
      <c r="CT73" s="9"/>
      <c r="CU73" s="9"/>
      <c r="CV73" s="9"/>
      <c r="CW73" s="9"/>
      <c r="CX73" s="9"/>
      <c r="CY73" s="9"/>
      <c r="CZ73" s="9"/>
      <c r="DA73" s="9"/>
      <c r="DB73" s="9"/>
      <c r="DC73" s="9"/>
      <c r="DD73" s="9"/>
      <c r="DE73" s="9"/>
      <c r="DF73" s="9"/>
      <c r="DG73" s="9"/>
      <c r="DH73" s="9"/>
      <c r="DI73" s="9"/>
      <c r="DJ73" s="9"/>
      <c r="DK73" s="9"/>
      <c r="DL73" s="9"/>
      <c r="DM73" s="9"/>
      <c r="DN73" s="9"/>
      <c r="DO73" s="9"/>
      <c r="DP73" s="9"/>
      <c r="DQ73" s="9"/>
      <c r="DR73" s="9"/>
      <c r="DS73" s="10"/>
      <c r="DT73" s="9"/>
      <c r="DU73" s="9"/>
      <c r="DV73" s="9"/>
      <c r="DW73" s="9"/>
      <c r="DX73" s="9"/>
      <c r="DY73" s="9"/>
      <c r="DZ73" s="9"/>
      <c r="EA73" s="9"/>
      <c r="EB73" s="9"/>
      <c r="EC73" s="9"/>
      <c r="ED73" s="9"/>
      <c r="EE73" s="9"/>
      <c r="EF73" s="9"/>
      <c r="EG73" s="9"/>
      <c r="EH73" s="9"/>
      <c r="EI73" s="9"/>
      <c r="EJ73" s="9"/>
      <c r="EK73" s="9"/>
      <c r="EL73" s="9"/>
      <c r="EM73" s="9"/>
      <c r="EN73" s="9"/>
      <c r="EO73" s="9"/>
      <c r="EP73" s="9"/>
      <c r="EQ73" s="9"/>
      <c r="ER73" s="9"/>
      <c r="ES73" s="9"/>
      <c r="ET73" s="9"/>
      <c r="EU73" s="10"/>
      <c r="EV73" s="9"/>
      <c r="EW73" s="9"/>
      <c r="EX73" s="9"/>
      <c r="EY73" s="9"/>
      <c r="EZ73" s="9"/>
      <c r="FA73" s="9"/>
      <c r="FB73" s="9"/>
      <c r="FC73" s="9"/>
      <c r="FD73" s="9"/>
      <c r="FE73" s="9"/>
      <c r="FF73" s="9"/>
      <c r="FG73" s="9"/>
      <c r="FH73" s="9"/>
      <c r="FI73" s="9"/>
      <c r="FJ73" s="9"/>
      <c r="FK73" s="9"/>
      <c r="FL73" s="9"/>
      <c r="FM73" s="9"/>
      <c r="FN73" s="9"/>
      <c r="FO73" s="9"/>
      <c r="FP73" s="9"/>
      <c r="FQ73" s="9"/>
      <c r="FR73" s="9"/>
      <c r="FS73" s="9"/>
      <c r="FT73" s="9"/>
      <c r="FU73" s="9"/>
      <c r="FV73" s="9"/>
      <c r="FW73" s="10"/>
      <c r="FX73" s="9"/>
      <c r="FY73" s="9"/>
      <c r="FZ73" s="9"/>
      <c r="GA73" s="9"/>
      <c r="GB73" s="9"/>
      <c r="GC73" s="9"/>
      <c r="GD73" s="9"/>
      <c r="GE73" s="9"/>
      <c r="GF73" s="9"/>
      <c r="GG73" s="9"/>
      <c r="GH73" s="9"/>
      <c r="GI73" s="9"/>
      <c r="GJ73" s="9"/>
      <c r="GK73" s="9"/>
      <c r="GL73" s="9"/>
      <c r="GM73" s="9"/>
      <c r="GN73" s="9"/>
      <c r="GO73" s="9"/>
      <c r="GP73" s="9"/>
      <c r="GQ73" s="9"/>
      <c r="GR73" s="9"/>
      <c r="GS73" s="9"/>
      <c r="GT73" s="9"/>
      <c r="GU73" s="9"/>
      <c r="GV73" s="9"/>
      <c r="GW73" s="9"/>
      <c r="GX73" s="9"/>
      <c r="GY73" s="10"/>
      <c r="GZ73" s="9"/>
      <c r="HA73" s="9"/>
    </row>
    <row r="74" spans="1:209" s="2" customFormat="1" ht="17" customHeight="1">
      <c r="A74" s="14" t="s">
        <v>73</v>
      </c>
      <c r="B74" s="35">
        <v>394</v>
      </c>
      <c r="C74" s="35">
        <v>521.4</v>
      </c>
      <c r="D74" s="4">
        <f t="shared" si="27"/>
        <v>1.2123350253807106</v>
      </c>
      <c r="E74" s="11">
        <v>10</v>
      </c>
      <c r="F74" s="5" t="s">
        <v>362</v>
      </c>
      <c r="G74" s="5" t="s">
        <v>362</v>
      </c>
      <c r="H74" s="5" t="s">
        <v>362</v>
      </c>
      <c r="I74" s="5" t="s">
        <v>362</v>
      </c>
      <c r="J74" s="5" t="s">
        <v>362</v>
      </c>
      <c r="K74" s="5" t="s">
        <v>362</v>
      </c>
      <c r="L74" s="5" t="s">
        <v>362</v>
      </c>
      <c r="M74" s="5" t="s">
        <v>362</v>
      </c>
      <c r="N74" s="35">
        <v>221.3</v>
      </c>
      <c r="O74" s="35">
        <v>86.5</v>
      </c>
      <c r="P74" s="4">
        <f t="shared" si="28"/>
        <v>0.39087211929507454</v>
      </c>
      <c r="Q74" s="11">
        <v>20</v>
      </c>
      <c r="R74" s="35">
        <v>43</v>
      </c>
      <c r="S74" s="35">
        <v>55.8</v>
      </c>
      <c r="T74" s="4">
        <f t="shared" si="29"/>
        <v>1.2097674418604651</v>
      </c>
      <c r="U74" s="11">
        <v>25</v>
      </c>
      <c r="V74" s="35">
        <v>4</v>
      </c>
      <c r="W74" s="35">
        <v>4.3</v>
      </c>
      <c r="X74" s="4">
        <f t="shared" si="30"/>
        <v>1.075</v>
      </c>
      <c r="Y74" s="11">
        <v>25</v>
      </c>
      <c r="Z74" s="35">
        <v>4063.3</v>
      </c>
      <c r="AA74" s="35">
        <v>3256</v>
      </c>
      <c r="AB74" s="4">
        <f t="shared" si="31"/>
        <v>0.80131912484926038</v>
      </c>
      <c r="AC74" s="11">
        <v>5</v>
      </c>
      <c r="AD74" s="11">
        <v>107</v>
      </c>
      <c r="AE74" s="11">
        <v>107</v>
      </c>
      <c r="AF74" s="4">
        <f t="shared" si="32"/>
        <v>1</v>
      </c>
      <c r="AG74" s="11">
        <v>20</v>
      </c>
      <c r="AH74" s="5" t="s">
        <v>362</v>
      </c>
      <c r="AI74" s="5" t="s">
        <v>362</v>
      </c>
      <c r="AJ74" s="5" t="s">
        <v>362</v>
      </c>
      <c r="AK74" s="5" t="s">
        <v>362</v>
      </c>
      <c r="AL74" s="5" t="s">
        <v>362</v>
      </c>
      <c r="AM74" s="5" t="s">
        <v>362</v>
      </c>
      <c r="AN74" s="5" t="s">
        <v>362</v>
      </c>
      <c r="AO74" s="5" t="s">
        <v>362</v>
      </c>
      <c r="AP74" s="44">
        <f t="shared" si="40"/>
        <v>0.96253880295682415</v>
      </c>
      <c r="AQ74" s="45">
        <v>302</v>
      </c>
      <c r="AR74" s="35">
        <f t="shared" si="41"/>
        <v>82.36363636363636</v>
      </c>
      <c r="AS74" s="35">
        <f t="shared" si="33"/>
        <v>79.3</v>
      </c>
      <c r="AT74" s="35">
        <f t="shared" si="34"/>
        <v>-3.0636363636363626</v>
      </c>
      <c r="AU74" s="35">
        <v>24.9</v>
      </c>
      <c r="AV74" s="35">
        <v>25.5</v>
      </c>
      <c r="AW74" s="35">
        <f t="shared" si="35"/>
        <v>28.9</v>
      </c>
      <c r="AX74" s="35"/>
      <c r="AY74" s="35">
        <f t="shared" si="36"/>
        <v>28.9</v>
      </c>
      <c r="AZ74" s="35">
        <v>0</v>
      </c>
      <c r="BA74" s="35">
        <f t="shared" si="37"/>
        <v>28.9</v>
      </c>
      <c r="BB74" s="35">
        <f>MIN(BA74,13.7)</f>
        <v>13.7</v>
      </c>
      <c r="BC74" s="35">
        <f t="shared" si="38"/>
        <v>15.2</v>
      </c>
      <c r="BD74" s="35">
        <v>15.8</v>
      </c>
      <c r="BE74" s="35">
        <f t="shared" si="39"/>
        <v>-0.6</v>
      </c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  <c r="CH74" s="9"/>
      <c r="CI74" s="9"/>
      <c r="CJ74" s="9"/>
      <c r="CK74" s="9"/>
      <c r="CL74" s="9"/>
      <c r="CM74" s="9"/>
      <c r="CN74" s="9"/>
      <c r="CO74" s="9"/>
      <c r="CP74" s="9"/>
      <c r="CQ74" s="10"/>
      <c r="CR74" s="9"/>
      <c r="CS74" s="9"/>
      <c r="CT74" s="9"/>
      <c r="CU74" s="9"/>
      <c r="CV74" s="9"/>
      <c r="CW74" s="9"/>
      <c r="CX74" s="9"/>
      <c r="CY74" s="9"/>
      <c r="CZ74" s="9"/>
      <c r="DA74" s="9"/>
      <c r="DB74" s="9"/>
      <c r="DC74" s="9"/>
      <c r="DD74" s="9"/>
      <c r="DE74" s="9"/>
      <c r="DF74" s="9"/>
      <c r="DG74" s="9"/>
      <c r="DH74" s="9"/>
      <c r="DI74" s="9"/>
      <c r="DJ74" s="9"/>
      <c r="DK74" s="9"/>
      <c r="DL74" s="9"/>
      <c r="DM74" s="9"/>
      <c r="DN74" s="9"/>
      <c r="DO74" s="9"/>
      <c r="DP74" s="9"/>
      <c r="DQ74" s="9"/>
      <c r="DR74" s="9"/>
      <c r="DS74" s="10"/>
      <c r="DT74" s="9"/>
      <c r="DU74" s="9"/>
      <c r="DV74" s="9"/>
      <c r="DW74" s="9"/>
      <c r="DX74" s="9"/>
      <c r="DY74" s="9"/>
      <c r="DZ74" s="9"/>
      <c r="EA74" s="9"/>
      <c r="EB74" s="9"/>
      <c r="EC74" s="9"/>
      <c r="ED74" s="9"/>
      <c r="EE74" s="9"/>
      <c r="EF74" s="9"/>
      <c r="EG74" s="9"/>
      <c r="EH74" s="9"/>
      <c r="EI74" s="9"/>
      <c r="EJ74" s="9"/>
      <c r="EK74" s="9"/>
      <c r="EL74" s="9"/>
      <c r="EM74" s="9"/>
      <c r="EN74" s="9"/>
      <c r="EO74" s="9"/>
      <c r="EP74" s="9"/>
      <c r="EQ74" s="9"/>
      <c r="ER74" s="9"/>
      <c r="ES74" s="9"/>
      <c r="ET74" s="9"/>
      <c r="EU74" s="10"/>
      <c r="EV74" s="9"/>
      <c r="EW74" s="9"/>
      <c r="EX74" s="9"/>
      <c r="EY74" s="9"/>
      <c r="EZ74" s="9"/>
      <c r="FA74" s="9"/>
      <c r="FB74" s="9"/>
      <c r="FC74" s="9"/>
      <c r="FD74" s="9"/>
      <c r="FE74" s="9"/>
      <c r="FF74" s="9"/>
      <c r="FG74" s="9"/>
      <c r="FH74" s="9"/>
      <c r="FI74" s="9"/>
      <c r="FJ74" s="9"/>
      <c r="FK74" s="9"/>
      <c r="FL74" s="9"/>
      <c r="FM74" s="9"/>
      <c r="FN74" s="9"/>
      <c r="FO74" s="9"/>
      <c r="FP74" s="9"/>
      <c r="FQ74" s="9"/>
      <c r="FR74" s="9"/>
      <c r="FS74" s="9"/>
      <c r="FT74" s="9"/>
      <c r="FU74" s="9"/>
      <c r="FV74" s="9"/>
      <c r="FW74" s="10"/>
      <c r="FX74" s="9"/>
      <c r="FY74" s="9"/>
      <c r="FZ74" s="9"/>
      <c r="GA74" s="9"/>
      <c r="GB74" s="9"/>
      <c r="GC74" s="9"/>
      <c r="GD74" s="9"/>
      <c r="GE74" s="9"/>
      <c r="GF74" s="9"/>
      <c r="GG74" s="9"/>
      <c r="GH74" s="9"/>
      <c r="GI74" s="9"/>
      <c r="GJ74" s="9"/>
      <c r="GK74" s="9"/>
      <c r="GL74" s="9"/>
      <c r="GM74" s="9"/>
      <c r="GN74" s="9"/>
      <c r="GO74" s="9"/>
      <c r="GP74" s="9"/>
      <c r="GQ74" s="9"/>
      <c r="GR74" s="9"/>
      <c r="GS74" s="9"/>
      <c r="GT74" s="9"/>
      <c r="GU74" s="9"/>
      <c r="GV74" s="9"/>
      <c r="GW74" s="9"/>
      <c r="GX74" s="9"/>
      <c r="GY74" s="10"/>
      <c r="GZ74" s="9"/>
      <c r="HA74" s="9"/>
    </row>
    <row r="75" spans="1:209" s="2" customFormat="1" ht="17" customHeight="1">
      <c r="A75" s="14" t="s">
        <v>74</v>
      </c>
      <c r="B75" s="35">
        <v>1716</v>
      </c>
      <c r="C75" s="35">
        <v>1852.6</v>
      </c>
      <c r="D75" s="4">
        <f t="shared" si="27"/>
        <v>1.0796037296037295</v>
      </c>
      <c r="E75" s="11">
        <v>10</v>
      </c>
      <c r="F75" s="5" t="s">
        <v>362</v>
      </c>
      <c r="G75" s="5" t="s">
        <v>362</v>
      </c>
      <c r="H75" s="5" t="s">
        <v>362</v>
      </c>
      <c r="I75" s="5" t="s">
        <v>362</v>
      </c>
      <c r="J75" s="5" t="s">
        <v>362</v>
      </c>
      <c r="K75" s="5" t="s">
        <v>362</v>
      </c>
      <c r="L75" s="5" t="s">
        <v>362</v>
      </c>
      <c r="M75" s="5" t="s">
        <v>362</v>
      </c>
      <c r="N75" s="35">
        <v>311.10000000000002</v>
      </c>
      <c r="O75" s="35">
        <v>481</v>
      </c>
      <c r="P75" s="4">
        <f t="shared" si="28"/>
        <v>1.2346126647380262</v>
      </c>
      <c r="Q75" s="11">
        <v>20</v>
      </c>
      <c r="R75" s="35">
        <v>48</v>
      </c>
      <c r="S75" s="35">
        <v>54.2</v>
      </c>
      <c r="T75" s="4">
        <f t="shared" si="29"/>
        <v>1.1291666666666667</v>
      </c>
      <c r="U75" s="11">
        <v>30</v>
      </c>
      <c r="V75" s="35">
        <v>9</v>
      </c>
      <c r="W75" s="35">
        <v>10.5</v>
      </c>
      <c r="X75" s="4">
        <f t="shared" si="30"/>
        <v>1.1666666666666667</v>
      </c>
      <c r="Y75" s="11">
        <v>20</v>
      </c>
      <c r="Z75" s="35">
        <v>6760.4</v>
      </c>
      <c r="AA75" s="35">
        <v>5546</v>
      </c>
      <c r="AB75" s="4">
        <f t="shared" si="31"/>
        <v>0.82036565883675527</v>
      </c>
      <c r="AC75" s="11">
        <v>5</v>
      </c>
      <c r="AD75" s="11">
        <v>606</v>
      </c>
      <c r="AE75" s="11">
        <v>616</v>
      </c>
      <c r="AF75" s="4">
        <f t="shared" si="32"/>
        <v>1.0165016501650166</v>
      </c>
      <c r="AG75" s="11">
        <v>20</v>
      </c>
      <c r="AH75" s="5" t="s">
        <v>362</v>
      </c>
      <c r="AI75" s="5" t="s">
        <v>362</v>
      </c>
      <c r="AJ75" s="5" t="s">
        <v>362</v>
      </c>
      <c r="AK75" s="5" t="s">
        <v>362</v>
      </c>
      <c r="AL75" s="5" t="s">
        <v>362</v>
      </c>
      <c r="AM75" s="5" t="s">
        <v>362</v>
      </c>
      <c r="AN75" s="5" t="s">
        <v>362</v>
      </c>
      <c r="AO75" s="5" t="s">
        <v>362</v>
      </c>
      <c r="AP75" s="44">
        <f t="shared" si="40"/>
        <v>1.1155093830630025</v>
      </c>
      <c r="AQ75" s="45">
        <v>790</v>
      </c>
      <c r="AR75" s="35">
        <f t="shared" si="41"/>
        <v>215.45454545454544</v>
      </c>
      <c r="AS75" s="35">
        <f t="shared" si="33"/>
        <v>240.3</v>
      </c>
      <c r="AT75" s="35">
        <f t="shared" si="34"/>
        <v>24.845454545454572</v>
      </c>
      <c r="AU75" s="35">
        <v>69</v>
      </c>
      <c r="AV75" s="35">
        <v>79.5</v>
      </c>
      <c r="AW75" s="35">
        <f t="shared" si="35"/>
        <v>91.8</v>
      </c>
      <c r="AX75" s="35"/>
      <c r="AY75" s="35">
        <f t="shared" si="36"/>
        <v>91.8</v>
      </c>
      <c r="AZ75" s="35">
        <v>0</v>
      </c>
      <c r="BA75" s="35">
        <f t="shared" si="37"/>
        <v>91.8</v>
      </c>
      <c r="BB75" s="35"/>
      <c r="BC75" s="35">
        <f t="shared" si="38"/>
        <v>91.8</v>
      </c>
      <c r="BD75" s="35">
        <v>95</v>
      </c>
      <c r="BE75" s="35">
        <f t="shared" si="39"/>
        <v>-3.2</v>
      </c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9"/>
      <c r="BU75" s="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  <c r="CG75" s="9"/>
      <c r="CH75" s="9"/>
      <c r="CI75" s="9"/>
      <c r="CJ75" s="9"/>
      <c r="CK75" s="9"/>
      <c r="CL75" s="9"/>
      <c r="CM75" s="9"/>
      <c r="CN75" s="9"/>
      <c r="CO75" s="9"/>
      <c r="CP75" s="9"/>
      <c r="CQ75" s="10"/>
      <c r="CR75" s="9"/>
      <c r="CS75" s="9"/>
      <c r="CT75" s="9"/>
      <c r="CU75" s="9"/>
      <c r="CV75" s="9"/>
      <c r="CW75" s="9"/>
      <c r="CX75" s="9"/>
      <c r="CY75" s="9"/>
      <c r="CZ75" s="9"/>
      <c r="DA75" s="9"/>
      <c r="DB75" s="9"/>
      <c r="DC75" s="9"/>
      <c r="DD75" s="9"/>
      <c r="DE75" s="9"/>
      <c r="DF75" s="9"/>
      <c r="DG75" s="9"/>
      <c r="DH75" s="9"/>
      <c r="DI75" s="9"/>
      <c r="DJ75" s="9"/>
      <c r="DK75" s="9"/>
      <c r="DL75" s="9"/>
      <c r="DM75" s="9"/>
      <c r="DN75" s="9"/>
      <c r="DO75" s="9"/>
      <c r="DP75" s="9"/>
      <c r="DQ75" s="9"/>
      <c r="DR75" s="9"/>
      <c r="DS75" s="10"/>
      <c r="DT75" s="9"/>
      <c r="DU75" s="9"/>
      <c r="DV75" s="9"/>
      <c r="DW75" s="9"/>
      <c r="DX75" s="9"/>
      <c r="DY75" s="9"/>
      <c r="DZ75" s="9"/>
      <c r="EA75" s="9"/>
      <c r="EB75" s="9"/>
      <c r="EC75" s="9"/>
      <c r="ED75" s="9"/>
      <c r="EE75" s="9"/>
      <c r="EF75" s="9"/>
      <c r="EG75" s="9"/>
      <c r="EH75" s="9"/>
      <c r="EI75" s="9"/>
      <c r="EJ75" s="9"/>
      <c r="EK75" s="9"/>
      <c r="EL75" s="9"/>
      <c r="EM75" s="9"/>
      <c r="EN75" s="9"/>
      <c r="EO75" s="9"/>
      <c r="EP75" s="9"/>
      <c r="EQ75" s="9"/>
      <c r="ER75" s="9"/>
      <c r="ES75" s="9"/>
      <c r="ET75" s="9"/>
      <c r="EU75" s="10"/>
      <c r="EV75" s="9"/>
      <c r="EW75" s="9"/>
      <c r="EX75" s="9"/>
      <c r="EY75" s="9"/>
      <c r="EZ75" s="9"/>
      <c r="FA75" s="9"/>
      <c r="FB75" s="9"/>
      <c r="FC75" s="9"/>
      <c r="FD75" s="9"/>
      <c r="FE75" s="9"/>
      <c r="FF75" s="9"/>
      <c r="FG75" s="9"/>
      <c r="FH75" s="9"/>
      <c r="FI75" s="9"/>
      <c r="FJ75" s="9"/>
      <c r="FK75" s="9"/>
      <c r="FL75" s="9"/>
      <c r="FM75" s="9"/>
      <c r="FN75" s="9"/>
      <c r="FO75" s="9"/>
      <c r="FP75" s="9"/>
      <c r="FQ75" s="9"/>
      <c r="FR75" s="9"/>
      <c r="FS75" s="9"/>
      <c r="FT75" s="9"/>
      <c r="FU75" s="9"/>
      <c r="FV75" s="9"/>
      <c r="FW75" s="10"/>
      <c r="FX75" s="9"/>
      <c r="FY75" s="9"/>
      <c r="FZ75" s="9"/>
      <c r="GA75" s="9"/>
      <c r="GB75" s="9"/>
      <c r="GC75" s="9"/>
      <c r="GD75" s="9"/>
      <c r="GE75" s="9"/>
      <c r="GF75" s="9"/>
      <c r="GG75" s="9"/>
      <c r="GH75" s="9"/>
      <c r="GI75" s="9"/>
      <c r="GJ75" s="9"/>
      <c r="GK75" s="9"/>
      <c r="GL75" s="9"/>
      <c r="GM75" s="9"/>
      <c r="GN75" s="9"/>
      <c r="GO75" s="9"/>
      <c r="GP75" s="9"/>
      <c r="GQ75" s="9"/>
      <c r="GR75" s="9"/>
      <c r="GS75" s="9"/>
      <c r="GT75" s="9"/>
      <c r="GU75" s="9"/>
      <c r="GV75" s="9"/>
      <c r="GW75" s="9"/>
      <c r="GX75" s="9"/>
      <c r="GY75" s="10"/>
      <c r="GZ75" s="9"/>
      <c r="HA75" s="9"/>
    </row>
    <row r="76" spans="1:209" s="2" customFormat="1" ht="17" customHeight="1">
      <c r="A76" s="14" t="s">
        <v>75</v>
      </c>
      <c r="B76" s="35">
        <v>748</v>
      </c>
      <c r="C76" s="35">
        <v>753.4</v>
      </c>
      <c r="D76" s="4">
        <f t="shared" si="27"/>
        <v>1.0072192513368983</v>
      </c>
      <c r="E76" s="11">
        <v>10</v>
      </c>
      <c r="F76" s="5" t="s">
        <v>362</v>
      </c>
      <c r="G76" s="5" t="s">
        <v>362</v>
      </c>
      <c r="H76" s="5" t="s">
        <v>362</v>
      </c>
      <c r="I76" s="5" t="s">
        <v>362</v>
      </c>
      <c r="J76" s="5" t="s">
        <v>362</v>
      </c>
      <c r="K76" s="5" t="s">
        <v>362</v>
      </c>
      <c r="L76" s="5" t="s">
        <v>362</v>
      </c>
      <c r="M76" s="5" t="s">
        <v>362</v>
      </c>
      <c r="N76" s="35">
        <v>485.4</v>
      </c>
      <c r="O76" s="35">
        <v>623.6</v>
      </c>
      <c r="P76" s="4">
        <f t="shared" si="28"/>
        <v>1.2084713638236506</v>
      </c>
      <c r="Q76" s="11">
        <v>20</v>
      </c>
      <c r="R76" s="35">
        <v>37</v>
      </c>
      <c r="S76" s="35">
        <v>39.200000000000003</v>
      </c>
      <c r="T76" s="4">
        <f t="shared" si="29"/>
        <v>1.0594594594594595</v>
      </c>
      <c r="U76" s="11">
        <v>30</v>
      </c>
      <c r="V76" s="35">
        <v>7</v>
      </c>
      <c r="W76" s="35">
        <v>7.4</v>
      </c>
      <c r="X76" s="4">
        <f t="shared" si="30"/>
        <v>1.0571428571428572</v>
      </c>
      <c r="Y76" s="11">
        <v>20</v>
      </c>
      <c r="Z76" s="35">
        <v>4382.8999999999996</v>
      </c>
      <c r="AA76" s="35">
        <v>1753</v>
      </c>
      <c r="AB76" s="4">
        <f t="shared" si="31"/>
        <v>0.39996349448994961</v>
      </c>
      <c r="AC76" s="11">
        <v>5</v>
      </c>
      <c r="AD76" s="11">
        <v>505</v>
      </c>
      <c r="AE76" s="11">
        <v>487</v>
      </c>
      <c r="AF76" s="4">
        <f t="shared" si="32"/>
        <v>0.96435643564356432</v>
      </c>
      <c r="AG76" s="11">
        <v>20</v>
      </c>
      <c r="AH76" s="5" t="s">
        <v>362</v>
      </c>
      <c r="AI76" s="5" t="s">
        <v>362</v>
      </c>
      <c r="AJ76" s="5" t="s">
        <v>362</v>
      </c>
      <c r="AK76" s="5" t="s">
        <v>362</v>
      </c>
      <c r="AL76" s="5" t="s">
        <v>362</v>
      </c>
      <c r="AM76" s="5" t="s">
        <v>362</v>
      </c>
      <c r="AN76" s="5" t="s">
        <v>362</v>
      </c>
      <c r="AO76" s="5" t="s">
        <v>362</v>
      </c>
      <c r="AP76" s="44">
        <f t="shared" si="40"/>
        <v>1.0329067323981329</v>
      </c>
      <c r="AQ76" s="45">
        <v>498</v>
      </c>
      <c r="AR76" s="35">
        <f t="shared" si="41"/>
        <v>135.81818181818181</v>
      </c>
      <c r="AS76" s="35">
        <f t="shared" si="33"/>
        <v>140.30000000000001</v>
      </c>
      <c r="AT76" s="35">
        <f t="shared" si="34"/>
        <v>4.4818181818181984</v>
      </c>
      <c r="AU76" s="35">
        <v>50.1</v>
      </c>
      <c r="AV76" s="35">
        <v>39.6</v>
      </c>
      <c r="AW76" s="35">
        <f t="shared" si="35"/>
        <v>50.6</v>
      </c>
      <c r="AX76" s="35"/>
      <c r="AY76" s="35">
        <f t="shared" si="36"/>
        <v>50.6</v>
      </c>
      <c r="AZ76" s="35">
        <v>0</v>
      </c>
      <c r="BA76" s="35">
        <f t="shared" si="37"/>
        <v>50.6</v>
      </c>
      <c r="BB76" s="35"/>
      <c r="BC76" s="35">
        <f t="shared" si="38"/>
        <v>50.6</v>
      </c>
      <c r="BD76" s="35">
        <v>54.9</v>
      </c>
      <c r="BE76" s="35">
        <f t="shared" si="39"/>
        <v>-4.3</v>
      </c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9"/>
      <c r="BU76" s="9"/>
      <c r="BV76" s="9"/>
      <c r="BW76" s="9"/>
      <c r="BX76" s="9"/>
      <c r="BY76" s="9"/>
      <c r="BZ76" s="9"/>
      <c r="CA76" s="9"/>
      <c r="CB76" s="9"/>
      <c r="CC76" s="9"/>
      <c r="CD76" s="9"/>
      <c r="CE76" s="9"/>
      <c r="CF76" s="9"/>
      <c r="CG76" s="9"/>
      <c r="CH76" s="9"/>
      <c r="CI76" s="9"/>
      <c r="CJ76" s="9"/>
      <c r="CK76" s="9"/>
      <c r="CL76" s="9"/>
      <c r="CM76" s="9"/>
      <c r="CN76" s="9"/>
      <c r="CO76" s="9"/>
      <c r="CP76" s="9"/>
      <c r="CQ76" s="10"/>
      <c r="CR76" s="9"/>
      <c r="CS76" s="9"/>
      <c r="CT76" s="9"/>
      <c r="CU76" s="9"/>
      <c r="CV76" s="9"/>
      <c r="CW76" s="9"/>
      <c r="CX76" s="9"/>
      <c r="CY76" s="9"/>
      <c r="CZ76" s="9"/>
      <c r="DA76" s="9"/>
      <c r="DB76" s="9"/>
      <c r="DC76" s="9"/>
      <c r="DD76" s="9"/>
      <c r="DE76" s="9"/>
      <c r="DF76" s="9"/>
      <c r="DG76" s="9"/>
      <c r="DH76" s="9"/>
      <c r="DI76" s="9"/>
      <c r="DJ76" s="9"/>
      <c r="DK76" s="9"/>
      <c r="DL76" s="9"/>
      <c r="DM76" s="9"/>
      <c r="DN76" s="9"/>
      <c r="DO76" s="9"/>
      <c r="DP76" s="9"/>
      <c r="DQ76" s="9"/>
      <c r="DR76" s="9"/>
      <c r="DS76" s="10"/>
      <c r="DT76" s="9"/>
      <c r="DU76" s="9"/>
      <c r="DV76" s="9"/>
      <c r="DW76" s="9"/>
      <c r="DX76" s="9"/>
      <c r="DY76" s="9"/>
      <c r="DZ76" s="9"/>
      <c r="EA76" s="9"/>
      <c r="EB76" s="9"/>
      <c r="EC76" s="9"/>
      <c r="ED76" s="9"/>
      <c r="EE76" s="9"/>
      <c r="EF76" s="9"/>
      <c r="EG76" s="9"/>
      <c r="EH76" s="9"/>
      <c r="EI76" s="9"/>
      <c r="EJ76" s="9"/>
      <c r="EK76" s="9"/>
      <c r="EL76" s="9"/>
      <c r="EM76" s="9"/>
      <c r="EN76" s="9"/>
      <c r="EO76" s="9"/>
      <c r="EP76" s="9"/>
      <c r="EQ76" s="9"/>
      <c r="ER76" s="9"/>
      <c r="ES76" s="9"/>
      <c r="ET76" s="9"/>
      <c r="EU76" s="10"/>
      <c r="EV76" s="9"/>
      <c r="EW76" s="9"/>
      <c r="EX76" s="9"/>
      <c r="EY76" s="9"/>
      <c r="EZ76" s="9"/>
      <c r="FA76" s="9"/>
      <c r="FB76" s="9"/>
      <c r="FC76" s="9"/>
      <c r="FD76" s="9"/>
      <c r="FE76" s="9"/>
      <c r="FF76" s="9"/>
      <c r="FG76" s="9"/>
      <c r="FH76" s="9"/>
      <c r="FI76" s="9"/>
      <c r="FJ76" s="9"/>
      <c r="FK76" s="9"/>
      <c r="FL76" s="9"/>
      <c r="FM76" s="9"/>
      <c r="FN76" s="9"/>
      <c r="FO76" s="9"/>
      <c r="FP76" s="9"/>
      <c r="FQ76" s="9"/>
      <c r="FR76" s="9"/>
      <c r="FS76" s="9"/>
      <c r="FT76" s="9"/>
      <c r="FU76" s="9"/>
      <c r="FV76" s="9"/>
      <c r="FW76" s="10"/>
      <c r="FX76" s="9"/>
      <c r="FY76" s="9"/>
      <c r="FZ76" s="9"/>
      <c r="GA76" s="9"/>
      <c r="GB76" s="9"/>
      <c r="GC76" s="9"/>
      <c r="GD76" s="9"/>
      <c r="GE76" s="9"/>
      <c r="GF76" s="9"/>
      <c r="GG76" s="9"/>
      <c r="GH76" s="9"/>
      <c r="GI76" s="9"/>
      <c r="GJ76" s="9"/>
      <c r="GK76" s="9"/>
      <c r="GL76" s="9"/>
      <c r="GM76" s="9"/>
      <c r="GN76" s="9"/>
      <c r="GO76" s="9"/>
      <c r="GP76" s="9"/>
      <c r="GQ76" s="9"/>
      <c r="GR76" s="9"/>
      <c r="GS76" s="9"/>
      <c r="GT76" s="9"/>
      <c r="GU76" s="9"/>
      <c r="GV76" s="9"/>
      <c r="GW76" s="9"/>
      <c r="GX76" s="9"/>
      <c r="GY76" s="10"/>
      <c r="GZ76" s="9"/>
      <c r="HA76" s="9"/>
    </row>
    <row r="77" spans="1:209" s="2" customFormat="1" ht="17" customHeight="1">
      <c r="A77" s="14" t="s">
        <v>76</v>
      </c>
      <c r="B77" s="35">
        <v>523</v>
      </c>
      <c r="C77" s="35">
        <v>445</v>
      </c>
      <c r="D77" s="4">
        <f t="shared" si="27"/>
        <v>0.85086042065009559</v>
      </c>
      <c r="E77" s="11">
        <v>10</v>
      </c>
      <c r="F77" s="5" t="s">
        <v>362</v>
      </c>
      <c r="G77" s="5" t="s">
        <v>362</v>
      </c>
      <c r="H77" s="5" t="s">
        <v>362</v>
      </c>
      <c r="I77" s="5" t="s">
        <v>362</v>
      </c>
      <c r="J77" s="5" t="s">
        <v>362</v>
      </c>
      <c r="K77" s="5" t="s">
        <v>362</v>
      </c>
      <c r="L77" s="5" t="s">
        <v>362</v>
      </c>
      <c r="M77" s="5" t="s">
        <v>362</v>
      </c>
      <c r="N77" s="35">
        <v>103</v>
      </c>
      <c r="O77" s="35">
        <v>105.5</v>
      </c>
      <c r="P77" s="4">
        <f t="shared" si="28"/>
        <v>1.0242718446601942</v>
      </c>
      <c r="Q77" s="11">
        <v>20</v>
      </c>
      <c r="R77" s="35">
        <v>315</v>
      </c>
      <c r="S77" s="35">
        <v>315.3</v>
      </c>
      <c r="T77" s="4">
        <f t="shared" si="29"/>
        <v>1.000952380952381</v>
      </c>
      <c r="U77" s="11">
        <v>30</v>
      </c>
      <c r="V77" s="35">
        <v>8</v>
      </c>
      <c r="W77" s="35">
        <v>8.4</v>
      </c>
      <c r="X77" s="4">
        <f t="shared" si="30"/>
        <v>1.05</v>
      </c>
      <c r="Y77" s="11">
        <v>20</v>
      </c>
      <c r="Z77" s="35">
        <v>7866.4</v>
      </c>
      <c r="AA77" s="35">
        <v>5904</v>
      </c>
      <c r="AB77" s="4">
        <f t="shared" si="31"/>
        <v>0.75053391640394596</v>
      </c>
      <c r="AC77" s="11">
        <v>5</v>
      </c>
      <c r="AD77" s="11">
        <v>690</v>
      </c>
      <c r="AE77" s="11">
        <v>706</v>
      </c>
      <c r="AF77" s="4">
        <f t="shared" si="32"/>
        <v>1.0231884057971015</v>
      </c>
      <c r="AG77" s="11">
        <v>20</v>
      </c>
      <c r="AH77" s="5" t="s">
        <v>362</v>
      </c>
      <c r="AI77" s="5" t="s">
        <v>362</v>
      </c>
      <c r="AJ77" s="5" t="s">
        <v>362</v>
      </c>
      <c r="AK77" s="5" t="s">
        <v>362</v>
      </c>
      <c r="AL77" s="5" t="s">
        <v>362</v>
      </c>
      <c r="AM77" s="5" t="s">
        <v>362</v>
      </c>
      <c r="AN77" s="5" t="s">
        <v>362</v>
      </c>
      <c r="AO77" s="5" t="s">
        <v>362</v>
      </c>
      <c r="AP77" s="44">
        <f t="shared" si="40"/>
        <v>0.99275285929750512</v>
      </c>
      <c r="AQ77" s="45">
        <v>1035</v>
      </c>
      <c r="AR77" s="35">
        <f t="shared" si="41"/>
        <v>282.27272727272725</v>
      </c>
      <c r="AS77" s="35">
        <f t="shared" si="33"/>
        <v>280.2</v>
      </c>
      <c r="AT77" s="35">
        <f t="shared" si="34"/>
        <v>-2.0727272727272634</v>
      </c>
      <c r="AU77" s="35">
        <v>72.2</v>
      </c>
      <c r="AV77" s="35">
        <v>89.7</v>
      </c>
      <c r="AW77" s="35">
        <f t="shared" si="35"/>
        <v>118.3</v>
      </c>
      <c r="AX77" s="35"/>
      <c r="AY77" s="35">
        <f t="shared" si="36"/>
        <v>118.3</v>
      </c>
      <c r="AZ77" s="35">
        <v>0</v>
      </c>
      <c r="BA77" s="35">
        <f t="shared" si="37"/>
        <v>118.3</v>
      </c>
      <c r="BB77" s="35"/>
      <c r="BC77" s="35">
        <f t="shared" si="38"/>
        <v>118.3</v>
      </c>
      <c r="BD77" s="35">
        <v>121.7</v>
      </c>
      <c r="BE77" s="35">
        <f t="shared" si="39"/>
        <v>-3.4</v>
      </c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  <c r="CI77" s="9"/>
      <c r="CJ77" s="9"/>
      <c r="CK77" s="9"/>
      <c r="CL77" s="9"/>
      <c r="CM77" s="9"/>
      <c r="CN77" s="9"/>
      <c r="CO77" s="9"/>
      <c r="CP77" s="9"/>
      <c r="CQ77" s="10"/>
      <c r="CR77" s="9"/>
      <c r="CS77" s="9"/>
      <c r="CT77" s="9"/>
      <c r="CU77" s="9"/>
      <c r="CV77" s="9"/>
      <c r="CW77" s="9"/>
      <c r="CX77" s="9"/>
      <c r="CY77" s="9"/>
      <c r="CZ77" s="9"/>
      <c r="DA77" s="9"/>
      <c r="DB77" s="9"/>
      <c r="DC77" s="9"/>
      <c r="DD77" s="9"/>
      <c r="DE77" s="9"/>
      <c r="DF77" s="9"/>
      <c r="DG77" s="9"/>
      <c r="DH77" s="9"/>
      <c r="DI77" s="9"/>
      <c r="DJ77" s="9"/>
      <c r="DK77" s="9"/>
      <c r="DL77" s="9"/>
      <c r="DM77" s="9"/>
      <c r="DN77" s="9"/>
      <c r="DO77" s="9"/>
      <c r="DP77" s="9"/>
      <c r="DQ77" s="9"/>
      <c r="DR77" s="9"/>
      <c r="DS77" s="10"/>
      <c r="DT77" s="9"/>
      <c r="DU77" s="9"/>
      <c r="DV77" s="9"/>
      <c r="DW77" s="9"/>
      <c r="DX77" s="9"/>
      <c r="DY77" s="9"/>
      <c r="DZ77" s="9"/>
      <c r="EA77" s="9"/>
      <c r="EB77" s="9"/>
      <c r="EC77" s="9"/>
      <c r="ED77" s="9"/>
      <c r="EE77" s="9"/>
      <c r="EF77" s="9"/>
      <c r="EG77" s="9"/>
      <c r="EH77" s="9"/>
      <c r="EI77" s="9"/>
      <c r="EJ77" s="9"/>
      <c r="EK77" s="9"/>
      <c r="EL77" s="9"/>
      <c r="EM77" s="9"/>
      <c r="EN77" s="9"/>
      <c r="EO77" s="9"/>
      <c r="EP77" s="9"/>
      <c r="EQ77" s="9"/>
      <c r="ER77" s="9"/>
      <c r="ES77" s="9"/>
      <c r="ET77" s="9"/>
      <c r="EU77" s="10"/>
      <c r="EV77" s="9"/>
      <c r="EW77" s="9"/>
      <c r="EX77" s="9"/>
      <c r="EY77" s="9"/>
      <c r="EZ77" s="9"/>
      <c r="FA77" s="9"/>
      <c r="FB77" s="9"/>
      <c r="FC77" s="9"/>
      <c r="FD77" s="9"/>
      <c r="FE77" s="9"/>
      <c r="FF77" s="9"/>
      <c r="FG77" s="9"/>
      <c r="FH77" s="9"/>
      <c r="FI77" s="9"/>
      <c r="FJ77" s="9"/>
      <c r="FK77" s="9"/>
      <c r="FL77" s="9"/>
      <c r="FM77" s="9"/>
      <c r="FN77" s="9"/>
      <c r="FO77" s="9"/>
      <c r="FP77" s="9"/>
      <c r="FQ77" s="9"/>
      <c r="FR77" s="9"/>
      <c r="FS77" s="9"/>
      <c r="FT77" s="9"/>
      <c r="FU77" s="9"/>
      <c r="FV77" s="9"/>
      <c r="FW77" s="10"/>
      <c r="FX77" s="9"/>
      <c r="FY77" s="9"/>
      <c r="FZ77" s="9"/>
      <c r="GA77" s="9"/>
      <c r="GB77" s="9"/>
      <c r="GC77" s="9"/>
      <c r="GD77" s="9"/>
      <c r="GE77" s="9"/>
      <c r="GF77" s="9"/>
      <c r="GG77" s="9"/>
      <c r="GH77" s="9"/>
      <c r="GI77" s="9"/>
      <c r="GJ77" s="9"/>
      <c r="GK77" s="9"/>
      <c r="GL77" s="9"/>
      <c r="GM77" s="9"/>
      <c r="GN77" s="9"/>
      <c r="GO77" s="9"/>
      <c r="GP77" s="9"/>
      <c r="GQ77" s="9"/>
      <c r="GR77" s="9"/>
      <c r="GS77" s="9"/>
      <c r="GT77" s="9"/>
      <c r="GU77" s="9"/>
      <c r="GV77" s="9"/>
      <c r="GW77" s="9"/>
      <c r="GX77" s="9"/>
      <c r="GY77" s="10"/>
      <c r="GZ77" s="9"/>
      <c r="HA77" s="9"/>
    </row>
    <row r="78" spans="1:209" s="2" customFormat="1" ht="17" customHeight="1">
      <c r="A78" s="14" t="s">
        <v>77</v>
      </c>
      <c r="B78" s="35">
        <v>2702</v>
      </c>
      <c r="C78" s="35">
        <v>2675</v>
      </c>
      <c r="D78" s="4">
        <f t="shared" si="27"/>
        <v>0.99000740192450032</v>
      </c>
      <c r="E78" s="11">
        <v>10</v>
      </c>
      <c r="F78" s="5" t="s">
        <v>362</v>
      </c>
      <c r="G78" s="5" t="s">
        <v>362</v>
      </c>
      <c r="H78" s="5" t="s">
        <v>362</v>
      </c>
      <c r="I78" s="5" t="s">
        <v>362</v>
      </c>
      <c r="J78" s="5" t="s">
        <v>362</v>
      </c>
      <c r="K78" s="5" t="s">
        <v>362</v>
      </c>
      <c r="L78" s="5" t="s">
        <v>362</v>
      </c>
      <c r="M78" s="5" t="s">
        <v>362</v>
      </c>
      <c r="N78" s="35">
        <v>130.6</v>
      </c>
      <c r="O78" s="35">
        <v>435.3</v>
      </c>
      <c r="P78" s="4">
        <f t="shared" si="28"/>
        <v>1.3</v>
      </c>
      <c r="Q78" s="11">
        <v>20</v>
      </c>
      <c r="R78" s="35">
        <v>22</v>
      </c>
      <c r="S78" s="35">
        <v>28.7</v>
      </c>
      <c r="T78" s="4">
        <f t="shared" si="29"/>
        <v>1.2104545454545454</v>
      </c>
      <c r="U78" s="11">
        <v>25</v>
      </c>
      <c r="V78" s="35">
        <v>6</v>
      </c>
      <c r="W78" s="35">
        <v>6.5</v>
      </c>
      <c r="X78" s="4">
        <f t="shared" si="30"/>
        <v>1.0833333333333333</v>
      </c>
      <c r="Y78" s="11">
        <v>25</v>
      </c>
      <c r="Z78" s="35">
        <v>9700.5</v>
      </c>
      <c r="AA78" s="35">
        <v>10037</v>
      </c>
      <c r="AB78" s="4">
        <f t="shared" si="31"/>
        <v>1.0346889335601257</v>
      </c>
      <c r="AC78" s="11">
        <v>5</v>
      </c>
      <c r="AD78" s="11">
        <v>496</v>
      </c>
      <c r="AE78" s="11">
        <v>496</v>
      </c>
      <c r="AF78" s="4">
        <f t="shared" si="32"/>
        <v>1</v>
      </c>
      <c r="AG78" s="11">
        <v>20</v>
      </c>
      <c r="AH78" s="5" t="s">
        <v>362</v>
      </c>
      <c r="AI78" s="5" t="s">
        <v>362</v>
      </c>
      <c r="AJ78" s="5" t="s">
        <v>362</v>
      </c>
      <c r="AK78" s="5" t="s">
        <v>362</v>
      </c>
      <c r="AL78" s="5" t="s">
        <v>362</v>
      </c>
      <c r="AM78" s="5" t="s">
        <v>362</v>
      </c>
      <c r="AN78" s="5" t="s">
        <v>362</v>
      </c>
      <c r="AO78" s="5" t="s">
        <v>362</v>
      </c>
      <c r="AP78" s="44">
        <f t="shared" si="40"/>
        <v>1.1277925300642151</v>
      </c>
      <c r="AQ78" s="45">
        <v>1040</v>
      </c>
      <c r="AR78" s="35">
        <f t="shared" si="41"/>
        <v>283.63636363636363</v>
      </c>
      <c r="AS78" s="35">
        <f t="shared" si="33"/>
        <v>319.89999999999998</v>
      </c>
      <c r="AT78" s="35">
        <f t="shared" si="34"/>
        <v>36.263636363636351</v>
      </c>
      <c r="AU78" s="35">
        <v>103.9</v>
      </c>
      <c r="AV78" s="35">
        <v>101.3</v>
      </c>
      <c r="AW78" s="35">
        <f t="shared" si="35"/>
        <v>114.7</v>
      </c>
      <c r="AX78" s="35"/>
      <c r="AY78" s="35">
        <f t="shared" si="36"/>
        <v>114.7</v>
      </c>
      <c r="AZ78" s="35">
        <v>0</v>
      </c>
      <c r="BA78" s="35">
        <f t="shared" si="37"/>
        <v>114.7</v>
      </c>
      <c r="BB78" s="35"/>
      <c r="BC78" s="35">
        <f t="shared" si="38"/>
        <v>114.7</v>
      </c>
      <c r="BD78" s="35">
        <v>116</v>
      </c>
      <c r="BE78" s="35">
        <f t="shared" si="39"/>
        <v>-1.3</v>
      </c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9"/>
      <c r="CH78" s="9"/>
      <c r="CI78" s="9"/>
      <c r="CJ78" s="9"/>
      <c r="CK78" s="9"/>
      <c r="CL78" s="9"/>
      <c r="CM78" s="9"/>
      <c r="CN78" s="9"/>
      <c r="CO78" s="9"/>
      <c r="CP78" s="9"/>
      <c r="CQ78" s="10"/>
      <c r="CR78" s="9"/>
      <c r="CS78" s="9"/>
      <c r="CT78" s="9"/>
      <c r="CU78" s="9"/>
      <c r="CV78" s="9"/>
      <c r="CW78" s="9"/>
      <c r="CX78" s="9"/>
      <c r="CY78" s="9"/>
      <c r="CZ78" s="9"/>
      <c r="DA78" s="9"/>
      <c r="DB78" s="9"/>
      <c r="DC78" s="9"/>
      <c r="DD78" s="9"/>
      <c r="DE78" s="9"/>
      <c r="DF78" s="9"/>
      <c r="DG78" s="9"/>
      <c r="DH78" s="9"/>
      <c r="DI78" s="9"/>
      <c r="DJ78" s="9"/>
      <c r="DK78" s="9"/>
      <c r="DL78" s="9"/>
      <c r="DM78" s="9"/>
      <c r="DN78" s="9"/>
      <c r="DO78" s="9"/>
      <c r="DP78" s="9"/>
      <c r="DQ78" s="9"/>
      <c r="DR78" s="9"/>
      <c r="DS78" s="10"/>
      <c r="DT78" s="9"/>
      <c r="DU78" s="9"/>
      <c r="DV78" s="9"/>
      <c r="DW78" s="9"/>
      <c r="DX78" s="9"/>
      <c r="DY78" s="9"/>
      <c r="DZ78" s="9"/>
      <c r="EA78" s="9"/>
      <c r="EB78" s="9"/>
      <c r="EC78" s="9"/>
      <c r="ED78" s="9"/>
      <c r="EE78" s="9"/>
      <c r="EF78" s="9"/>
      <c r="EG78" s="9"/>
      <c r="EH78" s="9"/>
      <c r="EI78" s="9"/>
      <c r="EJ78" s="9"/>
      <c r="EK78" s="9"/>
      <c r="EL78" s="9"/>
      <c r="EM78" s="9"/>
      <c r="EN78" s="9"/>
      <c r="EO78" s="9"/>
      <c r="EP78" s="9"/>
      <c r="EQ78" s="9"/>
      <c r="ER78" s="9"/>
      <c r="ES78" s="9"/>
      <c r="ET78" s="9"/>
      <c r="EU78" s="10"/>
      <c r="EV78" s="9"/>
      <c r="EW78" s="9"/>
      <c r="EX78" s="9"/>
      <c r="EY78" s="9"/>
      <c r="EZ78" s="9"/>
      <c r="FA78" s="9"/>
      <c r="FB78" s="9"/>
      <c r="FC78" s="9"/>
      <c r="FD78" s="9"/>
      <c r="FE78" s="9"/>
      <c r="FF78" s="9"/>
      <c r="FG78" s="9"/>
      <c r="FH78" s="9"/>
      <c r="FI78" s="9"/>
      <c r="FJ78" s="9"/>
      <c r="FK78" s="9"/>
      <c r="FL78" s="9"/>
      <c r="FM78" s="9"/>
      <c r="FN78" s="9"/>
      <c r="FO78" s="9"/>
      <c r="FP78" s="9"/>
      <c r="FQ78" s="9"/>
      <c r="FR78" s="9"/>
      <c r="FS78" s="9"/>
      <c r="FT78" s="9"/>
      <c r="FU78" s="9"/>
      <c r="FV78" s="9"/>
      <c r="FW78" s="10"/>
      <c r="FX78" s="9"/>
      <c r="FY78" s="9"/>
      <c r="FZ78" s="9"/>
      <c r="GA78" s="9"/>
      <c r="GB78" s="9"/>
      <c r="GC78" s="9"/>
      <c r="GD78" s="9"/>
      <c r="GE78" s="9"/>
      <c r="GF78" s="9"/>
      <c r="GG78" s="9"/>
      <c r="GH78" s="9"/>
      <c r="GI78" s="9"/>
      <c r="GJ78" s="9"/>
      <c r="GK78" s="9"/>
      <c r="GL78" s="9"/>
      <c r="GM78" s="9"/>
      <c r="GN78" s="9"/>
      <c r="GO78" s="9"/>
      <c r="GP78" s="9"/>
      <c r="GQ78" s="9"/>
      <c r="GR78" s="9"/>
      <c r="GS78" s="9"/>
      <c r="GT78" s="9"/>
      <c r="GU78" s="9"/>
      <c r="GV78" s="9"/>
      <c r="GW78" s="9"/>
      <c r="GX78" s="9"/>
      <c r="GY78" s="10"/>
      <c r="GZ78" s="9"/>
      <c r="HA78" s="9"/>
    </row>
    <row r="79" spans="1:209" s="2" customFormat="1" ht="17" customHeight="1">
      <c r="A79" s="14" t="s">
        <v>78</v>
      </c>
      <c r="B79" s="35">
        <v>2234</v>
      </c>
      <c r="C79" s="35">
        <v>2229</v>
      </c>
      <c r="D79" s="4">
        <f t="shared" si="27"/>
        <v>0.99776186213070728</v>
      </c>
      <c r="E79" s="11">
        <v>10</v>
      </c>
      <c r="F79" s="5" t="s">
        <v>362</v>
      </c>
      <c r="G79" s="5" t="s">
        <v>362</v>
      </c>
      <c r="H79" s="5" t="s">
        <v>362</v>
      </c>
      <c r="I79" s="5" t="s">
        <v>362</v>
      </c>
      <c r="J79" s="5" t="s">
        <v>362</v>
      </c>
      <c r="K79" s="5" t="s">
        <v>362</v>
      </c>
      <c r="L79" s="5" t="s">
        <v>362</v>
      </c>
      <c r="M79" s="5" t="s">
        <v>362</v>
      </c>
      <c r="N79" s="35">
        <v>548.6</v>
      </c>
      <c r="O79" s="35">
        <v>1125.4000000000001</v>
      </c>
      <c r="P79" s="4">
        <f t="shared" si="28"/>
        <v>1.2851403572730586</v>
      </c>
      <c r="Q79" s="11">
        <v>20</v>
      </c>
      <c r="R79" s="35">
        <v>48</v>
      </c>
      <c r="S79" s="35">
        <v>60.1</v>
      </c>
      <c r="T79" s="4">
        <f t="shared" si="29"/>
        <v>1.2052083333333332</v>
      </c>
      <c r="U79" s="11">
        <v>20</v>
      </c>
      <c r="V79" s="35">
        <v>30</v>
      </c>
      <c r="W79" s="35">
        <v>31.9</v>
      </c>
      <c r="X79" s="4">
        <f t="shared" si="30"/>
        <v>1.0633333333333332</v>
      </c>
      <c r="Y79" s="11">
        <v>30</v>
      </c>
      <c r="Z79" s="35">
        <v>9649.5</v>
      </c>
      <c r="AA79" s="35">
        <v>4491</v>
      </c>
      <c r="AB79" s="4">
        <f t="shared" si="31"/>
        <v>0.46541271568475051</v>
      </c>
      <c r="AC79" s="11">
        <v>5</v>
      </c>
      <c r="AD79" s="11">
        <v>1416</v>
      </c>
      <c r="AE79" s="11">
        <v>1406</v>
      </c>
      <c r="AF79" s="4">
        <f t="shared" si="32"/>
        <v>0.99293785310734461</v>
      </c>
      <c r="AG79" s="11">
        <v>20</v>
      </c>
      <c r="AH79" s="5" t="s">
        <v>362</v>
      </c>
      <c r="AI79" s="5" t="s">
        <v>362</v>
      </c>
      <c r="AJ79" s="5" t="s">
        <v>362</v>
      </c>
      <c r="AK79" s="5" t="s">
        <v>362</v>
      </c>
      <c r="AL79" s="5" t="s">
        <v>362</v>
      </c>
      <c r="AM79" s="5" t="s">
        <v>362</v>
      </c>
      <c r="AN79" s="5" t="s">
        <v>362</v>
      </c>
      <c r="AO79" s="5" t="s">
        <v>362</v>
      </c>
      <c r="AP79" s="44">
        <f t="shared" si="40"/>
        <v>1.0844801245143385</v>
      </c>
      <c r="AQ79" s="45">
        <v>782</v>
      </c>
      <c r="AR79" s="35">
        <f t="shared" si="41"/>
        <v>213.27272727272728</v>
      </c>
      <c r="AS79" s="35">
        <f t="shared" si="33"/>
        <v>231.3</v>
      </c>
      <c r="AT79" s="35">
        <f t="shared" si="34"/>
        <v>18.027272727272731</v>
      </c>
      <c r="AU79" s="35">
        <v>80.7</v>
      </c>
      <c r="AV79" s="35">
        <v>80.3</v>
      </c>
      <c r="AW79" s="35">
        <f t="shared" si="35"/>
        <v>70.3</v>
      </c>
      <c r="AX79" s="35"/>
      <c r="AY79" s="35">
        <f t="shared" si="36"/>
        <v>70.3</v>
      </c>
      <c r="AZ79" s="35">
        <v>0</v>
      </c>
      <c r="BA79" s="35">
        <f t="shared" si="37"/>
        <v>70.3</v>
      </c>
      <c r="BB79" s="35"/>
      <c r="BC79" s="35">
        <f t="shared" si="38"/>
        <v>70.3</v>
      </c>
      <c r="BD79" s="35">
        <v>76.900000000000006</v>
      </c>
      <c r="BE79" s="35">
        <f t="shared" si="39"/>
        <v>-6.6</v>
      </c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  <c r="CK79" s="9"/>
      <c r="CL79" s="9"/>
      <c r="CM79" s="9"/>
      <c r="CN79" s="9"/>
      <c r="CO79" s="9"/>
      <c r="CP79" s="9"/>
      <c r="CQ79" s="10"/>
      <c r="CR79" s="9"/>
      <c r="CS79" s="9"/>
      <c r="CT79" s="9"/>
      <c r="CU79" s="9"/>
      <c r="CV79" s="9"/>
      <c r="CW79" s="9"/>
      <c r="CX79" s="9"/>
      <c r="CY79" s="9"/>
      <c r="CZ79" s="9"/>
      <c r="DA79" s="9"/>
      <c r="DB79" s="9"/>
      <c r="DC79" s="9"/>
      <c r="DD79" s="9"/>
      <c r="DE79" s="9"/>
      <c r="DF79" s="9"/>
      <c r="DG79" s="9"/>
      <c r="DH79" s="9"/>
      <c r="DI79" s="9"/>
      <c r="DJ79" s="9"/>
      <c r="DK79" s="9"/>
      <c r="DL79" s="9"/>
      <c r="DM79" s="9"/>
      <c r="DN79" s="9"/>
      <c r="DO79" s="9"/>
      <c r="DP79" s="9"/>
      <c r="DQ79" s="9"/>
      <c r="DR79" s="9"/>
      <c r="DS79" s="10"/>
      <c r="DT79" s="9"/>
      <c r="DU79" s="9"/>
      <c r="DV79" s="9"/>
      <c r="DW79" s="9"/>
      <c r="DX79" s="9"/>
      <c r="DY79" s="9"/>
      <c r="DZ79" s="9"/>
      <c r="EA79" s="9"/>
      <c r="EB79" s="9"/>
      <c r="EC79" s="9"/>
      <c r="ED79" s="9"/>
      <c r="EE79" s="9"/>
      <c r="EF79" s="9"/>
      <c r="EG79" s="9"/>
      <c r="EH79" s="9"/>
      <c r="EI79" s="9"/>
      <c r="EJ79" s="9"/>
      <c r="EK79" s="9"/>
      <c r="EL79" s="9"/>
      <c r="EM79" s="9"/>
      <c r="EN79" s="9"/>
      <c r="EO79" s="9"/>
      <c r="EP79" s="9"/>
      <c r="EQ79" s="9"/>
      <c r="ER79" s="9"/>
      <c r="ES79" s="9"/>
      <c r="ET79" s="9"/>
      <c r="EU79" s="10"/>
      <c r="EV79" s="9"/>
      <c r="EW79" s="9"/>
      <c r="EX79" s="9"/>
      <c r="EY79" s="9"/>
      <c r="EZ79" s="9"/>
      <c r="FA79" s="9"/>
      <c r="FB79" s="9"/>
      <c r="FC79" s="9"/>
      <c r="FD79" s="9"/>
      <c r="FE79" s="9"/>
      <c r="FF79" s="9"/>
      <c r="FG79" s="9"/>
      <c r="FH79" s="9"/>
      <c r="FI79" s="9"/>
      <c r="FJ79" s="9"/>
      <c r="FK79" s="9"/>
      <c r="FL79" s="9"/>
      <c r="FM79" s="9"/>
      <c r="FN79" s="9"/>
      <c r="FO79" s="9"/>
      <c r="FP79" s="9"/>
      <c r="FQ79" s="9"/>
      <c r="FR79" s="9"/>
      <c r="FS79" s="9"/>
      <c r="FT79" s="9"/>
      <c r="FU79" s="9"/>
      <c r="FV79" s="9"/>
      <c r="FW79" s="10"/>
      <c r="FX79" s="9"/>
      <c r="FY79" s="9"/>
      <c r="FZ79" s="9"/>
      <c r="GA79" s="9"/>
      <c r="GB79" s="9"/>
      <c r="GC79" s="9"/>
      <c r="GD79" s="9"/>
      <c r="GE79" s="9"/>
      <c r="GF79" s="9"/>
      <c r="GG79" s="9"/>
      <c r="GH79" s="9"/>
      <c r="GI79" s="9"/>
      <c r="GJ79" s="9"/>
      <c r="GK79" s="9"/>
      <c r="GL79" s="9"/>
      <c r="GM79" s="9"/>
      <c r="GN79" s="9"/>
      <c r="GO79" s="9"/>
      <c r="GP79" s="9"/>
      <c r="GQ79" s="9"/>
      <c r="GR79" s="9"/>
      <c r="GS79" s="9"/>
      <c r="GT79" s="9"/>
      <c r="GU79" s="9"/>
      <c r="GV79" s="9"/>
      <c r="GW79" s="9"/>
      <c r="GX79" s="9"/>
      <c r="GY79" s="10"/>
      <c r="GZ79" s="9"/>
      <c r="HA79" s="9"/>
    </row>
    <row r="80" spans="1:209" s="2" customFormat="1" ht="17" customHeight="1">
      <c r="A80" s="18" t="s">
        <v>79</v>
      </c>
      <c r="B80" s="6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35"/>
      <c r="AA80" s="35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35"/>
      <c r="BD80" s="35"/>
      <c r="BE80" s="35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9"/>
      <c r="BU80" s="9"/>
      <c r="BV80" s="9"/>
      <c r="BW80" s="9"/>
      <c r="BX80" s="9"/>
      <c r="BY80" s="9"/>
      <c r="BZ80" s="9"/>
      <c r="CA80" s="9"/>
      <c r="CB80" s="9"/>
      <c r="CC80" s="9"/>
      <c r="CD80" s="9"/>
      <c r="CE80" s="9"/>
      <c r="CF80" s="9"/>
      <c r="CG80" s="9"/>
      <c r="CH80" s="9"/>
      <c r="CI80" s="9"/>
      <c r="CJ80" s="9"/>
      <c r="CK80" s="9"/>
      <c r="CL80" s="9"/>
      <c r="CM80" s="9"/>
      <c r="CN80" s="9"/>
      <c r="CO80" s="9"/>
      <c r="CP80" s="9"/>
      <c r="CQ80" s="10"/>
      <c r="CR80" s="9"/>
      <c r="CS80" s="9"/>
      <c r="CT80" s="9"/>
      <c r="CU80" s="9"/>
      <c r="CV80" s="9"/>
      <c r="CW80" s="9"/>
      <c r="CX80" s="9"/>
      <c r="CY80" s="9"/>
      <c r="CZ80" s="9"/>
      <c r="DA80" s="9"/>
      <c r="DB80" s="9"/>
      <c r="DC80" s="9"/>
      <c r="DD80" s="9"/>
      <c r="DE80" s="9"/>
      <c r="DF80" s="9"/>
      <c r="DG80" s="9"/>
      <c r="DH80" s="9"/>
      <c r="DI80" s="9"/>
      <c r="DJ80" s="9"/>
      <c r="DK80" s="9"/>
      <c r="DL80" s="9"/>
      <c r="DM80" s="9"/>
      <c r="DN80" s="9"/>
      <c r="DO80" s="9"/>
      <c r="DP80" s="9"/>
      <c r="DQ80" s="9"/>
      <c r="DR80" s="9"/>
      <c r="DS80" s="10"/>
      <c r="DT80" s="9"/>
      <c r="DU80" s="9"/>
      <c r="DV80" s="9"/>
      <c r="DW80" s="9"/>
      <c r="DX80" s="9"/>
      <c r="DY80" s="9"/>
      <c r="DZ80" s="9"/>
      <c r="EA80" s="9"/>
      <c r="EB80" s="9"/>
      <c r="EC80" s="9"/>
      <c r="ED80" s="9"/>
      <c r="EE80" s="9"/>
      <c r="EF80" s="9"/>
      <c r="EG80" s="9"/>
      <c r="EH80" s="9"/>
      <c r="EI80" s="9"/>
      <c r="EJ80" s="9"/>
      <c r="EK80" s="9"/>
      <c r="EL80" s="9"/>
      <c r="EM80" s="9"/>
      <c r="EN80" s="9"/>
      <c r="EO80" s="9"/>
      <c r="EP80" s="9"/>
      <c r="EQ80" s="9"/>
      <c r="ER80" s="9"/>
      <c r="ES80" s="9"/>
      <c r="ET80" s="9"/>
      <c r="EU80" s="10"/>
      <c r="EV80" s="9"/>
      <c r="EW80" s="9"/>
      <c r="EX80" s="9"/>
      <c r="EY80" s="9"/>
      <c r="EZ80" s="9"/>
      <c r="FA80" s="9"/>
      <c r="FB80" s="9"/>
      <c r="FC80" s="9"/>
      <c r="FD80" s="9"/>
      <c r="FE80" s="9"/>
      <c r="FF80" s="9"/>
      <c r="FG80" s="9"/>
      <c r="FH80" s="9"/>
      <c r="FI80" s="9"/>
      <c r="FJ80" s="9"/>
      <c r="FK80" s="9"/>
      <c r="FL80" s="9"/>
      <c r="FM80" s="9"/>
      <c r="FN80" s="9"/>
      <c r="FO80" s="9"/>
      <c r="FP80" s="9"/>
      <c r="FQ80" s="9"/>
      <c r="FR80" s="9"/>
      <c r="FS80" s="9"/>
      <c r="FT80" s="9"/>
      <c r="FU80" s="9"/>
      <c r="FV80" s="9"/>
      <c r="FW80" s="10"/>
      <c r="FX80" s="9"/>
      <c r="FY80" s="9"/>
      <c r="FZ80" s="9"/>
      <c r="GA80" s="9"/>
      <c r="GB80" s="9"/>
      <c r="GC80" s="9"/>
      <c r="GD80" s="9"/>
      <c r="GE80" s="9"/>
      <c r="GF80" s="9"/>
      <c r="GG80" s="9"/>
      <c r="GH80" s="9"/>
      <c r="GI80" s="9"/>
      <c r="GJ80" s="9"/>
      <c r="GK80" s="9"/>
      <c r="GL80" s="9"/>
      <c r="GM80" s="9"/>
      <c r="GN80" s="9"/>
      <c r="GO80" s="9"/>
      <c r="GP80" s="9"/>
      <c r="GQ80" s="9"/>
      <c r="GR80" s="9"/>
      <c r="GS80" s="9"/>
      <c r="GT80" s="9"/>
      <c r="GU80" s="9"/>
      <c r="GV80" s="9"/>
      <c r="GW80" s="9"/>
      <c r="GX80" s="9"/>
      <c r="GY80" s="10"/>
      <c r="GZ80" s="9"/>
      <c r="HA80" s="9"/>
    </row>
    <row r="81" spans="1:209" s="2" customFormat="1" ht="17" customHeight="1">
      <c r="A81" s="14" t="s">
        <v>80</v>
      </c>
      <c r="B81" s="35">
        <v>20757</v>
      </c>
      <c r="C81" s="35">
        <v>28538</v>
      </c>
      <c r="D81" s="4">
        <f t="shared" si="27"/>
        <v>1.2174861492508551</v>
      </c>
      <c r="E81" s="11">
        <v>10</v>
      </c>
      <c r="F81" s="5" t="s">
        <v>362</v>
      </c>
      <c r="G81" s="5" t="s">
        <v>362</v>
      </c>
      <c r="H81" s="5" t="s">
        <v>362</v>
      </c>
      <c r="I81" s="5" t="s">
        <v>362</v>
      </c>
      <c r="J81" s="5" t="s">
        <v>362</v>
      </c>
      <c r="K81" s="5" t="s">
        <v>362</v>
      </c>
      <c r="L81" s="5" t="s">
        <v>362</v>
      </c>
      <c r="M81" s="5" t="s">
        <v>362</v>
      </c>
      <c r="N81" s="35">
        <v>640.70000000000005</v>
      </c>
      <c r="O81" s="35">
        <v>1071.4000000000001</v>
      </c>
      <c r="P81" s="4">
        <f t="shared" si="28"/>
        <v>1.2472233494615264</v>
      </c>
      <c r="Q81" s="11">
        <v>20</v>
      </c>
      <c r="R81" s="35">
        <v>49.5</v>
      </c>
      <c r="S81" s="35">
        <v>57.6</v>
      </c>
      <c r="T81" s="4">
        <f t="shared" si="29"/>
        <v>1.1636363636363636</v>
      </c>
      <c r="U81" s="11">
        <v>15</v>
      </c>
      <c r="V81" s="35">
        <v>22.9</v>
      </c>
      <c r="W81" s="35">
        <v>27.2</v>
      </c>
      <c r="X81" s="4">
        <f t="shared" si="30"/>
        <v>1.1877729257641922</v>
      </c>
      <c r="Y81" s="11">
        <v>35</v>
      </c>
      <c r="Z81" s="35">
        <v>12200</v>
      </c>
      <c r="AA81" s="35">
        <v>24909</v>
      </c>
      <c r="AB81" s="4">
        <f t="shared" si="31"/>
        <v>1.2841721311475409</v>
      </c>
      <c r="AC81" s="11">
        <v>5</v>
      </c>
      <c r="AD81" s="11">
        <v>1477</v>
      </c>
      <c r="AE81" s="11">
        <v>1508</v>
      </c>
      <c r="AF81" s="4">
        <f t="shared" si="32"/>
        <v>1.020988490182803</v>
      </c>
      <c r="AG81" s="11">
        <v>20</v>
      </c>
      <c r="AH81" s="5" t="s">
        <v>362</v>
      </c>
      <c r="AI81" s="5" t="s">
        <v>362</v>
      </c>
      <c r="AJ81" s="5" t="s">
        <v>362</v>
      </c>
      <c r="AK81" s="5" t="s">
        <v>362</v>
      </c>
      <c r="AL81" s="5" t="s">
        <v>362</v>
      </c>
      <c r="AM81" s="5" t="s">
        <v>362</v>
      </c>
      <c r="AN81" s="5" t="s">
        <v>362</v>
      </c>
      <c r="AO81" s="5" t="s">
        <v>362</v>
      </c>
      <c r="AP81" s="44">
        <f t="shared" si="40"/>
        <v>1.1713005409278572</v>
      </c>
      <c r="AQ81" s="45">
        <v>1881</v>
      </c>
      <c r="AR81" s="35">
        <f t="shared" si="41"/>
        <v>513</v>
      </c>
      <c r="AS81" s="35">
        <f t="shared" si="33"/>
        <v>600.9</v>
      </c>
      <c r="AT81" s="35">
        <f t="shared" si="34"/>
        <v>87.899999999999977</v>
      </c>
      <c r="AU81" s="35">
        <v>196.1</v>
      </c>
      <c r="AV81" s="35">
        <v>207.5</v>
      </c>
      <c r="AW81" s="35">
        <f t="shared" si="35"/>
        <v>197.3</v>
      </c>
      <c r="AX81" s="35"/>
      <c r="AY81" s="35">
        <f t="shared" si="36"/>
        <v>197.3</v>
      </c>
      <c r="AZ81" s="35">
        <v>0</v>
      </c>
      <c r="BA81" s="35">
        <f t="shared" si="37"/>
        <v>197.3</v>
      </c>
      <c r="BB81" s="35"/>
      <c r="BC81" s="35">
        <f t="shared" si="38"/>
        <v>197.3</v>
      </c>
      <c r="BD81" s="35">
        <v>194.4</v>
      </c>
      <c r="BE81" s="35">
        <f t="shared" si="39"/>
        <v>2.9</v>
      </c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  <c r="CK81" s="9"/>
      <c r="CL81" s="9"/>
      <c r="CM81" s="9"/>
      <c r="CN81" s="9"/>
      <c r="CO81" s="9"/>
      <c r="CP81" s="9"/>
      <c r="CQ81" s="10"/>
      <c r="CR81" s="9"/>
      <c r="CS81" s="9"/>
      <c r="CT81" s="9"/>
      <c r="CU81" s="9"/>
      <c r="CV81" s="9"/>
      <c r="CW81" s="9"/>
      <c r="CX81" s="9"/>
      <c r="CY81" s="9"/>
      <c r="CZ81" s="9"/>
      <c r="DA81" s="9"/>
      <c r="DB81" s="9"/>
      <c r="DC81" s="9"/>
      <c r="DD81" s="9"/>
      <c r="DE81" s="9"/>
      <c r="DF81" s="9"/>
      <c r="DG81" s="9"/>
      <c r="DH81" s="9"/>
      <c r="DI81" s="9"/>
      <c r="DJ81" s="9"/>
      <c r="DK81" s="9"/>
      <c r="DL81" s="9"/>
      <c r="DM81" s="9"/>
      <c r="DN81" s="9"/>
      <c r="DO81" s="9"/>
      <c r="DP81" s="9"/>
      <c r="DQ81" s="9"/>
      <c r="DR81" s="9"/>
      <c r="DS81" s="10"/>
      <c r="DT81" s="9"/>
      <c r="DU81" s="9"/>
      <c r="DV81" s="9"/>
      <c r="DW81" s="9"/>
      <c r="DX81" s="9"/>
      <c r="DY81" s="9"/>
      <c r="DZ81" s="9"/>
      <c r="EA81" s="9"/>
      <c r="EB81" s="9"/>
      <c r="EC81" s="9"/>
      <c r="ED81" s="9"/>
      <c r="EE81" s="9"/>
      <c r="EF81" s="9"/>
      <c r="EG81" s="9"/>
      <c r="EH81" s="9"/>
      <c r="EI81" s="9"/>
      <c r="EJ81" s="9"/>
      <c r="EK81" s="9"/>
      <c r="EL81" s="9"/>
      <c r="EM81" s="9"/>
      <c r="EN81" s="9"/>
      <c r="EO81" s="9"/>
      <c r="EP81" s="9"/>
      <c r="EQ81" s="9"/>
      <c r="ER81" s="9"/>
      <c r="ES81" s="9"/>
      <c r="ET81" s="9"/>
      <c r="EU81" s="10"/>
      <c r="EV81" s="9"/>
      <c r="EW81" s="9"/>
      <c r="EX81" s="9"/>
      <c r="EY81" s="9"/>
      <c r="EZ81" s="9"/>
      <c r="FA81" s="9"/>
      <c r="FB81" s="9"/>
      <c r="FC81" s="9"/>
      <c r="FD81" s="9"/>
      <c r="FE81" s="9"/>
      <c r="FF81" s="9"/>
      <c r="FG81" s="9"/>
      <c r="FH81" s="9"/>
      <c r="FI81" s="9"/>
      <c r="FJ81" s="9"/>
      <c r="FK81" s="9"/>
      <c r="FL81" s="9"/>
      <c r="FM81" s="9"/>
      <c r="FN81" s="9"/>
      <c r="FO81" s="9"/>
      <c r="FP81" s="9"/>
      <c r="FQ81" s="9"/>
      <c r="FR81" s="9"/>
      <c r="FS81" s="9"/>
      <c r="FT81" s="9"/>
      <c r="FU81" s="9"/>
      <c r="FV81" s="9"/>
      <c r="FW81" s="10"/>
      <c r="FX81" s="9"/>
      <c r="FY81" s="9"/>
      <c r="FZ81" s="9"/>
      <c r="GA81" s="9"/>
      <c r="GB81" s="9"/>
      <c r="GC81" s="9"/>
      <c r="GD81" s="9"/>
      <c r="GE81" s="9"/>
      <c r="GF81" s="9"/>
      <c r="GG81" s="9"/>
      <c r="GH81" s="9"/>
      <c r="GI81" s="9"/>
      <c r="GJ81" s="9"/>
      <c r="GK81" s="9"/>
      <c r="GL81" s="9"/>
      <c r="GM81" s="9"/>
      <c r="GN81" s="9"/>
      <c r="GO81" s="9"/>
      <c r="GP81" s="9"/>
      <c r="GQ81" s="9"/>
      <c r="GR81" s="9"/>
      <c r="GS81" s="9"/>
      <c r="GT81" s="9"/>
      <c r="GU81" s="9"/>
      <c r="GV81" s="9"/>
      <c r="GW81" s="9"/>
      <c r="GX81" s="9"/>
      <c r="GY81" s="10"/>
      <c r="GZ81" s="9"/>
      <c r="HA81" s="9"/>
    </row>
    <row r="82" spans="1:209" s="2" customFormat="1" ht="17" customHeight="1">
      <c r="A82" s="46" t="s">
        <v>81</v>
      </c>
      <c r="B82" s="35">
        <v>39660</v>
      </c>
      <c r="C82" s="35">
        <v>40286</v>
      </c>
      <c r="D82" s="4">
        <f t="shared" si="27"/>
        <v>1.0157841654059505</v>
      </c>
      <c r="E82" s="11">
        <v>10</v>
      </c>
      <c r="F82" s="5" t="s">
        <v>362</v>
      </c>
      <c r="G82" s="5" t="s">
        <v>362</v>
      </c>
      <c r="H82" s="5" t="s">
        <v>362</v>
      </c>
      <c r="I82" s="5" t="s">
        <v>362</v>
      </c>
      <c r="J82" s="5" t="s">
        <v>362</v>
      </c>
      <c r="K82" s="5" t="s">
        <v>362</v>
      </c>
      <c r="L82" s="5" t="s">
        <v>362</v>
      </c>
      <c r="M82" s="5" t="s">
        <v>362</v>
      </c>
      <c r="N82" s="35">
        <v>4401.2</v>
      </c>
      <c r="O82" s="35">
        <v>2861.2</v>
      </c>
      <c r="P82" s="4">
        <f t="shared" si="28"/>
        <v>0.65009542851949464</v>
      </c>
      <c r="Q82" s="11">
        <v>20</v>
      </c>
      <c r="R82" s="35">
        <v>209.2</v>
      </c>
      <c r="S82" s="35">
        <v>244.9</v>
      </c>
      <c r="T82" s="4">
        <f t="shared" si="29"/>
        <v>1.1706500956022945</v>
      </c>
      <c r="U82" s="11">
        <v>25</v>
      </c>
      <c r="V82" s="35">
        <v>13</v>
      </c>
      <c r="W82" s="35">
        <v>16.3</v>
      </c>
      <c r="X82" s="4">
        <f t="shared" si="30"/>
        <v>1.2053846153846153</v>
      </c>
      <c r="Y82" s="11">
        <v>25</v>
      </c>
      <c r="Z82" s="35">
        <v>68435</v>
      </c>
      <c r="AA82" s="35">
        <v>170120</v>
      </c>
      <c r="AB82" s="4">
        <f t="shared" si="31"/>
        <v>1.3</v>
      </c>
      <c r="AC82" s="11">
        <v>5</v>
      </c>
      <c r="AD82" s="11">
        <v>1354</v>
      </c>
      <c r="AE82" s="11">
        <v>1270</v>
      </c>
      <c r="AF82" s="4">
        <f t="shared" si="32"/>
        <v>0.93796159527326439</v>
      </c>
      <c r="AG82" s="11">
        <v>20</v>
      </c>
      <c r="AH82" s="5" t="s">
        <v>362</v>
      </c>
      <c r="AI82" s="5" t="s">
        <v>362</v>
      </c>
      <c r="AJ82" s="5" t="s">
        <v>362</v>
      </c>
      <c r="AK82" s="5" t="s">
        <v>362</v>
      </c>
      <c r="AL82" s="5" t="s">
        <v>362</v>
      </c>
      <c r="AM82" s="5" t="s">
        <v>362</v>
      </c>
      <c r="AN82" s="5" t="s">
        <v>362</v>
      </c>
      <c r="AO82" s="5" t="s">
        <v>362</v>
      </c>
      <c r="AP82" s="44">
        <f t="shared" si="40"/>
        <v>1.0268557133770231</v>
      </c>
      <c r="AQ82" s="45">
        <v>2006</v>
      </c>
      <c r="AR82" s="35">
        <f t="shared" si="41"/>
        <v>547.09090909090912</v>
      </c>
      <c r="AS82" s="35">
        <f t="shared" si="33"/>
        <v>561.79999999999995</v>
      </c>
      <c r="AT82" s="35">
        <f t="shared" si="34"/>
        <v>14.709090909090833</v>
      </c>
      <c r="AU82" s="35">
        <v>180.5</v>
      </c>
      <c r="AV82" s="35">
        <v>185.8</v>
      </c>
      <c r="AW82" s="35">
        <f t="shared" si="35"/>
        <v>195.5</v>
      </c>
      <c r="AX82" s="35"/>
      <c r="AY82" s="35">
        <f t="shared" si="36"/>
        <v>195.5</v>
      </c>
      <c r="AZ82" s="35">
        <v>0</v>
      </c>
      <c r="BA82" s="35">
        <f t="shared" si="37"/>
        <v>195.5</v>
      </c>
      <c r="BB82" s="35"/>
      <c r="BC82" s="35">
        <f t="shared" si="38"/>
        <v>195.5</v>
      </c>
      <c r="BD82" s="35">
        <v>188</v>
      </c>
      <c r="BE82" s="35">
        <f t="shared" si="39"/>
        <v>7.5</v>
      </c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9"/>
      <c r="BU82" s="9"/>
      <c r="BV82" s="9"/>
      <c r="BW82" s="9"/>
      <c r="BX82" s="9"/>
      <c r="BY82" s="9"/>
      <c r="BZ82" s="9"/>
      <c r="CA82" s="9"/>
      <c r="CB82" s="9"/>
      <c r="CC82" s="9"/>
      <c r="CD82" s="9"/>
      <c r="CE82" s="9"/>
      <c r="CF82" s="9"/>
      <c r="CG82" s="9"/>
      <c r="CH82" s="9"/>
      <c r="CI82" s="9"/>
      <c r="CJ82" s="9"/>
      <c r="CK82" s="9"/>
      <c r="CL82" s="9"/>
      <c r="CM82" s="9"/>
      <c r="CN82" s="9"/>
      <c r="CO82" s="9"/>
      <c r="CP82" s="9"/>
      <c r="CQ82" s="10"/>
      <c r="CR82" s="9"/>
      <c r="CS82" s="9"/>
      <c r="CT82" s="9"/>
      <c r="CU82" s="9"/>
      <c r="CV82" s="9"/>
      <c r="CW82" s="9"/>
      <c r="CX82" s="9"/>
      <c r="CY82" s="9"/>
      <c r="CZ82" s="9"/>
      <c r="DA82" s="9"/>
      <c r="DB82" s="9"/>
      <c r="DC82" s="9"/>
      <c r="DD82" s="9"/>
      <c r="DE82" s="9"/>
      <c r="DF82" s="9"/>
      <c r="DG82" s="9"/>
      <c r="DH82" s="9"/>
      <c r="DI82" s="9"/>
      <c r="DJ82" s="9"/>
      <c r="DK82" s="9"/>
      <c r="DL82" s="9"/>
      <c r="DM82" s="9"/>
      <c r="DN82" s="9"/>
      <c r="DO82" s="9"/>
      <c r="DP82" s="9"/>
      <c r="DQ82" s="9"/>
      <c r="DR82" s="9"/>
      <c r="DS82" s="10"/>
      <c r="DT82" s="9"/>
      <c r="DU82" s="9"/>
      <c r="DV82" s="9"/>
      <c r="DW82" s="9"/>
      <c r="DX82" s="9"/>
      <c r="DY82" s="9"/>
      <c r="DZ82" s="9"/>
      <c r="EA82" s="9"/>
      <c r="EB82" s="9"/>
      <c r="EC82" s="9"/>
      <c r="ED82" s="9"/>
      <c r="EE82" s="9"/>
      <c r="EF82" s="9"/>
      <c r="EG82" s="9"/>
      <c r="EH82" s="9"/>
      <c r="EI82" s="9"/>
      <c r="EJ82" s="9"/>
      <c r="EK82" s="9"/>
      <c r="EL82" s="9"/>
      <c r="EM82" s="9"/>
      <c r="EN82" s="9"/>
      <c r="EO82" s="9"/>
      <c r="EP82" s="9"/>
      <c r="EQ82" s="9"/>
      <c r="ER82" s="9"/>
      <c r="ES82" s="9"/>
      <c r="ET82" s="9"/>
      <c r="EU82" s="10"/>
      <c r="EV82" s="9"/>
      <c r="EW82" s="9"/>
      <c r="EX82" s="9"/>
      <c r="EY82" s="9"/>
      <c r="EZ82" s="9"/>
      <c r="FA82" s="9"/>
      <c r="FB82" s="9"/>
      <c r="FC82" s="9"/>
      <c r="FD82" s="9"/>
      <c r="FE82" s="9"/>
      <c r="FF82" s="9"/>
      <c r="FG82" s="9"/>
      <c r="FH82" s="9"/>
      <c r="FI82" s="9"/>
      <c r="FJ82" s="9"/>
      <c r="FK82" s="9"/>
      <c r="FL82" s="9"/>
      <c r="FM82" s="9"/>
      <c r="FN82" s="9"/>
      <c r="FO82" s="9"/>
      <c r="FP82" s="9"/>
      <c r="FQ82" s="9"/>
      <c r="FR82" s="9"/>
      <c r="FS82" s="9"/>
      <c r="FT82" s="9"/>
      <c r="FU82" s="9"/>
      <c r="FV82" s="9"/>
      <c r="FW82" s="10"/>
      <c r="FX82" s="9"/>
      <c r="FY82" s="9"/>
      <c r="FZ82" s="9"/>
      <c r="GA82" s="9"/>
      <c r="GB82" s="9"/>
      <c r="GC82" s="9"/>
      <c r="GD82" s="9"/>
      <c r="GE82" s="9"/>
      <c r="GF82" s="9"/>
      <c r="GG82" s="9"/>
      <c r="GH82" s="9"/>
      <c r="GI82" s="9"/>
      <c r="GJ82" s="9"/>
      <c r="GK82" s="9"/>
      <c r="GL82" s="9"/>
      <c r="GM82" s="9"/>
      <c r="GN82" s="9"/>
      <c r="GO82" s="9"/>
      <c r="GP82" s="9"/>
      <c r="GQ82" s="9"/>
      <c r="GR82" s="9"/>
      <c r="GS82" s="9"/>
      <c r="GT82" s="9"/>
      <c r="GU82" s="9"/>
      <c r="GV82" s="9"/>
      <c r="GW82" s="9"/>
      <c r="GX82" s="9"/>
      <c r="GY82" s="10"/>
      <c r="GZ82" s="9"/>
      <c r="HA82" s="9"/>
    </row>
    <row r="83" spans="1:209" s="2" customFormat="1" ht="17" customHeight="1">
      <c r="A83" s="14" t="s">
        <v>82</v>
      </c>
      <c r="B83" s="35">
        <v>111</v>
      </c>
      <c r="C83" s="35">
        <v>115</v>
      </c>
      <c r="D83" s="4">
        <f t="shared" si="27"/>
        <v>1.0360360360360361</v>
      </c>
      <c r="E83" s="11">
        <v>10</v>
      </c>
      <c r="F83" s="5" t="s">
        <v>362</v>
      </c>
      <c r="G83" s="5" t="s">
        <v>362</v>
      </c>
      <c r="H83" s="5" t="s">
        <v>362</v>
      </c>
      <c r="I83" s="5" t="s">
        <v>362</v>
      </c>
      <c r="J83" s="5" t="s">
        <v>362</v>
      </c>
      <c r="K83" s="5" t="s">
        <v>362</v>
      </c>
      <c r="L83" s="5" t="s">
        <v>362</v>
      </c>
      <c r="M83" s="5" t="s">
        <v>362</v>
      </c>
      <c r="N83" s="35">
        <v>121.8</v>
      </c>
      <c r="O83" s="35">
        <v>62.9</v>
      </c>
      <c r="P83" s="4">
        <f t="shared" si="28"/>
        <v>0.51642036124794743</v>
      </c>
      <c r="Q83" s="11">
        <v>20</v>
      </c>
      <c r="R83" s="35">
        <v>53.8</v>
      </c>
      <c r="S83" s="35">
        <v>63.5</v>
      </c>
      <c r="T83" s="4">
        <f t="shared" si="29"/>
        <v>1.1802973977695168</v>
      </c>
      <c r="U83" s="11">
        <v>20</v>
      </c>
      <c r="V83" s="35">
        <v>21.8</v>
      </c>
      <c r="W83" s="35">
        <v>24.4</v>
      </c>
      <c r="X83" s="4">
        <f t="shared" si="30"/>
        <v>1.1192660550458715</v>
      </c>
      <c r="Y83" s="11">
        <v>30</v>
      </c>
      <c r="Z83" s="35">
        <v>4900</v>
      </c>
      <c r="AA83" s="35">
        <v>5233</v>
      </c>
      <c r="AB83" s="4">
        <f t="shared" si="31"/>
        <v>1.0679591836734694</v>
      </c>
      <c r="AC83" s="11">
        <v>5</v>
      </c>
      <c r="AD83" s="11">
        <v>1920</v>
      </c>
      <c r="AE83" s="11">
        <v>1940</v>
      </c>
      <c r="AF83" s="4">
        <f t="shared" si="32"/>
        <v>1.0104166666666667</v>
      </c>
      <c r="AG83" s="11">
        <v>20</v>
      </c>
      <c r="AH83" s="5" t="s">
        <v>362</v>
      </c>
      <c r="AI83" s="5" t="s">
        <v>362</v>
      </c>
      <c r="AJ83" s="5" t="s">
        <v>362</v>
      </c>
      <c r="AK83" s="5" t="s">
        <v>362</v>
      </c>
      <c r="AL83" s="5" t="s">
        <v>362</v>
      </c>
      <c r="AM83" s="5" t="s">
        <v>362</v>
      </c>
      <c r="AN83" s="5" t="s">
        <v>362</v>
      </c>
      <c r="AO83" s="5" t="s">
        <v>362</v>
      </c>
      <c r="AP83" s="44">
        <f t="shared" si="40"/>
        <v>0.98496025184558544</v>
      </c>
      <c r="AQ83" s="45">
        <v>2718</v>
      </c>
      <c r="AR83" s="35">
        <f t="shared" si="41"/>
        <v>741.27272727272725</v>
      </c>
      <c r="AS83" s="35">
        <f t="shared" si="33"/>
        <v>730.1</v>
      </c>
      <c r="AT83" s="35">
        <f t="shared" si="34"/>
        <v>-11.172727272727229</v>
      </c>
      <c r="AU83" s="35">
        <v>261</v>
      </c>
      <c r="AV83" s="35">
        <v>217.6</v>
      </c>
      <c r="AW83" s="35">
        <f t="shared" si="35"/>
        <v>251.5</v>
      </c>
      <c r="AX83" s="35"/>
      <c r="AY83" s="35">
        <f t="shared" si="36"/>
        <v>251.5</v>
      </c>
      <c r="AZ83" s="35">
        <v>0</v>
      </c>
      <c r="BA83" s="35">
        <f t="shared" si="37"/>
        <v>251.5</v>
      </c>
      <c r="BB83" s="35">
        <f>MIN(BA83,7.5)</f>
        <v>7.5</v>
      </c>
      <c r="BC83" s="35">
        <f t="shared" si="38"/>
        <v>244</v>
      </c>
      <c r="BD83" s="35">
        <v>240.9</v>
      </c>
      <c r="BE83" s="35">
        <f t="shared" si="39"/>
        <v>3.1</v>
      </c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9"/>
      <c r="BU83" s="9"/>
      <c r="BV83" s="9"/>
      <c r="BW83" s="9"/>
      <c r="BX83" s="9"/>
      <c r="BY83" s="9"/>
      <c r="BZ83" s="9"/>
      <c r="CA83" s="9"/>
      <c r="CB83" s="9"/>
      <c r="CC83" s="9"/>
      <c r="CD83" s="9"/>
      <c r="CE83" s="9"/>
      <c r="CF83" s="9"/>
      <c r="CG83" s="9"/>
      <c r="CH83" s="9"/>
      <c r="CI83" s="9"/>
      <c r="CJ83" s="9"/>
      <c r="CK83" s="9"/>
      <c r="CL83" s="9"/>
      <c r="CM83" s="9"/>
      <c r="CN83" s="9"/>
      <c r="CO83" s="9"/>
      <c r="CP83" s="9"/>
      <c r="CQ83" s="10"/>
      <c r="CR83" s="9"/>
      <c r="CS83" s="9"/>
      <c r="CT83" s="9"/>
      <c r="CU83" s="9"/>
      <c r="CV83" s="9"/>
      <c r="CW83" s="9"/>
      <c r="CX83" s="9"/>
      <c r="CY83" s="9"/>
      <c r="CZ83" s="9"/>
      <c r="DA83" s="9"/>
      <c r="DB83" s="9"/>
      <c r="DC83" s="9"/>
      <c r="DD83" s="9"/>
      <c r="DE83" s="9"/>
      <c r="DF83" s="9"/>
      <c r="DG83" s="9"/>
      <c r="DH83" s="9"/>
      <c r="DI83" s="9"/>
      <c r="DJ83" s="9"/>
      <c r="DK83" s="9"/>
      <c r="DL83" s="9"/>
      <c r="DM83" s="9"/>
      <c r="DN83" s="9"/>
      <c r="DO83" s="9"/>
      <c r="DP83" s="9"/>
      <c r="DQ83" s="9"/>
      <c r="DR83" s="9"/>
      <c r="DS83" s="10"/>
      <c r="DT83" s="9"/>
      <c r="DU83" s="9"/>
      <c r="DV83" s="9"/>
      <c r="DW83" s="9"/>
      <c r="DX83" s="9"/>
      <c r="DY83" s="9"/>
      <c r="DZ83" s="9"/>
      <c r="EA83" s="9"/>
      <c r="EB83" s="9"/>
      <c r="EC83" s="9"/>
      <c r="ED83" s="9"/>
      <c r="EE83" s="9"/>
      <c r="EF83" s="9"/>
      <c r="EG83" s="9"/>
      <c r="EH83" s="9"/>
      <c r="EI83" s="9"/>
      <c r="EJ83" s="9"/>
      <c r="EK83" s="9"/>
      <c r="EL83" s="9"/>
      <c r="EM83" s="9"/>
      <c r="EN83" s="9"/>
      <c r="EO83" s="9"/>
      <c r="EP83" s="9"/>
      <c r="EQ83" s="9"/>
      <c r="ER83" s="9"/>
      <c r="ES83" s="9"/>
      <c r="ET83" s="9"/>
      <c r="EU83" s="10"/>
      <c r="EV83" s="9"/>
      <c r="EW83" s="9"/>
      <c r="EX83" s="9"/>
      <c r="EY83" s="9"/>
      <c r="EZ83" s="9"/>
      <c r="FA83" s="9"/>
      <c r="FB83" s="9"/>
      <c r="FC83" s="9"/>
      <c r="FD83" s="9"/>
      <c r="FE83" s="9"/>
      <c r="FF83" s="9"/>
      <c r="FG83" s="9"/>
      <c r="FH83" s="9"/>
      <c r="FI83" s="9"/>
      <c r="FJ83" s="9"/>
      <c r="FK83" s="9"/>
      <c r="FL83" s="9"/>
      <c r="FM83" s="9"/>
      <c r="FN83" s="9"/>
      <c r="FO83" s="9"/>
      <c r="FP83" s="9"/>
      <c r="FQ83" s="9"/>
      <c r="FR83" s="9"/>
      <c r="FS83" s="9"/>
      <c r="FT83" s="9"/>
      <c r="FU83" s="9"/>
      <c r="FV83" s="9"/>
      <c r="FW83" s="10"/>
      <c r="FX83" s="9"/>
      <c r="FY83" s="9"/>
      <c r="FZ83" s="9"/>
      <c r="GA83" s="9"/>
      <c r="GB83" s="9"/>
      <c r="GC83" s="9"/>
      <c r="GD83" s="9"/>
      <c r="GE83" s="9"/>
      <c r="GF83" s="9"/>
      <c r="GG83" s="9"/>
      <c r="GH83" s="9"/>
      <c r="GI83" s="9"/>
      <c r="GJ83" s="9"/>
      <c r="GK83" s="9"/>
      <c r="GL83" s="9"/>
      <c r="GM83" s="9"/>
      <c r="GN83" s="9"/>
      <c r="GO83" s="9"/>
      <c r="GP83" s="9"/>
      <c r="GQ83" s="9"/>
      <c r="GR83" s="9"/>
      <c r="GS83" s="9"/>
      <c r="GT83" s="9"/>
      <c r="GU83" s="9"/>
      <c r="GV83" s="9"/>
      <c r="GW83" s="9"/>
      <c r="GX83" s="9"/>
      <c r="GY83" s="10"/>
      <c r="GZ83" s="9"/>
      <c r="HA83" s="9"/>
    </row>
    <row r="84" spans="1:209" s="2" customFormat="1" ht="17" customHeight="1">
      <c r="A84" s="14" t="s">
        <v>83</v>
      </c>
      <c r="B84" s="35">
        <v>1544</v>
      </c>
      <c r="C84" s="35">
        <v>1663</v>
      </c>
      <c r="D84" s="4">
        <f t="shared" si="27"/>
        <v>1.0770725388601037</v>
      </c>
      <c r="E84" s="11">
        <v>10</v>
      </c>
      <c r="F84" s="5" t="s">
        <v>362</v>
      </c>
      <c r="G84" s="5" t="s">
        <v>362</v>
      </c>
      <c r="H84" s="5" t="s">
        <v>362</v>
      </c>
      <c r="I84" s="5" t="s">
        <v>362</v>
      </c>
      <c r="J84" s="5" t="s">
        <v>362</v>
      </c>
      <c r="K84" s="5" t="s">
        <v>362</v>
      </c>
      <c r="L84" s="5" t="s">
        <v>362</v>
      </c>
      <c r="M84" s="5" t="s">
        <v>362</v>
      </c>
      <c r="N84" s="35">
        <v>700.3</v>
      </c>
      <c r="O84" s="35">
        <v>656.9</v>
      </c>
      <c r="P84" s="4">
        <f t="shared" si="28"/>
        <v>0.93802656004569474</v>
      </c>
      <c r="Q84" s="11">
        <v>20</v>
      </c>
      <c r="R84" s="35">
        <v>190.8</v>
      </c>
      <c r="S84" s="35">
        <v>261.2</v>
      </c>
      <c r="T84" s="4">
        <f t="shared" si="29"/>
        <v>1.2168972746331237</v>
      </c>
      <c r="U84" s="11">
        <v>25</v>
      </c>
      <c r="V84" s="35">
        <v>15.1</v>
      </c>
      <c r="W84" s="35">
        <v>17.7</v>
      </c>
      <c r="X84" s="4">
        <f t="shared" si="30"/>
        <v>1.1721854304635762</v>
      </c>
      <c r="Y84" s="11">
        <v>25</v>
      </c>
      <c r="Z84" s="35">
        <v>4900</v>
      </c>
      <c r="AA84" s="35">
        <v>5011</v>
      </c>
      <c r="AB84" s="4">
        <f t="shared" si="31"/>
        <v>1.0226530612244897</v>
      </c>
      <c r="AC84" s="11">
        <v>5</v>
      </c>
      <c r="AD84" s="11">
        <v>1356</v>
      </c>
      <c r="AE84" s="11">
        <v>1452</v>
      </c>
      <c r="AF84" s="4">
        <f t="shared" si="32"/>
        <v>1.0707964601769913</v>
      </c>
      <c r="AG84" s="11">
        <v>20</v>
      </c>
      <c r="AH84" s="5" t="s">
        <v>362</v>
      </c>
      <c r="AI84" s="5" t="s">
        <v>362</v>
      </c>
      <c r="AJ84" s="5" t="s">
        <v>362</v>
      </c>
      <c r="AK84" s="5" t="s">
        <v>362</v>
      </c>
      <c r="AL84" s="5" t="s">
        <v>362</v>
      </c>
      <c r="AM84" s="5" t="s">
        <v>362</v>
      </c>
      <c r="AN84" s="5" t="s">
        <v>362</v>
      </c>
      <c r="AO84" s="5" t="s">
        <v>362</v>
      </c>
      <c r="AP84" s="44">
        <f t="shared" si="40"/>
        <v>1.1027382735866162</v>
      </c>
      <c r="AQ84" s="45">
        <v>2749</v>
      </c>
      <c r="AR84" s="35">
        <f t="shared" si="41"/>
        <v>749.72727272727275</v>
      </c>
      <c r="AS84" s="35">
        <f t="shared" si="33"/>
        <v>826.8</v>
      </c>
      <c r="AT84" s="35">
        <f t="shared" si="34"/>
        <v>77.072727272727207</v>
      </c>
      <c r="AU84" s="35">
        <v>294.39999999999998</v>
      </c>
      <c r="AV84" s="35">
        <v>231.4</v>
      </c>
      <c r="AW84" s="35">
        <f t="shared" si="35"/>
        <v>301</v>
      </c>
      <c r="AX84" s="35"/>
      <c r="AY84" s="35">
        <f t="shared" si="36"/>
        <v>301</v>
      </c>
      <c r="AZ84" s="35">
        <v>0</v>
      </c>
      <c r="BA84" s="35">
        <f t="shared" si="37"/>
        <v>301</v>
      </c>
      <c r="BB84" s="35">
        <f>MIN(BA84,100.4)</f>
        <v>100.4</v>
      </c>
      <c r="BC84" s="35">
        <f t="shared" si="38"/>
        <v>200.6</v>
      </c>
      <c r="BD84" s="35">
        <v>203.6</v>
      </c>
      <c r="BE84" s="35">
        <f t="shared" si="39"/>
        <v>-3</v>
      </c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9"/>
      <c r="BU84" s="9"/>
      <c r="BV84" s="9"/>
      <c r="BW84" s="9"/>
      <c r="BX84" s="9"/>
      <c r="BY84" s="9"/>
      <c r="BZ84" s="9"/>
      <c r="CA84" s="9"/>
      <c r="CB84" s="9"/>
      <c r="CC84" s="9"/>
      <c r="CD84" s="9"/>
      <c r="CE84" s="9"/>
      <c r="CF84" s="9"/>
      <c r="CG84" s="9"/>
      <c r="CH84" s="9"/>
      <c r="CI84" s="9"/>
      <c r="CJ84" s="9"/>
      <c r="CK84" s="9"/>
      <c r="CL84" s="9"/>
      <c r="CM84" s="9"/>
      <c r="CN84" s="9"/>
      <c r="CO84" s="9"/>
      <c r="CP84" s="9"/>
      <c r="CQ84" s="10"/>
      <c r="CR84" s="9"/>
      <c r="CS84" s="9"/>
      <c r="CT84" s="9"/>
      <c r="CU84" s="9"/>
      <c r="CV84" s="9"/>
      <c r="CW84" s="9"/>
      <c r="CX84" s="9"/>
      <c r="CY84" s="9"/>
      <c r="CZ84" s="9"/>
      <c r="DA84" s="9"/>
      <c r="DB84" s="9"/>
      <c r="DC84" s="9"/>
      <c r="DD84" s="9"/>
      <c r="DE84" s="9"/>
      <c r="DF84" s="9"/>
      <c r="DG84" s="9"/>
      <c r="DH84" s="9"/>
      <c r="DI84" s="9"/>
      <c r="DJ84" s="9"/>
      <c r="DK84" s="9"/>
      <c r="DL84" s="9"/>
      <c r="DM84" s="9"/>
      <c r="DN84" s="9"/>
      <c r="DO84" s="9"/>
      <c r="DP84" s="9"/>
      <c r="DQ84" s="9"/>
      <c r="DR84" s="9"/>
      <c r="DS84" s="10"/>
      <c r="DT84" s="9"/>
      <c r="DU84" s="9"/>
      <c r="DV84" s="9"/>
      <c r="DW84" s="9"/>
      <c r="DX84" s="9"/>
      <c r="DY84" s="9"/>
      <c r="DZ84" s="9"/>
      <c r="EA84" s="9"/>
      <c r="EB84" s="9"/>
      <c r="EC84" s="9"/>
      <c r="ED84" s="9"/>
      <c r="EE84" s="9"/>
      <c r="EF84" s="9"/>
      <c r="EG84" s="9"/>
      <c r="EH84" s="9"/>
      <c r="EI84" s="9"/>
      <c r="EJ84" s="9"/>
      <c r="EK84" s="9"/>
      <c r="EL84" s="9"/>
      <c r="EM84" s="9"/>
      <c r="EN84" s="9"/>
      <c r="EO84" s="9"/>
      <c r="EP84" s="9"/>
      <c r="EQ84" s="9"/>
      <c r="ER84" s="9"/>
      <c r="ES84" s="9"/>
      <c r="ET84" s="9"/>
      <c r="EU84" s="10"/>
      <c r="EV84" s="9"/>
      <c r="EW84" s="9"/>
      <c r="EX84" s="9"/>
      <c r="EY84" s="9"/>
      <c r="EZ84" s="9"/>
      <c r="FA84" s="9"/>
      <c r="FB84" s="9"/>
      <c r="FC84" s="9"/>
      <c r="FD84" s="9"/>
      <c r="FE84" s="9"/>
      <c r="FF84" s="9"/>
      <c r="FG84" s="9"/>
      <c r="FH84" s="9"/>
      <c r="FI84" s="9"/>
      <c r="FJ84" s="9"/>
      <c r="FK84" s="9"/>
      <c r="FL84" s="9"/>
      <c r="FM84" s="9"/>
      <c r="FN84" s="9"/>
      <c r="FO84" s="9"/>
      <c r="FP84" s="9"/>
      <c r="FQ84" s="9"/>
      <c r="FR84" s="9"/>
      <c r="FS84" s="9"/>
      <c r="FT84" s="9"/>
      <c r="FU84" s="9"/>
      <c r="FV84" s="9"/>
      <c r="FW84" s="10"/>
      <c r="FX84" s="9"/>
      <c r="FY84" s="9"/>
      <c r="FZ84" s="9"/>
      <c r="GA84" s="9"/>
      <c r="GB84" s="9"/>
      <c r="GC84" s="9"/>
      <c r="GD84" s="9"/>
      <c r="GE84" s="9"/>
      <c r="GF84" s="9"/>
      <c r="GG84" s="9"/>
      <c r="GH84" s="9"/>
      <c r="GI84" s="9"/>
      <c r="GJ84" s="9"/>
      <c r="GK84" s="9"/>
      <c r="GL84" s="9"/>
      <c r="GM84" s="9"/>
      <c r="GN84" s="9"/>
      <c r="GO84" s="9"/>
      <c r="GP84" s="9"/>
      <c r="GQ84" s="9"/>
      <c r="GR84" s="9"/>
      <c r="GS84" s="9"/>
      <c r="GT84" s="9"/>
      <c r="GU84" s="9"/>
      <c r="GV84" s="9"/>
      <c r="GW84" s="9"/>
      <c r="GX84" s="9"/>
      <c r="GY84" s="10"/>
      <c r="GZ84" s="9"/>
      <c r="HA84" s="9"/>
    </row>
    <row r="85" spans="1:209" s="2" customFormat="1" ht="17" customHeight="1">
      <c r="A85" s="14" t="s">
        <v>84</v>
      </c>
      <c r="B85" s="35">
        <v>127</v>
      </c>
      <c r="C85" s="35">
        <v>130</v>
      </c>
      <c r="D85" s="4">
        <f t="shared" si="27"/>
        <v>1.0236220472440944</v>
      </c>
      <c r="E85" s="11">
        <v>10</v>
      </c>
      <c r="F85" s="5" t="s">
        <v>362</v>
      </c>
      <c r="G85" s="5" t="s">
        <v>362</v>
      </c>
      <c r="H85" s="5" t="s">
        <v>362</v>
      </c>
      <c r="I85" s="5" t="s">
        <v>362</v>
      </c>
      <c r="J85" s="5" t="s">
        <v>362</v>
      </c>
      <c r="K85" s="5" t="s">
        <v>362</v>
      </c>
      <c r="L85" s="5" t="s">
        <v>362</v>
      </c>
      <c r="M85" s="5" t="s">
        <v>362</v>
      </c>
      <c r="N85" s="35">
        <v>334.3</v>
      </c>
      <c r="O85" s="35">
        <v>174</v>
      </c>
      <c r="P85" s="4">
        <f t="shared" si="28"/>
        <v>0.52049057732575532</v>
      </c>
      <c r="Q85" s="11">
        <v>20</v>
      </c>
      <c r="R85" s="35">
        <v>52.1</v>
      </c>
      <c r="S85" s="35">
        <v>61.5</v>
      </c>
      <c r="T85" s="4">
        <f t="shared" si="29"/>
        <v>1.1804222648752398</v>
      </c>
      <c r="U85" s="11">
        <v>20</v>
      </c>
      <c r="V85" s="35">
        <v>11.8</v>
      </c>
      <c r="W85" s="35">
        <v>13.9</v>
      </c>
      <c r="X85" s="4">
        <f t="shared" si="30"/>
        <v>1.1779661016949152</v>
      </c>
      <c r="Y85" s="11">
        <v>30</v>
      </c>
      <c r="Z85" s="35">
        <v>3400</v>
      </c>
      <c r="AA85" s="35">
        <v>3571</v>
      </c>
      <c r="AB85" s="4">
        <f t="shared" si="31"/>
        <v>1.0502941176470588</v>
      </c>
      <c r="AC85" s="11">
        <v>5</v>
      </c>
      <c r="AD85" s="11">
        <v>800</v>
      </c>
      <c r="AE85" s="11">
        <v>655</v>
      </c>
      <c r="AF85" s="4">
        <f t="shared" si="32"/>
        <v>0.81874999999999998</v>
      </c>
      <c r="AG85" s="11">
        <v>20</v>
      </c>
      <c r="AH85" s="5" t="s">
        <v>362</v>
      </c>
      <c r="AI85" s="5" t="s">
        <v>362</v>
      </c>
      <c r="AJ85" s="5" t="s">
        <v>362</v>
      </c>
      <c r="AK85" s="5" t="s">
        <v>362</v>
      </c>
      <c r="AL85" s="5" t="s">
        <v>362</v>
      </c>
      <c r="AM85" s="5" t="s">
        <v>362</v>
      </c>
      <c r="AN85" s="5" t="s">
        <v>362</v>
      </c>
      <c r="AO85" s="5" t="s">
        <v>362</v>
      </c>
      <c r="AP85" s="44">
        <f t="shared" si="40"/>
        <v>0.96399934243374863</v>
      </c>
      <c r="AQ85" s="45">
        <v>1944</v>
      </c>
      <c r="AR85" s="35">
        <f t="shared" si="41"/>
        <v>530.18181818181813</v>
      </c>
      <c r="AS85" s="35">
        <f t="shared" si="33"/>
        <v>511.1</v>
      </c>
      <c r="AT85" s="35">
        <f t="shared" si="34"/>
        <v>-19.081818181818107</v>
      </c>
      <c r="AU85" s="35">
        <v>179.6</v>
      </c>
      <c r="AV85" s="35">
        <v>196.4</v>
      </c>
      <c r="AW85" s="35">
        <f t="shared" si="35"/>
        <v>135.1</v>
      </c>
      <c r="AX85" s="35"/>
      <c r="AY85" s="35">
        <f t="shared" si="36"/>
        <v>135.1</v>
      </c>
      <c r="AZ85" s="35">
        <v>0</v>
      </c>
      <c r="BA85" s="35">
        <f t="shared" si="37"/>
        <v>135.1</v>
      </c>
      <c r="BB85" s="35">
        <f>MIN(BA85,88.4)</f>
        <v>88.4</v>
      </c>
      <c r="BC85" s="35">
        <f t="shared" si="38"/>
        <v>46.7</v>
      </c>
      <c r="BD85" s="35">
        <v>44.4</v>
      </c>
      <c r="BE85" s="35">
        <f t="shared" si="39"/>
        <v>2.2999999999999998</v>
      </c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9"/>
      <c r="BU85" s="9"/>
      <c r="BV85" s="9"/>
      <c r="BW85" s="9"/>
      <c r="BX85" s="9"/>
      <c r="BY85" s="9"/>
      <c r="BZ85" s="9"/>
      <c r="CA85" s="9"/>
      <c r="CB85" s="9"/>
      <c r="CC85" s="9"/>
      <c r="CD85" s="9"/>
      <c r="CE85" s="9"/>
      <c r="CF85" s="9"/>
      <c r="CG85" s="9"/>
      <c r="CH85" s="9"/>
      <c r="CI85" s="9"/>
      <c r="CJ85" s="9"/>
      <c r="CK85" s="9"/>
      <c r="CL85" s="9"/>
      <c r="CM85" s="9"/>
      <c r="CN85" s="9"/>
      <c r="CO85" s="9"/>
      <c r="CP85" s="9"/>
      <c r="CQ85" s="10"/>
      <c r="CR85" s="9"/>
      <c r="CS85" s="9"/>
      <c r="CT85" s="9"/>
      <c r="CU85" s="9"/>
      <c r="CV85" s="9"/>
      <c r="CW85" s="9"/>
      <c r="CX85" s="9"/>
      <c r="CY85" s="9"/>
      <c r="CZ85" s="9"/>
      <c r="DA85" s="9"/>
      <c r="DB85" s="9"/>
      <c r="DC85" s="9"/>
      <c r="DD85" s="9"/>
      <c r="DE85" s="9"/>
      <c r="DF85" s="9"/>
      <c r="DG85" s="9"/>
      <c r="DH85" s="9"/>
      <c r="DI85" s="9"/>
      <c r="DJ85" s="9"/>
      <c r="DK85" s="9"/>
      <c r="DL85" s="9"/>
      <c r="DM85" s="9"/>
      <c r="DN85" s="9"/>
      <c r="DO85" s="9"/>
      <c r="DP85" s="9"/>
      <c r="DQ85" s="9"/>
      <c r="DR85" s="9"/>
      <c r="DS85" s="10"/>
      <c r="DT85" s="9"/>
      <c r="DU85" s="9"/>
      <c r="DV85" s="9"/>
      <c r="DW85" s="9"/>
      <c r="DX85" s="9"/>
      <c r="DY85" s="9"/>
      <c r="DZ85" s="9"/>
      <c r="EA85" s="9"/>
      <c r="EB85" s="9"/>
      <c r="EC85" s="9"/>
      <c r="ED85" s="9"/>
      <c r="EE85" s="9"/>
      <c r="EF85" s="9"/>
      <c r="EG85" s="9"/>
      <c r="EH85" s="9"/>
      <c r="EI85" s="9"/>
      <c r="EJ85" s="9"/>
      <c r="EK85" s="9"/>
      <c r="EL85" s="9"/>
      <c r="EM85" s="9"/>
      <c r="EN85" s="9"/>
      <c r="EO85" s="9"/>
      <c r="EP85" s="9"/>
      <c r="EQ85" s="9"/>
      <c r="ER85" s="9"/>
      <c r="ES85" s="9"/>
      <c r="ET85" s="9"/>
      <c r="EU85" s="10"/>
      <c r="EV85" s="9"/>
      <c r="EW85" s="9"/>
      <c r="EX85" s="9"/>
      <c r="EY85" s="9"/>
      <c r="EZ85" s="9"/>
      <c r="FA85" s="9"/>
      <c r="FB85" s="9"/>
      <c r="FC85" s="9"/>
      <c r="FD85" s="9"/>
      <c r="FE85" s="9"/>
      <c r="FF85" s="9"/>
      <c r="FG85" s="9"/>
      <c r="FH85" s="9"/>
      <c r="FI85" s="9"/>
      <c r="FJ85" s="9"/>
      <c r="FK85" s="9"/>
      <c r="FL85" s="9"/>
      <c r="FM85" s="9"/>
      <c r="FN85" s="9"/>
      <c r="FO85" s="9"/>
      <c r="FP85" s="9"/>
      <c r="FQ85" s="9"/>
      <c r="FR85" s="9"/>
      <c r="FS85" s="9"/>
      <c r="FT85" s="9"/>
      <c r="FU85" s="9"/>
      <c r="FV85" s="9"/>
      <c r="FW85" s="10"/>
      <c r="FX85" s="9"/>
      <c r="FY85" s="9"/>
      <c r="FZ85" s="9"/>
      <c r="GA85" s="9"/>
      <c r="GB85" s="9"/>
      <c r="GC85" s="9"/>
      <c r="GD85" s="9"/>
      <c r="GE85" s="9"/>
      <c r="GF85" s="9"/>
      <c r="GG85" s="9"/>
      <c r="GH85" s="9"/>
      <c r="GI85" s="9"/>
      <c r="GJ85" s="9"/>
      <c r="GK85" s="9"/>
      <c r="GL85" s="9"/>
      <c r="GM85" s="9"/>
      <c r="GN85" s="9"/>
      <c r="GO85" s="9"/>
      <c r="GP85" s="9"/>
      <c r="GQ85" s="9"/>
      <c r="GR85" s="9"/>
      <c r="GS85" s="9"/>
      <c r="GT85" s="9"/>
      <c r="GU85" s="9"/>
      <c r="GV85" s="9"/>
      <c r="GW85" s="9"/>
      <c r="GX85" s="9"/>
      <c r="GY85" s="10"/>
      <c r="GZ85" s="9"/>
      <c r="HA85" s="9"/>
    </row>
    <row r="86" spans="1:209" s="2" customFormat="1" ht="17" customHeight="1">
      <c r="A86" s="14" t="s">
        <v>85</v>
      </c>
      <c r="B86" s="35">
        <v>123</v>
      </c>
      <c r="C86" s="35">
        <v>126</v>
      </c>
      <c r="D86" s="4">
        <f t="shared" si="27"/>
        <v>1.024390243902439</v>
      </c>
      <c r="E86" s="11">
        <v>10</v>
      </c>
      <c r="F86" s="5" t="s">
        <v>362</v>
      </c>
      <c r="G86" s="5" t="s">
        <v>362</v>
      </c>
      <c r="H86" s="5" t="s">
        <v>362</v>
      </c>
      <c r="I86" s="5" t="s">
        <v>362</v>
      </c>
      <c r="J86" s="5" t="s">
        <v>362</v>
      </c>
      <c r="K86" s="5" t="s">
        <v>362</v>
      </c>
      <c r="L86" s="5" t="s">
        <v>362</v>
      </c>
      <c r="M86" s="5" t="s">
        <v>362</v>
      </c>
      <c r="N86" s="35">
        <v>388.6</v>
      </c>
      <c r="O86" s="35">
        <v>427.4</v>
      </c>
      <c r="P86" s="4">
        <f t="shared" si="28"/>
        <v>1.0998455995882654</v>
      </c>
      <c r="Q86" s="11">
        <v>20</v>
      </c>
      <c r="R86" s="35">
        <v>230.1</v>
      </c>
      <c r="S86" s="35">
        <v>263.89999999999998</v>
      </c>
      <c r="T86" s="4">
        <f t="shared" si="29"/>
        <v>1.1468926553672316</v>
      </c>
      <c r="U86" s="11">
        <v>30</v>
      </c>
      <c r="V86" s="35">
        <v>13</v>
      </c>
      <c r="W86" s="35">
        <v>15.1</v>
      </c>
      <c r="X86" s="4">
        <f t="shared" si="30"/>
        <v>1.1615384615384614</v>
      </c>
      <c r="Y86" s="11">
        <v>20</v>
      </c>
      <c r="Z86" s="35">
        <v>3500</v>
      </c>
      <c r="AA86" s="35">
        <v>3661</v>
      </c>
      <c r="AB86" s="4">
        <f t="shared" si="31"/>
        <v>1.046</v>
      </c>
      <c r="AC86" s="11">
        <v>5</v>
      </c>
      <c r="AD86" s="11">
        <v>1398</v>
      </c>
      <c r="AE86" s="11">
        <v>1380</v>
      </c>
      <c r="AF86" s="4">
        <f t="shared" si="32"/>
        <v>0.98712446351931327</v>
      </c>
      <c r="AG86" s="11">
        <v>20</v>
      </c>
      <c r="AH86" s="5" t="s">
        <v>362</v>
      </c>
      <c r="AI86" s="5" t="s">
        <v>362</v>
      </c>
      <c r="AJ86" s="5" t="s">
        <v>362</v>
      </c>
      <c r="AK86" s="5" t="s">
        <v>362</v>
      </c>
      <c r="AL86" s="5" t="s">
        <v>362</v>
      </c>
      <c r="AM86" s="5" t="s">
        <v>362</v>
      </c>
      <c r="AN86" s="5" t="s">
        <v>362</v>
      </c>
      <c r="AO86" s="5" t="s">
        <v>362</v>
      </c>
      <c r="AP86" s="44">
        <f t="shared" si="40"/>
        <v>1.0938176437424965</v>
      </c>
      <c r="AQ86" s="45">
        <v>1465</v>
      </c>
      <c r="AR86" s="35">
        <f t="shared" si="41"/>
        <v>399.54545454545456</v>
      </c>
      <c r="AS86" s="35">
        <f t="shared" si="33"/>
        <v>437</v>
      </c>
      <c r="AT86" s="35">
        <f t="shared" si="34"/>
        <v>37.454545454545439</v>
      </c>
      <c r="AU86" s="35">
        <v>137</v>
      </c>
      <c r="AV86" s="35">
        <v>136.5</v>
      </c>
      <c r="AW86" s="35">
        <f t="shared" si="35"/>
        <v>163.5</v>
      </c>
      <c r="AX86" s="35"/>
      <c r="AY86" s="35">
        <f t="shared" si="36"/>
        <v>163.5</v>
      </c>
      <c r="AZ86" s="35">
        <v>0</v>
      </c>
      <c r="BA86" s="35">
        <f t="shared" si="37"/>
        <v>163.5</v>
      </c>
      <c r="BB86" s="35">
        <f>MIN(BA86,66.6)</f>
        <v>66.599999999999994</v>
      </c>
      <c r="BC86" s="35">
        <f t="shared" si="38"/>
        <v>96.9</v>
      </c>
      <c r="BD86" s="35">
        <v>97.9</v>
      </c>
      <c r="BE86" s="35">
        <f t="shared" si="39"/>
        <v>-1</v>
      </c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9"/>
      <c r="BU86" s="9"/>
      <c r="BV86" s="9"/>
      <c r="BW86" s="9"/>
      <c r="BX86" s="9"/>
      <c r="BY86" s="9"/>
      <c r="BZ86" s="9"/>
      <c r="CA86" s="9"/>
      <c r="CB86" s="9"/>
      <c r="CC86" s="9"/>
      <c r="CD86" s="9"/>
      <c r="CE86" s="9"/>
      <c r="CF86" s="9"/>
      <c r="CG86" s="9"/>
      <c r="CH86" s="9"/>
      <c r="CI86" s="9"/>
      <c r="CJ86" s="9"/>
      <c r="CK86" s="9"/>
      <c r="CL86" s="9"/>
      <c r="CM86" s="9"/>
      <c r="CN86" s="9"/>
      <c r="CO86" s="9"/>
      <c r="CP86" s="9"/>
      <c r="CQ86" s="10"/>
      <c r="CR86" s="9"/>
      <c r="CS86" s="9"/>
      <c r="CT86" s="9"/>
      <c r="CU86" s="9"/>
      <c r="CV86" s="9"/>
      <c r="CW86" s="9"/>
      <c r="CX86" s="9"/>
      <c r="CY86" s="9"/>
      <c r="CZ86" s="9"/>
      <c r="DA86" s="9"/>
      <c r="DB86" s="9"/>
      <c r="DC86" s="9"/>
      <c r="DD86" s="9"/>
      <c r="DE86" s="9"/>
      <c r="DF86" s="9"/>
      <c r="DG86" s="9"/>
      <c r="DH86" s="9"/>
      <c r="DI86" s="9"/>
      <c r="DJ86" s="9"/>
      <c r="DK86" s="9"/>
      <c r="DL86" s="9"/>
      <c r="DM86" s="9"/>
      <c r="DN86" s="9"/>
      <c r="DO86" s="9"/>
      <c r="DP86" s="9"/>
      <c r="DQ86" s="9"/>
      <c r="DR86" s="9"/>
      <c r="DS86" s="10"/>
      <c r="DT86" s="9"/>
      <c r="DU86" s="9"/>
      <c r="DV86" s="9"/>
      <c r="DW86" s="9"/>
      <c r="DX86" s="9"/>
      <c r="DY86" s="9"/>
      <c r="DZ86" s="9"/>
      <c r="EA86" s="9"/>
      <c r="EB86" s="9"/>
      <c r="EC86" s="9"/>
      <c r="ED86" s="9"/>
      <c r="EE86" s="9"/>
      <c r="EF86" s="9"/>
      <c r="EG86" s="9"/>
      <c r="EH86" s="9"/>
      <c r="EI86" s="9"/>
      <c r="EJ86" s="9"/>
      <c r="EK86" s="9"/>
      <c r="EL86" s="9"/>
      <c r="EM86" s="9"/>
      <c r="EN86" s="9"/>
      <c r="EO86" s="9"/>
      <c r="EP86" s="9"/>
      <c r="EQ86" s="9"/>
      <c r="ER86" s="9"/>
      <c r="ES86" s="9"/>
      <c r="ET86" s="9"/>
      <c r="EU86" s="10"/>
      <c r="EV86" s="9"/>
      <c r="EW86" s="9"/>
      <c r="EX86" s="9"/>
      <c r="EY86" s="9"/>
      <c r="EZ86" s="9"/>
      <c r="FA86" s="9"/>
      <c r="FB86" s="9"/>
      <c r="FC86" s="9"/>
      <c r="FD86" s="9"/>
      <c r="FE86" s="9"/>
      <c r="FF86" s="9"/>
      <c r="FG86" s="9"/>
      <c r="FH86" s="9"/>
      <c r="FI86" s="9"/>
      <c r="FJ86" s="9"/>
      <c r="FK86" s="9"/>
      <c r="FL86" s="9"/>
      <c r="FM86" s="9"/>
      <c r="FN86" s="9"/>
      <c r="FO86" s="9"/>
      <c r="FP86" s="9"/>
      <c r="FQ86" s="9"/>
      <c r="FR86" s="9"/>
      <c r="FS86" s="9"/>
      <c r="FT86" s="9"/>
      <c r="FU86" s="9"/>
      <c r="FV86" s="9"/>
      <c r="FW86" s="10"/>
      <c r="FX86" s="9"/>
      <c r="FY86" s="9"/>
      <c r="FZ86" s="9"/>
      <c r="GA86" s="9"/>
      <c r="GB86" s="9"/>
      <c r="GC86" s="9"/>
      <c r="GD86" s="9"/>
      <c r="GE86" s="9"/>
      <c r="GF86" s="9"/>
      <c r="GG86" s="9"/>
      <c r="GH86" s="9"/>
      <c r="GI86" s="9"/>
      <c r="GJ86" s="9"/>
      <c r="GK86" s="9"/>
      <c r="GL86" s="9"/>
      <c r="GM86" s="9"/>
      <c r="GN86" s="9"/>
      <c r="GO86" s="9"/>
      <c r="GP86" s="9"/>
      <c r="GQ86" s="9"/>
      <c r="GR86" s="9"/>
      <c r="GS86" s="9"/>
      <c r="GT86" s="9"/>
      <c r="GU86" s="9"/>
      <c r="GV86" s="9"/>
      <c r="GW86" s="9"/>
      <c r="GX86" s="9"/>
      <c r="GY86" s="10"/>
      <c r="GZ86" s="9"/>
      <c r="HA86" s="9"/>
    </row>
    <row r="87" spans="1:209" s="2" customFormat="1" ht="17" customHeight="1">
      <c r="A87" s="14" t="s">
        <v>86</v>
      </c>
      <c r="B87" s="35">
        <v>63</v>
      </c>
      <c r="C87" s="35">
        <v>66</v>
      </c>
      <c r="D87" s="4">
        <f t="shared" si="27"/>
        <v>1.0476190476190477</v>
      </c>
      <c r="E87" s="11">
        <v>10</v>
      </c>
      <c r="F87" s="5" t="s">
        <v>362</v>
      </c>
      <c r="G87" s="5" t="s">
        <v>362</v>
      </c>
      <c r="H87" s="5" t="s">
        <v>362</v>
      </c>
      <c r="I87" s="5" t="s">
        <v>362</v>
      </c>
      <c r="J87" s="5" t="s">
        <v>362</v>
      </c>
      <c r="K87" s="5" t="s">
        <v>362</v>
      </c>
      <c r="L87" s="5" t="s">
        <v>362</v>
      </c>
      <c r="M87" s="5" t="s">
        <v>362</v>
      </c>
      <c r="N87" s="35">
        <v>192.3</v>
      </c>
      <c r="O87" s="35">
        <v>169.4</v>
      </c>
      <c r="P87" s="4">
        <f t="shared" si="28"/>
        <v>0.88091523660946436</v>
      </c>
      <c r="Q87" s="11">
        <v>20</v>
      </c>
      <c r="R87" s="35">
        <v>29.7</v>
      </c>
      <c r="S87" s="35">
        <v>35.200000000000003</v>
      </c>
      <c r="T87" s="4">
        <f t="shared" si="29"/>
        <v>1.1851851851851853</v>
      </c>
      <c r="U87" s="11">
        <v>25</v>
      </c>
      <c r="V87" s="35">
        <v>5.3</v>
      </c>
      <c r="W87" s="35">
        <v>6.2</v>
      </c>
      <c r="X87" s="4">
        <f t="shared" si="30"/>
        <v>1.1698113207547169</v>
      </c>
      <c r="Y87" s="11">
        <v>25</v>
      </c>
      <c r="Z87" s="35">
        <v>3500</v>
      </c>
      <c r="AA87" s="35">
        <v>3661</v>
      </c>
      <c r="AB87" s="4">
        <f t="shared" si="31"/>
        <v>1.046</v>
      </c>
      <c r="AC87" s="11">
        <v>5</v>
      </c>
      <c r="AD87" s="11">
        <v>382</v>
      </c>
      <c r="AE87" s="11">
        <v>358</v>
      </c>
      <c r="AF87" s="4">
        <f t="shared" si="32"/>
        <v>0.93717277486910999</v>
      </c>
      <c r="AG87" s="11">
        <v>20</v>
      </c>
      <c r="AH87" s="5" t="s">
        <v>362</v>
      </c>
      <c r="AI87" s="5" t="s">
        <v>362</v>
      </c>
      <c r="AJ87" s="5" t="s">
        <v>362</v>
      </c>
      <c r="AK87" s="5" t="s">
        <v>362</v>
      </c>
      <c r="AL87" s="5" t="s">
        <v>362</v>
      </c>
      <c r="AM87" s="5" t="s">
        <v>362</v>
      </c>
      <c r="AN87" s="5" t="s">
        <v>362</v>
      </c>
      <c r="AO87" s="5" t="s">
        <v>362</v>
      </c>
      <c r="AP87" s="44">
        <f t="shared" si="40"/>
        <v>1.0565986986119955</v>
      </c>
      <c r="AQ87" s="45">
        <v>1667</v>
      </c>
      <c r="AR87" s="35">
        <f t="shared" si="41"/>
        <v>454.63636363636363</v>
      </c>
      <c r="AS87" s="35">
        <f t="shared" si="33"/>
        <v>480.4</v>
      </c>
      <c r="AT87" s="35">
        <f t="shared" si="34"/>
        <v>25.763636363636351</v>
      </c>
      <c r="AU87" s="35">
        <v>128.19999999999999</v>
      </c>
      <c r="AV87" s="35">
        <v>151.5</v>
      </c>
      <c r="AW87" s="35">
        <f t="shared" si="35"/>
        <v>200.7</v>
      </c>
      <c r="AX87" s="35"/>
      <c r="AY87" s="35">
        <f t="shared" si="36"/>
        <v>200.7</v>
      </c>
      <c r="AZ87" s="35">
        <v>0</v>
      </c>
      <c r="BA87" s="35">
        <f t="shared" si="37"/>
        <v>200.7</v>
      </c>
      <c r="BB87" s="35">
        <f>MIN(BA87,75.8)</f>
        <v>75.8</v>
      </c>
      <c r="BC87" s="35">
        <f t="shared" si="38"/>
        <v>124.9</v>
      </c>
      <c r="BD87" s="35">
        <v>125.1</v>
      </c>
      <c r="BE87" s="35">
        <f t="shared" si="39"/>
        <v>-0.2</v>
      </c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9"/>
      <c r="BU87" s="9"/>
      <c r="BV87" s="9"/>
      <c r="BW87" s="9"/>
      <c r="BX87" s="9"/>
      <c r="BY87" s="9"/>
      <c r="BZ87" s="9"/>
      <c r="CA87" s="9"/>
      <c r="CB87" s="9"/>
      <c r="CC87" s="9"/>
      <c r="CD87" s="9"/>
      <c r="CE87" s="9"/>
      <c r="CF87" s="9"/>
      <c r="CG87" s="9"/>
      <c r="CH87" s="9"/>
      <c r="CI87" s="9"/>
      <c r="CJ87" s="9"/>
      <c r="CK87" s="9"/>
      <c r="CL87" s="9"/>
      <c r="CM87" s="9"/>
      <c r="CN87" s="9"/>
      <c r="CO87" s="9"/>
      <c r="CP87" s="9"/>
      <c r="CQ87" s="10"/>
      <c r="CR87" s="9"/>
      <c r="CS87" s="9"/>
      <c r="CT87" s="9"/>
      <c r="CU87" s="9"/>
      <c r="CV87" s="9"/>
      <c r="CW87" s="9"/>
      <c r="CX87" s="9"/>
      <c r="CY87" s="9"/>
      <c r="CZ87" s="9"/>
      <c r="DA87" s="9"/>
      <c r="DB87" s="9"/>
      <c r="DC87" s="9"/>
      <c r="DD87" s="9"/>
      <c r="DE87" s="9"/>
      <c r="DF87" s="9"/>
      <c r="DG87" s="9"/>
      <c r="DH87" s="9"/>
      <c r="DI87" s="9"/>
      <c r="DJ87" s="9"/>
      <c r="DK87" s="9"/>
      <c r="DL87" s="9"/>
      <c r="DM87" s="9"/>
      <c r="DN87" s="9"/>
      <c r="DO87" s="9"/>
      <c r="DP87" s="9"/>
      <c r="DQ87" s="9"/>
      <c r="DR87" s="9"/>
      <c r="DS87" s="10"/>
      <c r="DT87" s="9"/>
      <c r="DU87" s="9"/>
      <c r="DV87" s="9"/>
      <c r="DW87" s="9"/>
      <c r="DX87" s="9"/>
      <c r="DY87" s="9"/>
      <c r="DZ87" s="9"/>
      <c r="EA87" s="9"/>
      <c r="EB87" s="9"/>
      <c r="EC87" s="9"/>
      <c r="ED87" s="9"/>
      <c r="EE87" s="9"/>
      <c r="EF87" s="9"/>
      <c r="EG87" s="9"/>
      <c r="EH87" s="9"/>
      <c r="EI87" s="9"/>
      <c r="EJ87" s="9"/>
      <c r="EK87" s="9"/>
      <c r="EL87" s="9"/>
      <c r="EM87" s="9"/>
      <c r="EN87" s="9"/>
      <c r="EO87" s="9"/>
      <c r="EP87" s="9"/>
      <c r="EQ87" s="9"/>
      <c r="ER87" s="9"/>
      <c r="ES87" s="9"/>
      <c r="ET87" s="9"/>
      <c r="EU87" s="10"/>
      <c r="EV87" s="9"/>
      <c r="EW87" s="9"/>
      <c r="EX87" s="9"/>
      <c r="EY87" s="9"/>
      <c r="EZ87" s="9"/>
      <c r="FA87" s="9"/>
      <c r="FB87" s="9"/>
      <c r="FC87" s="9"/>
      <c r="FD87" s="9"/>
      <c r="FE87" s="9"/>
      <c r="FF87" s="9"/>
      <c r="FG87" s="9"/>
      <c r="FH87" s="9"/>
      <c r="FI87" s="9"/>
      <c r="FJ87" s="9"/>
      <c r="FK87" s="9"/>
      <c r="FL87" s="9"/>
      <c r="FM87" s="9"/>
      <c r="FN87" s="9"/>
      <c r="FO87" s="9"/>
      <c r="FP87" s="9"/>
      <c r="FQ87" s="9"/>
      <c r="FR87" s="9"/>
      <c r="FS87" s="9"/>
      <c r="FT87" s="9"/>
      <c r="FU87" s="9"/>
      <c r="FV87" s="9"/>
      <c r="FW87" s="10"/>
      <c r="FX87" s="9"/>
      <c r="FY87" s="9"/>
      <c r="FZ87" s="9"/>
      <c r="GA87" s="9"/>
      <c r="GB87" s="9"/>
      <c r="GC87" s="9"/>
      <c r="GD87" s="9"/>
      <c r="GE87" s="9"/>
      <c r="GF87" s="9"/>
      <c r="GG87" s="9"/>
      <c r="GH87" s="9"/>
      <c r="GI87" s="9"/>
      <c r="GJ87" s="9"/>
      <c r="GK87" s="9"/>
      <c r="GL87" s="9"/>
      <c r="GM87" s="9"/>
      <c r="GN87" s="9"/>
      <c r="GO87" s="9"/>
      <c r="GP87" s="9"/>
      <c r="GQ87" s="9"/>
      <c r="GR87" s="9"/>
      <c r="GS87" s="9"/>
      <c r="GT87" s="9"/>
      <c r="GU87" s="9"/>
      <c r="GV87" s="9"/>
      <c r="GW87" s="9"/>
      <c r="GX87" s="9"/>
      <c r="GY87" s="10"/>
      <c r="GZ87" s="9"/>
      <c r="HA87" s="9"/>
    </row>
    <row r="88" spans="1:209" s="2" customFormat="1" ht="17" customHeight="1">
      <c r="A88" s="14" t="s">
        <v>87</v>
      </c>
      <c r="B88" s="35">
        <v>111</v>
      </c>
      <c r="C88" s="35">
        <v>114</v>
      </c>
      <c r="D88" s="4">
        <f t="shared" si="27"/>
        <v>1.027027027027027</v>
      </c>
      <c r="E88" s="11">
        <v>10</v>
      </c>
      <c r="F88" s="5" t="s">
        <v>362</v>
      </c>
      <c r="G88" s="5" t="s">
        <v>362</v>
      </c>
      <c r="H88" s="5" t="s">
        <v>362</v>
      </c>
      <c r="I88" s="5" t="s">
        <v>362</v>
      </c>
      <c r="J88" s="5" t="s">
        <v>362</v>
      </c>
      <c r="K88" s="5" t="s">
        <v>362</v>
      </c>
      <c r="L88" s="5" t="s">
        <v>362</v>
      </c>
      <c r="M88" s="5" t="s">
        <v>362</v>
      </c>
      <c r="N88" s="35">
        <v>392.4</v>
      </c>
      <c r="O88" s="35">
        <v>96.6</v>
      </c>
      <c r="P88" s="4">
        <f t="shared" si="28"/>
        <v>0.24617737003058104</v>
      </c>
      <c r="Q88" s="11">
        <v>20</v>
      </c>
      <c r="R88" s="35">
        <v>48.5</v>
      </c>
      <c r="S88" s="35">
        <v>56.9</v>
      </c>
      <c r="T88" s="4">
        <f t="shared" si="29"/>
        <v>1.1731958762886598</v>
      </c>
      <c r="U88" s="11">
        <v>25</v>
      </c>
      <c r="V88" s="35">
        <v>8.1999999999999993</v>
      </c>
      <c r="W88" s="35">
        <v>9.5</v>
      </c>
      <c r="X88" s="4">
        <f t="shared" si="30"/>
        <v>1.1585365853658538</v>
      </c>
      <c r="Y88" s="11">
        <v>25</v>
      </c>
      <c r="Z88" s="35">
        <v>2000</v>
      </c>
      <c r="AA88" s="35">
        <v>2201</v>
      </c>
      <c r="AB88" s="4">
        <f t="shared" si="31"/>
        <v>1.1005</v>
      </c>
      <c r="AC88" s="11">
        <v>5</v>
      </c>
      <c r="AD88" s="11">
        <v>899</v>
      </c>
      <c r="AE88" s="11">
        <v>859</v>
      </c>
      <c r="AF88" s="4">
        <f t="shared" si="32"/>
        <v>0.95550611790878759</v>
      </c>
      <c r="AG88" s="11">
        <v>20</v>
      </c>
      <c r="AH88" s="5" t="s">
        <v>362</v>
      </c>
      <c r="AI88" s="5" t="s">
        <v>362</v>
      </c>
      <c r="AJ88" s="5" t="s">
        <v>362</v>
      </c>
      <c r="AK88" s="5" t="s">
        <v>362</v>
      </c>
      <c r="AL88" s="5" t="s">
        <v>362</v>
      </c>
      <c r="AM88" s="5" t="s">
        <v>362</v>
      </c>
      <c r="AN88" s="5" t="s">
        <v>362</v>
      </c>
      <c r="AO88" s="5" t="s">
        <v>362</v>
      </c>
      <c r="AP88" s="44">
        <f t="shared" si="40"/>
        <v>0.93428334828971904</v>
      </c>
      <c r="AQ88" s="45">
        <v>1467</v>
      </c>
      <c r="AR88" s="35">
        <f t="shared" si="41"/>
        <v>400.09090909090912</v>
      </c>
      <c r="AS88" s="35">
        <f t="shared" si="33"/>
        <v>373.8</v>
      </c>
      <c r="AT88" s="35">
        <f t="shared" si="34"/>
        <v>-26.290909090909111</v>
      </c>
      <c r="AU88" s="35">
        <v>144</v>
      </c>
      <c r="AV88" s="35">
        <v>136.9</v>
      </c>
      <c r="AW88" s="35">
        <f t="shared" si="35"/>
        <v>92.9</v>
      </c>
      <c r="AX88" s="35"/>
      <c r="AY88" s="35">
        <f t="shared" si="36"/>
        <v>92.9</v>
      </c>
      <c r="AZ88" s="35">
        <v>0</v>
      </c>
      <c r="BA88" s="35">
        <f t="shared" si="37"/>
        <v>92.9</v>
      </c>
      <c r="BB88" s="35">
        <f>MIN(BA88,42.8)</f>
        <v>42.8</v>
      </c>
      <c r="BC88" s="35">
        <f t="shared" si="38"/>
        <v>50.1</v>
      </c>
      <c r="BD88" s="35">
        <v>46.8</v>
      </c>
      <c r="BE88" s="35">
        <f t="shared" si="39"/>
        <v>3.3</v>
      </c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9"/>
      <c r="BU88" s="9"/>
      <c r="BV88" s="9"/>
      <c r="BW88" s="9"/>
      <c r="BX88" s="9"/>
      <c r="BY88" s="9"/>
      <c r="BZ88" s="9"/>
      <c r="CA88" s="9"/>
      <c r="CB88" s="9"/>
      <c r="CC88" s="9"/>
      <c r="CD88" s="9"/>
      <c r="CE88" s="9"/>
      <c r="CF88" s="9"/>
      <c r="CG88" s="9"/>
      <c r="CH88" s="9"/>
      <c r="CI88" s="9"/>
      <c r="CJ88" s="9"/>
      <c r="CK88" s="9"/>
      <c r="CL88" s="9"/>
      <c r="CM88" s="9"/>
      <c r="CN88" s="9"/>
      <c r="CO88" s="9"/>
      <c r="CP88" s="9"/>
      <c r="CQ88" s="10"/>
      <c r="CR88" s="9"/>
      <c r="CS88" s="9"/>
      <c r="CT88" s="9"/>
      <c r="CU88" s="9"/>
      <c r="CV88" s="9"/>
      <c r="CW88" s="9"/>
      <c r="CX88" s="9"/>
      <c r="CY88" s="9"/>
      <c r="CZ88" s="9"/>
      <c r="DA88" s="9"/>
      <c r="DB88" s="9"/>
      <c r="DC88" s="9"/>
      <c r="DD88" s="9"/>
      <c r="DE88" s="9"/>
      <c r="DF88" s="9"/>
      <c r="DG88" s="9"/>
      <c r="DH88" s="9"/>
      <c r="DI88" s="9"/>
      <c r="DJ88" s="9"/>
      <c r="DK88" s="9"/>
      <c r="DL88" s="9"/>
      <c r="DM88" s="9"/>
      <c r="DN88" s="9"/>
      <c r="DO88" s="9"/>
      <c r="DP88" s="9"/>
      <c r="DQ88" s="9"/>
      <c r="DR88" s="9"/>
      <c r="DS88" s="10"/>
      <c r="DT88" s="9"/>
      <c r="DU88" s="9"/>
      <c r="DV88" s="9"/>
      <c r="DW88" s="9"/>
      <c r="DX88" s="9"/>
      <c r="DY88" s="9"/>
      <c r="DZ88" s="9"/>
      <c r="EA88" s="9"/>
      <c r="EB88" s="9"/>
      <c r="EC88" s="9"/>
      <c r="ED88" s="9"/>
      <c r="EE88" s="9"/>
      <c r="EF88" s="9"/>
      <c r="EG88" s="9"/>
      <c r="EH88" s="9"/>
      <c r="EI88" s="9"/>
      <c r="EJ88" s="9"/>
      <c r="EK88" s="9"/>
      <c r="EL88" s="9"/>
      <c r="EM88" s="9"/>
      <c r="EN88" s="9"/>
      <c r="EO88" s="9"/>
      <c r="EP88" s="9"/>
      <c r="EQ88" s="9"/>
      <c r="ER88" s="9"/>
      <c r="ES88" s="9"/>
      <c r="ET88" s="9"/>
      <c r="EU88" s="10"/>
      <c r="EV88" s="9"/>
      <c r="EW88" s="9"/>
      <c r="EX88" s="9"/>
      <c r="EY88" s="9"/>
      <c r="EZ88" s="9"/>
      <c r="FA88" s="9"/>
      <c r="FB88" s="9"/>
      <c r="FC88" s="9"/>
      <c r="FD88" s="9"/>
      <c r="FE88" s="9"/>
      <c r="FF88" s="9"/>
      <c r="FG88" s="9"/>
      <c r="FH88" s="9"/>
      <c r="FI88" s="9"/>
      <c r="FJ88" s="9"/>
      <c r="FK88" s="9"/>
      <c r="FL88" s="9"/>
      <c r="FM88" s="9"/>
      <c r="FN88" s="9"/>
      <c r="FO88" s="9"/>
      <c r="FP88" s="9"/>
      <c r="FQ88" s="9"/>
      <c r="FR88" s="9"/>
      <c r="FS88" s="9"/>
      <c r="FT88" s="9"/>
      <c r="FU88" s="9"/>
      <c r="FV88" s="9"/>
      <c r="FW88" s="10"/>
      <c r="FX88" s="9"/>
      <c r="FY88" s="9"/>
      <c r="FZ88" s="9"/>
      <c r="GA88" s="9"/>
      <c r="GB88" s="9"/>
      <c r="GC88" s="9"/>
      <c r="GD88" s="9"/>
      <c r="GE88" s="9"/>
      <c r="GF88" s="9"/>
      <c r="GG88" s="9"/>
      <c r="GH88" s="9"/>
      <c r="GI88" s="9"/>
      <c r="GJ88" s="9"/>
      <c r="GK88" s="9"/>
      <c r="GL88" s="9"/>
      <c r="GM88" s="9"/>
      <c r="GN88" s="9"/>
      <c r="GO88" s="9"/>
      <c r="GP88" s="9"/>
      <c r="GQ88" s="9"/>
      <c r="GR88" s="9"/>
      <c r="GS88" s="9"/>
      <c r="GT88" s="9"/>
      <c r="GU88" s="9"/>
      <c r="GV88" s="9"/>
      <c r="GW88" s="9"/>
      <c r="GX88" s="9"/>
      <c r="GY88" s="10"/>
      <c r="GZ88" s="9"/>
      <c r="HA88" s="9"/>
    </row>
    <row r="89" spans="1:209" s="2" customFormat="1" ht="17" customHeight="1">
      <c r="A89" s="14" t="s">
        <v>88</v>
      </c>
      <c r="B89" s="35">
        <v>1518</v>
      </c>
      <c r="C89" s="35">
        <v>1546</v>
      </c>
      <c r="D89" s="4">
        <f t="shared" si="27"/>
        <v>1.0184453227931489</v>
      </c>
      <c r="E89" s="11">
        <v>10</v>
      </c>
      <c r="F89" s="5" t="s">
        <v>362</v>
      </c>
      <c r="G89" s="5" t="s">
        <v>362</v>
      </c>
      <c r="H89" s="5" t="s">
        <v>362</v>
      </c>
      <c r="I89" s="5" t="s">
        <v>362</v>
      </c>
      <c r="J89" s="5" t="s">
        <v>362</v>
      </c>
      <c r="K89" s="5" t="s">
        <v>362</v>
      </c>
      <c r="L89" s="5" t="s">
        <v>362</v>
      </c>
      <c r="M89" s="5" t="s">
        <v>362</v>
      </c>
      <c r="N89" s="35">
        <v>500.1</v>
      </c>
      <c r="O89" s="35">
        <v>554.79999999999995</v>
      </c>
      <c r="P89" s="4">
        <f t="shared" si="28"/>
        <v>1.1093781243751248</v>
      </c>
      <c r="Q89" s="11">
        <v>20</v>
      </c>
      <c r="R89" s="35">
        <v>62.2</v>
      </c>
      <c r="S89" s="35">
        <v>73.400000000000006</v>
      </c>
      <c r="T89" s="4">
        <f t="shared" si="29"/>
        <v>1.180064308681672</v>
      </c>
      <c r="U89" s="11">
        <v>30</v>
      </c>
      <c r="V89" s="35">
        <v>6.4</v>
      </c>
      <c r="W89" s="35">
        <v>7.5</v>
      </c>
      <c r="X89" s="4">
        <f t="shared" si="30"/>
        <v>1.171875</v>
      </c>
      <c r="Y89" s="11">
        <v>20</v>
      </c>
      <c r="Z89" s="35">
        <v>6000</v>
      </c>
      <c r="AA89" s="35">
        <v>6244</v>
      </c>
      <c r="AB89" s="4">
        <f t="shared" si="31"/>
        <v>1.0406666666666666</v>
      </c>
      <c r="AC89" s="11">
        <v>5</v>
      </c>
      <c r="AD89" s="11">
        <v>889</v>
      </c>
      <c r="AE89" s="11">
        <v>901</v>
      </c>
      <c r="AF89" s="4">
        <f t="shared" si="32"/>
        <v>1.0134983127109112</v>
      </c>
      <c r="AG89" s="11">
        <v>20</v>
      </c>
      <c r="AH89" s="5" t="s">
        <v>362</v>
      </c>
      <c r="AI89" s="5" t="s">
        <v>362</v>
      </c>
      <c r="AJ89" s="5" t="s">
        <v>362</v>
      </c>
      <c r="AK89" s="5" t="s">
        <v>362</v>
      </c>
      <c r="AL89" s="5" t="s">
        <v>362</v>
      </c>
      <c r="AM89" s="5" t="s">
        <v>362</v>
      </c>
      <c r="AN89" s="5" t="s">
        <v>362</v>
      </c>
      <c r="AO89" s="5" t="s">
        <v>362</v>
      </c>
      <c r="AP89" s="44">
        <f t="shared" si="40"/>
        <v>1.1112832815565306</v>
      </c>
      <c r="AQ89" s="45">
        <v>1901</v>
      </c>
      <c r="AR89" s="35">
        <f t="shared" si="41"/>
        <v>518.4545454545455</v>
      </c>
      <c r="AS89" s="35">
        <f t="shared" si="33"/>
        <v>576.1</v>
      </c>
      <c r="AT89" s="35">
        <f t="shared" si="34"/>
        <v>57.645454545454527</v>
      </c>
      <c r="AU89" s="35">
        <v>186.7</v>
      </c>
      <c r="AV89" s="35">
        <v>155.1</v>
      </c>
      <c r="AW89" s="35">
        <f t="shared" si="35"/>
        <v>234.3</v>
      </c>
      <c r="AX89" s="35"/>
      <c r="AY89" s="35">
        <f t="shared" si="36"/>
        <v>234.3</v>
      </c>
      <c r="AZ89" s="35">
        <v>0</v>
      </c>
      <c r="BA89" s="35">
        <f t="shared" si="37"/>
        <v>234.3</v>
      </c>
      <c r="BB89" s="35">
        <f>MIN(BA89,86.4)</f>
        <v>86.4</v>
      </c>
      <c r="BC89" s="35">
        <f t="shared" si="38"/>
        <v>147.9</v>
      </c>
      <c r="BD89" s="35">
        <v>149.80000000000001</v>
      </c>
      <c r="BE89" s="35">
        <f t="shared" si="39"/>
        <v>-1.9</v>
      </c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9"/>
      <c r="BU89" s="9"/>
      <c r="BV89" s="9"/>
      <c r="BW89" s="9"/>
      <c r="BX89" s="9"/>
      <c r="BY89" s="9"/>
      <c r="BZ89" s="9"/>
      <c r="CA89" s="9"/>
      <c r="CB89" s="9"/>
      <c r="CC89" s="9"/>
      <c r="CD89" s="9"/>
      <c r="CE89" s="9"/>
      <c r="CF89" s="9"/>
      <c r="CG89" s="9"/>
      <c r="CH89" s="9"/>
      <c r="CI89" s="9"/>
      <c r="CJ89" s="9"/>
      <c r="CK89" s="9"/>
      <c r="CL89" s="9"/>
      <c r="CM89" s="9"/>
      <c r="CN89" s="9"/>
      <c r="CO89" s="9"/>
      <c r="CP89" s="9"/>
      <c r="CQ89" s="10"/>
      <c r="CR89" s="9"/>
      <c r="CS89" s="9"/>
      <c r="CT89" s="9"/>
      <c r="CU89" s="9"/>
      <c r="CV89" s="9"/>
      <c r="CW89" s="9"/>
      <c r="CX89" s="9"/>
      <c r="CY89" s="9"/>
      <c r="CZ89" s="9"/>
      <c r="DA89" s="9"/>
      <c r="DB89" s="9"/>
      <c r="DC89" s="9"/>
      <c r="DD89" s="9"/>
      <c r="DE89" s="9"/>
      <c r="DF89" s="9"/>
      <c r="DG89" s="9"/>
      <c r="DH89" s="9"/>
      <c r="DI89" s="9"/>
      <c r="DJ89" s="9"/>
      <c r="DK89" s="9"/>
      <c r="DL89" s="9"/>
      <c r="DM89" s="9"/>
      <c r="DN89" s="9"/>
      <c r="DO89" s="9"/>
      <c r="DP89" s="9"/>
      <c r="DQ89" s="9"/>
      <c r="DR89" s="9"/>
      <c r="DS89" s="10"/>
      <c r="DT89" s="9"/>
      <c r="DU89" s="9"/>
      <c r="DV89" s="9"/>
      <c r="DW89" s="9"/>
      <c r="DX89" s="9"/>
      <c r="DY89" s="9"/>
      <c r="DZ89" s="9"/>
      <c r="EA89" s="9"/>
      <c r="EB89" s="9"/>
      <c r="EC89" s="9"/>
      <c r="ED89" s="9"/>
      <c r="EE89" s="9"/>
      <c r="EF89" s="9"/>
      <c r="EG89" s="9"/>
      <c r="EH89" s="9"/>
      <c r="EI89" s="9"/>
      <c r="EJ89" s="9"/>
      <c r="EK89" s="9"/>
      <c r="EL89" s="9"/>
      <c r="EM89" s="9"/>
      <c r="EN89" s="9"/>
      <c r="EO89" s="9"/>
      <c r="EP89" s="9"/>
      <c r="EQ89" s="9"/>
      <c r="ER89" s="9"/>
      <c r="ES89" s="9"/>
      <c r="ET89" s="9"/>
      <c r="EU89" s="10"/>
      <c r="EV89" s="9"/>
      <c r="EW89" s="9"/>
      <c r="EX89" s="9"/>
      <c r="EY89" s="9"/>
      <c r="EZ89" s="9"/>
      <c r="FA89" s="9"/>
      <c r="FB89" s="9"/>
      <c r="FC89" s="9"/>
      <c r="FD89" s="9"/>
      <c r="FE89" s="9"/>
      <c r="FF89" s="9"/>
      <c r="FG89" s="9"/>
      <c r="FH89" s="9"/>
      <c r="FI89" s="9"/>
      <c r="FJ89" s="9"/>
      <c r="FK89" s="9"/>
      <c r="FL89" s="9"/>
      <c r="FM89" s="9"/>
      <c r="FN89" s="9"/>
      <c r="FO89" s="9"/>
      <c r="FP89" s="9"/>
      <c r="FQ89" s="9"/>
      <c r="FR89" s="9"/>
      <c r="FS89" s="9"/>
      <c r="FT89" s="9"/>
      <c r="FU89" s="9"/>
      <c r="FV89" s="9"/>
      <c r="FW89" s="10"/>
      <c r="FX89" s="9"/>
      <c r="FY89" s="9"/>
      <c r="FZ89" s="9"/>
      <c r="GA89" s="9"/>
      <c r="GB89" s="9"/>
      <c r="GC89" s="9"/>
      <c r="GD89" s="9"/>
      <c r="GE89" s="9"/>
      <c r="GF89" s="9"/>
      <c r="GG89" s="9"/>
      <c r="GH89" s="9"/>
      <c r="GI89" s="9"/>
      <c r="GJ89" s="9"/>
      <c r="GK89" s="9"/>
      <c r="GL89" s="9"/>
      <c r="GM89" s="9"/>
      <c r="GN89" s="9"/>
      <c r="GO89" s="9"/>
      <c r="GP89" s="9"/>
      <c r="GQ89" s="9"/>
      <c r="GR89" s="9"/>
      <c r="GS89" s="9"/>
      <c r="GT89" s="9"/>
      <c r="GU89" s="9"/>
      <c r="GV89" s="9"/>
      <c r="GW89" s="9"/>
      <c r="GX89" s="9"/>
      <c r="GY89" s="10"/>
      <c r="GZ89" s="9"/>
      <c r="HA89" s="9"/>
    </row>
    <row r="90" spans="1:209" s="2" customFormat="1" ht="17" customHeight="1">
      <c r="A90" s="18" t="s">
        <v>89</v>
      </c>
      <c r="B90" s="6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35"/>
      <c r="AA90" s="35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35"/>
      <c r="BD90" s="35"/>
      <c r="BE90" s="35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9"/>
      <c r="BU90" s="9"/>
      <c r="BV90" s="9"/>
      <c r="BW90" s="9"/>
      <c r="BX90" s="9"/>
      <c r="BY90" s="9"/>
      <c r="BZ90" s="9"/>
      <c r="CA90" s="9"/>
      <c r="CB90" s="9"/>
      <c r="CC90" s="9"/>
      <c r="CD90" s="9"/>
      <c r="CE90" s="9"/>
      <c r="CF90" s="9"/>
      <c r="CG90" s="9"/>
      <c r="CH90" s="9"/>
      <c r="CI90" s="9"/>
      <c r="CJ90" s="9"/>
      <c r="CK90" s="9"/>
      <c r="CL90" s="9"/>
      <c r="CM90" s="9"/>
      <c r="CN90" s="9"/>
      <c r="CO90" s="9"/>
      <c r="CP90" s="9"/>
      <c r="CQ90" s="10"/>
      <c r="CR90" s="9"/>
      <c r="CS90" s="9"/>
      <c r="CT90" s="9"/>
      <c r="CU90" s="9"/>
      <c r="CV90" s="9"/>
      <c r="CW90" s="9"/>
      <c r="CX90" s="9"/>
      <c r="CY90" s="9"/>
      <c r="CZ90" s="9"/>
      <c r="DA90" s="9"/>
      <c r="DB90" s="9"/>
      <c r="DC90" s="9"/>
      <c r="DD90" s="9"/>
      <c r="DE90" s="9"/>
      <c r="DF90" s="9"/>
      <c r="DG90" s="9"/>
      <c r="DH90" s="9"/>
      <c r="DI90" s="9"/>
      <c r="DJ90" s="9"/>
      <c r="DK90" s="9"/>
      <c r="DL90" s="9"/>
      <c r="DM90" s="9"/>
      <c r="DN90" s="9"/>
      <c r="DO90" s="9"/>
      <c r="DP90" s="9"/>
      <c r="DQ90" s="9"/>
      <c r="DR90" s="9"/>
      <c r="DS90" s="10"/>
      <c r="DT90" s="9"/>
      <c r="DU90" s="9"/>
      <c r="DV90" s="9"/>
      <c r="DW90" s="9"/>
      <c r="DX90" s="9"/>
      <c r="DY90" s="9"/>
      <c r="DZ90" s="9"/>
      <c r="EA90" s="9"/>
      <c r="EB90" s="9"/>
      <c r="EC90" s="9"/>
      <c r="ED90" s="9"/>
      <c r="EE90" s="9"/>
      <c r="EF90" s="9"/>
      <c r="EG90" s="9"/>
      <c r="EH90" s="9"/>
      <c r="EI90" s="9"/>
      <c r="EJ90" s="9"/>
      <c r="EK90" s="9"/>
      <c r="EL90" s="9"/>
      <c r="EM90" s="9"/>
      <c r="EN90" s="9"/>
      <c r="EO90" s="9"/>
      <c r="EP90" s="9"/>
      <c r="EQ90" s="9"/>
      <c r="ER90" s="9"/>
      <c r="ES90" s="9"/>
      <c r="ET90" s="9"/>
      <c r="EU90" s="10"/>
      <c r="EV90" s="9"/>
      <c r="EW90" s="9"/>
      <c r="EX90" s="9"/>
      <c r="EY90" s="9"/>
      <c r="EZ90" s="9"/>
      <c r="FA90" s="9"/>
      <c r="FB90" s="9"/>
      <c r="FC90" s="9"/>
      <c r="FD90" s="9"/>
      <c r="FE90" s="9"/>
      <c r="FF90" s="9"/>
      <c r="FG90" s="9"/>
      <c r="FH90" s="9"/>
      <c r="FI90" s="9"/>
      <c r="FJ90" s="9"/>
      <c r="FK90" s="9"/>
      <c r="FL90" s="9"/>
      <c r="FM90" s="9"/>
      <c r="FN90" s="9"/>
      <c r="FO90" s="9"/>
      <c r="FP90" s="9"/>
      <c r="FQ90" s="9"/>
      <c r="FR90" s="9"/>
      <c r="FS90" s="9"/>
      <c r="FT90" s="9"/>
      <c r="FU90" s="9"/>
      <c r="FV90" s="9"/>
      <c r="FW90" s="10"/>
      <c r="FX90" s="9"/>
      <c r="FY90" s="9"/>
      <c r="FZ90" s="9"/>
      <c r="GA90" s="9"/>
      <c r="GB90" s="9"/>
      <c r="GC90" s="9"/>
      <c r="GD90" s="9"/>
      <c r="GE90" s="9"/>
      <c r="GF90" s="9"/>
      <c r="GG90" s="9"/>
      <c r="GH90" s="9"/>
      <c r="GI90" s="9"/>
      <c r="GJ90" s="9"/>
      <c r="GK90" s="9"/>
      <c r="GL90" s="9"/>
      <c r="GM90" s="9"/>
      <c r="GN90" s="9"/>
      <c r="GO90" s="9"/>
      <c r="GP90" s="9"/>
      <c r="GQ90" s="9"/>
      <c r="GR90" s="9"/>
      <c r="GS90" s="9"/>
      <c r="GT90" s="9"/>
      <c r="GU90" s="9"/>
      <c r="GV90" s="9"/>
      <c r="GW90" s="9"/>
      <c r="GX90" s="9"/>
      <c r="GY90" s="10"/>
      <c r="GZ90" s="9"/>
      <c r="HA90" s="9"/>
    </row>
    <row r="91" spans="1:209" s="2" customFormat="1" ht="17" customHeight="1">
      <c r="A91" s="14" t="s">
        <v>90</v>
      </c>
      <c r="B91" s="35">
        <v>0</v>
      </c>
      <c r="C91" s="35">
        <v>0</v>
      </c>
      <c r="D91" s="4">
        <f t="shared" si="27"/>
        <v>0</v>
      </c>
      <c r="E91" s="11">
        <v>0</v>
      </c>
      <c r="F91" s="5" t="s">
        <v>362</v>
      </c>
      <c r="G91" s="5" t="s">
        <v>362</v>
      </c>
      <c r="H91" s="5" t="s">
        <v>362</v>
      </c>
      <c r="I91" s="5" t="s">
        <v>362</v>
      </c>
      <c r="J91" s="5" t="s">
        <v>362</v>
      </c>
      <c r="K91" s="5" t="s">
        <v>362</v>
      </c>
      <c r="L91" s="5" t="s">
        <v>362</v>
      </c>
      <c r="M91" s="5" t="s">
        <v>362</v>
      </c>
      <c r="N91" s="35">
        <v>65.3</v>
      </c>
      <c r="O91" s="35">
        <v>25.6</v>
      </c>
      <c r="P91" s="4">
        <f t="shared" si="28"/>
        <v>0.39203675344563554</v>
      </c>
      <c r="Q91" s="11">
        <v>20</v>
      </c>
      <c r="R91" s="35">
        <v>10</v>
      </c>
      <c r="S91" s="35">
        <v>11.5</v>
      </c>
      <c r="T91" s="4">
        <f t="shared" si="29"/>
        <v>1.1499999999999999</v>
      </c>
      <c r="U91" s="11">
        <v>20</v>
      </c>
      <c r="V91" s="35">
        <v>0.8</v>
      </c>
      <c r="W91" s="35">
        <v>0.9</v>
      </c>
      <c r="X91" s="4">
        <f t="shared" si="30"/>
        <v>1.125</v>
      </c>
      <c r="Y91" s="11">
        <v>30</v>
      </c>
      <c r="Z91" s="35">
        <v>1172</v>
      </c>
      <c r="AA91" s="35">
        <v>996</v>
      </c>
      <c r="AB91" s="4">
        <f t="shared" si="31"/>
        <v>0.84982935153583616</v>
      </c>
      <c r="AC91" s="11">
        <v>5</v>
      </c>
      <c r="AD91" s="11">
        <v>41</v>
      </c>
      <c r="AE91" s="11">
        <v>41</v>
      </c>
      <c r="AF91" s="4">
        <f t="shared" si="32"/>
        <v>1</v>
      </c>
      <c r="AG91" s="11">
        <v>20</v>
      </c>
      <c r="AH91" s="5" t="s">
        <v>362</v>
      </c>
      <c r="AI91" s="5" t="s">
        <v>362</v>
      </c>
      <c r="AJ91" s="5" t="s">
        <v>362</v>
      </c>
      <c r="AK91" s="5" t="s">
        <v>362</v>
      </c>
      <c r="AL91" s="5" t="s">
        <v>362</v>
      </c>
      <c r="AM91" s="5" t="s">
        <v>362</v>
      </c>
      <c r="AN91" s="5" t="s">
        <v>362</v>
      </c>
      <c r="AO91" s="5" t="s">
        <v>362</v>
      </c>
      <c r="AP91" s="44">
        <f t="shared" si="40"/>
        <v>0.93515665080623045</v>
      </c>
      <c r="AQ91" s="45">
        <v>543</v>
      </c>
      <c r="AR91" s="35">
        <f t="shared" si="41"/>
        <v>148.09090909090909</v>
      </c>
      <c r="AS91" s="35">
        <f t="shared" si="33"/>
        <v>138.5</v>
      </c>
      <c r="AT91" s="35">
        <f t="shared" si="34"/>
        <v>-9.5909090909090935</v>
      </c>
      <c r="AU91" s="35">
        <v>50.4</v>
      </c>
      <c r="AV91" s="35">
        <v>44.3</v>
      </c>
      <c r="AW91" s="35">
        <f t="shared" si="35"/>
        <v>43.8</v>
      </c>
      <c r="AX91" s="35"/>
      <c r="AY91" s="35">
        <f t="shared" si="36"/>
        <v>43.8</v>
      </c>
      <c r="AZ91" s="35">
        <v>0</v>
      </c>
      <c r="BA91" s="35">
        <f t="shared" si="37"/>
        <v>43.8</v>
      </c>
      <c r="BB91" s="35"/>
      <c r="BC91" s="35">
        <f t="shared" si="38"/>
        <v>43.8</v>
      </c>
      <c r="BD91" s="35">
        <v>44.5</v>
      </c>
      <c r="BE91" s="35">
        <f t="shared" si="39"/>
        <v>-0.7</v>
      </c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9"/>
      <c r="BU91" s="9"/>
      <c r="BV91" s="9"/>
      <c r="BW91" s="9"/>
      <c r="BX91" s="9"/>
      <c r="BY91" s="9"/>
      <c r="BZ91" s="9"/>
      <c r="CA91" s="9"/>
      <c r="CB91" s="9"/>
      <c r="CC91" s="9"/>
      <c r="CD91" s="9"/>
      <c r="CE91" s="9"/>
      <c r="CF91" s="9"/>
      <c r="CG91" s="9"/>
      <c r="CH91" s="9"/>
      <c r="CI91" s="9"/>
      <c r="CJ91" s="9"/>
      <c r="CK91" s="9"/>
      <c r="CL91" s="9"/>
      <c r="CM91" s="9"/>
      <c r="CN91" s="9"/>
      <c r="CO91" s="9"/>
      <c r="CP91" s="9"/>
      <c r="CQ91" s="10"/>
      <c r="CR91" s="9"/>
      <c r="CS91" s="9"/>
      <c r="CT91" s="9"/>
      <c r="CU91" s="9"/>
      <c r="CV91" s="9"/>
      <c r="CW91" s="9"/>
      <c r="CX91" s="9"/>
      <c r="CY91" s="9"/>
      <c r="CZ91" s="9"/>
      <c r="DA91" s="9"/>
      <c r="DB91" s="9"/>
      <c r="DC91" s="9"/>
      <c r="DD91" s="9"/>
      <c r="DE91" s="9"/>
      <c r="DF91" s="9"/>
      <c r="DG91" s="9"/>
      <c r="DH91" s="9"/>
      <c r="DI91" s="9"/>
      <c r="DJ91" s="9"/>
      <c r="DK91" s="9"/>
      <c r="DL91" s="9"/>
      <c r="DM91" s="9"/>
      <c r="DN91" s="9"/>
      <c r="DO91" s="9"/>
      <c r="DP91" s="9"/>
      <c r="DQ91" s="9"/>
      <c r="DR91" s="9"/>
      <c r="DS91" s="10"/>
      <c r="DT91" s="9"/>
      <c r="DU91" s="9"/>
      <c r="DV91" s="9"/>
      <c r="DW91" s="9"/>
      <c r="DX91" s="9"/>
      <c r="DY91" s="9"/>
      <c r="DZ91" s="9"/>
      <c r="EA91" s="9"/>
      <c r="EB91" s="9"/>
      <c r="EC91" s="9"/>
      <c r="ED91" s="9"/>
      <c r="EE91" s="9"/>
      <c r="EF91" s="9"/>
      <c r="EG91" s="9"/>
      <c r="EH91" s="9"/>
      <c r="EI91" s="9"/>
      <c r="EJ91" s="9"/>
      <c r="EK91" s="9"/>
      <c r="EL91" s="9"/>
      <c r="EM91" s="9"/>
      <c r="EN91" s="9"/>
      <c r="EO91" s="9"/>
      <c r="EP91" s="9"/>
      <c r="EQ91" s="9"/>
      <c r="ER91" s="9"/>
      <c r="ES91" s="9"/>
      <c r="ET91" s="9"/>
      <c r="EU91" s="10"/>
      <c r="EV91" s="9"/>
      <c r="EW91" s="9"/>
      <c r="EX91" s="9"/>
      <c r="EY91" s="9"/>
      <c r="EZ91" s="9"/>
      <c r="FA91" s="9"/>
      <c r="FB91" s="9"/>
      <c r="FC91" s="9"/>
      <c r="FD91" s="9"/>
      <c r="FE91" s="9"/>
      <c r="FF91" s="9"/>
      <c r="FG91" s="9"/>
      <c r="FH91" s="9"/>
      <c r="FI91" s="9"/>
      <c r="FJ91" s="9"/>
      <c r="FK91" s="9"/>
      <c r="FL91" s="9"/>
      <c r="FM91" s="9"/>
      <c r="FN91" s="9"/>
      <c r="FO91" s="9"/>
      <c r="FP91" s="9"/>
      <c r="FQ91" s="9"/>
      <c r="FR91" s="9"/>
      <c r="FS91" s="9"/>
      <c r="FT91" s="9"/>
      <c r="FU91" s="9"/>
      <c r="FV91" s="9"/>
      <c r="FW91" s="10"/>
      <c r="FX91" s="9"/>
      <c r="FY91" s="9"/>
      <c r="FZ91" s="9"/>
      <c r="GA91" s="9"/>
      <c r="GB91" s="9"/>
      <c r="GC91" s="9"/>
      <c r="GD91" s="9"/>
      <c r="GE91" s="9"/>
      <c r="GF91" s="9"/>
      <c r="GG91" s="9"/>
      <c r="GH91" s="9"/>
      <c r="GI91" s="9"/>
      <c r="GJ91" s="9"/>
      <c r="GK91" s="9"/>
      <c r="GL91" s="9"/>
      <c r="GM91" s="9"/>
      <c r="GN91" s="9"/>
      <c r="GO91" s="9"/>
      <c r="GP91" s="9"/>
      <c r="GQ91" s="9"/>
      <c r="GR91" s="9"/>
      <c r="GS91" s="9"/>
      <c r="GT91" s="9"/>
      <c r="GU91" s="9"/>
      <c r="GV91" s="9"/>
      <c r="GW91" s="9"/>
      <c r="GX91" s="9"/>
      <c r="GY91" s="10"/>
      <c r="GZ91" s="9"/>
      <c r="HA91" s="9"/>
    </row>
    <row r="92" spans="1:209" s="2" customFormat="1" ht="17" customHeight="1">
      <c r="A92" s="14" t="s">
        <v>91</v>
      </c>
      <c r="B92" s="35">
        <v>59046</v>
      </c>
      <c r="C92" s="35">
        <v>66240</v>
      </c>
      <c r="D92" s="4">
        <f t="shared" si="27"/>
        <v>1.1218372116654811</v>
      </c>
      <c r="E92" s="11">
        <v>10</v>
      </c>
      <c r="F92" s="5" t="s">
        <v>362</v>
      </c>
      <c r="G92" s="5" t="s">
        <v>362</v>
      </c>
      <c r="H92" s="5" t="s">
        <v>362</v>
      </c>
      <c r="I92" s="5" t="s">
        <v>362</v>
      </c>
      <c r="J92" s="5" t="s">
        <v>362</v>
      </c>
      <c r="K92" s="5" t="s">
        <v>362</v>
      </c>
      <c r="L92" s="5" t="s">
        <v>362</v>
      </c>
      <c r="M92" s="5" t="s">
        <v>362</v>
      </c>
      <c r="N92" s="35">
        <v>2225.9</v>
      </c>
      <c r="O92" s="35">
        <v>1831.4</v>
      </c>
      <c r="P92" s="4">
        <f t="shared" si="28"/>
        <v>0.82276831843299336</v>
      </c>
      <c r="Q92" s="11">
        <v>20</v>
      </c>
      <c r="R92" s="35">
        <v>33.4</v>
      </c>
      <c r="S92" s="35">
        <v>39</v>
      </c>
      <c r="T92" s="4">
        <f t="shared" si="29"/>
        <v>1.1676646706586826</v>
      </c>
      <c r="U92" s="11">
        <v>20</v>
      </c>
      <c r="V92" s="35">
        <v>8.5</v>
      </c>
      <c r="W92" s="35">
        <v>9.6</v>
      </c>
      <c r="X92" s="4">
        <f t="shared" si="30"/>
        <v>1.1294117647058823</v>
      </c>
      <c r="Y92" s="11">
        <v>30</v>
      </c>
      <c r="Z92" s="35">
        <v>205421</v>
      </c>
      <c r="AA92" s="35">
        <v>193085</v>
      </c>
      <c r="AB92" s="4">
        <f t="shared" si="31"/>
        <v>0.93994771712726544</v>
      </c>
      <c r="AC92" s="11">
        <v>5</v>
      </c>
      <c r="AD92" s="11">
        <v>99</v>
      </c>
      <c r="AE92" s="11">
        <v>99</v>
      </c>
      <c r="AF92" s="4">
        <f t="shared" si="32"/>
        <v>1</v>
      </c>
      <c r="AG92" s="11">
        <v>20</v>
      </c>
      <c r="AH92" s="5" t="s">
        <v>362</v>
      </c>
      <c r="AI92" s="5" t="s">
        <v>362</v>
      </c>
      <c r="AJ92" s="5" t="s">
        <v>362</v>
      </c>
      <c r="AK92" s="5" t="s">
        <v>362</v>
      </c>
      <c r="AL92" s="5" t="s">
        <v>362</v>
      </c>
      <c r="AM92" s="5" t="s">
        <v>362</v>
      </c>
      <c r="AN92" s="5" t="s">
        <v>362</v>
      </c>
      <c r="AO92" s="5" t="s">
        <v>362</v>
      </c>
      <c r="AP92" s="44">
        <f t="shared" si="40"/>
        <v>1.0438964135742963</v>
      </c>
      <c r="AQ92" s="45">
        <v>1582</v>
      </c>
      <c r="AR92" s="35">
        <f t="shared" si="41"/>
        <v>431.45454545454544</v>
      </c>
      <c r="AS92" s="35">
        <f t="shared" si="33"/>
        <v>450.4</v>
      </c>
      <c r="AT92" s="35">
        <f t="shared" si="34"/>
        <v>18.945454545454538</v>
      </c>
      <c r="AU92" s="35">
        <v>144.19999999999999</v>
      </c>
      <c r="AV92" s="35">
        <v>153.80000000000001</v>
      </c>
      <c r="AW92" s="35">
        <f t="shared" si="35"/>
        <v>152.4</v>
      </c>
      <c r="AX92" s="35"/>
      <c r="AY92" s="35">
        <f t="shared" si="36"/>
        <v>152.4</v>
      </c>
      <c r="AZ92" s="35">
        <v>0</v>
      </c>
      <c r="BA92" s="35">
        <f t="shared" si="37"/>
        <v>152.4</v>
      </c>
      <c r="BB92" s="35">
        <f>MIN(BA92,71.9)</f>
        <v>71.900000000000006</v>
      </c>
      <c r="BC92" s="35">
        <f t="shared" si="38"/>
        <v>80.5</v>
      </c>
      <c r="BD92" s="35">
        <v>82.7</v>
      </c>
      <c r="BE92" s="35">
        <f t="shared" si="39"/>
        <v>-2.2000000000000002</v>
      </c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9"/>
      <c r="BU92" s="9"/>
      <c r="BV92" s="9"/>
      <c r="BW92" s="9"/>
      <c r="BX92" s="9"/>
      <c r="BY92" s="9"/>
      <c r="BZ92" s="9"/>
      <c r="CA92" s="9"/>
      <c r="CB92" s="9"/>
      <c r="CC92" s="9"/>
      <c r="CD92" s="9"/>
      <c r="CE92" s="9"/>
      <c r="CF92" s="9"/>
      <c r="CG92" s="9"/>
      <c r="CH92" s="9"/>
      <c r="CI92" s="9"/>
      <c r="CJ92" s="9"/>
      <c r="CK92" s="9"/>
      <c r="CL92" s="9"/>
      <c r="CM92" s="9"/>
      <c r="CN92" s="9"/>
      <c r="CO92" s="9"/>
      <c r="CP92" s="9"/>
      <c r="CQ92" s="10"/>
      <c r="CR92" s="9"/>
      <c r="CS92" s="9"/>
      <c r="CT92" s="9"/>
      <c r="CU92" s="9"/>
      <c r="CV92" s="9"/>
      <c r="CW92" s="9"/>
      <c r="CX92" s="9"/>
      <c r="CY92" s="9"/>
      <c r="CZ92" s="9"/>
      <c r="DA92" s="9"/>
      <c r="DB92" s="9"/>
      <c r="DC92" s="9"/>
      <c r="DD92" s="9"/>
      <c r="DE92" s="9"/>
      <c r="DF92" s="9"/>
      <c r="DG92" s="9"/>
      <c r="DH92" s="9"/>
      <c r="DI92" s="9"/>
      <c r="DJ92" s="9"/>
      <c r="DK92" s="9"/>
      <c r="DL92" s="9"/>
      <c r="DM92" s="9"/>
      <c r="DN92" s="9"/>
      <c r="DO92" s="9"/>
      <c r="DP92" s="9"/>
      <c r="DQ92" s="9"/>
      <c r="DR92" s="9"/>
      <c r="DS92" s="10"/>
      <c r="DT92" s="9"/>
      <c r="DU92" s="9"/>
      <c r="DV92" s="9"/>
      <c r="DW92" s="9"/>
      <c r="DX92" s="9"/>
      <c r="DY92" s="9"/>
      <c r="DZ92" s="9"/>
      <c r="EA92" s="9"/>
      <c r="EB92" s="9"/>
      <c r="EC92" s="9"/>
      <c r="ED92" s="9"/>
      <c r="EE92" s="9"/>
      <c r="EF92" s="9"/>
      <c r="EG92" s="9"/>
      <c r="EH92" s="9"/>
      <c r="EI92" s="9"/>
      <c r="EJ92" s="9"/>
      <c r="EK92" s="9"/>
      <c r="EL92" s="9"/>
      <c r="EM92" s="9"/>
      <c r="EN92" s="9"/>
      <c r="EO92" s="9"/>
      <c r="EP92" s="9"/>
      <c r="EQ92" s="9"/>
      <c r="ER92" s="9"/>
      <c r="ES92" s="9"/>
      <c r="ET92" s="9"/>
      <c r="EU92" s="10"/>
      <c r="EV92" s="9"/>
      <c r="EW92" s="9"/>
      <c r="EX92" s="9"/>
      <c r="EY92" s="9"/>
      <c r="EZ92" s="9"/>
      <c r="FA92" s="9"/>
      <c r="FB92" s="9"/>
      <c r="FC92" s="9"/>
      <c r="FD92" s="9"/>
      <c r="FE92" s="9"/>
      <c r="FF92" s="9"/>
      <c r="FG92" s="9"/>
      <c r="FH92" s="9"/>
      <c r="FI92" s="9"/>
      <c r="FJ92" s="9"/>
      <c r="FK92" s="9"/>
      <c r="FL92" s="9"/>
      <c r="FM92" s="9"/>
      <c r="FN92" s="9"/>
      <c r="FO92" s="9"/>
      <c r="FP92" s="9"/>
      <c r="FQ92" s="9"/>
      <c r="FR92" s="9"/>
      <c r="FS92" s="9"/>
      <c r="FT92" s="9"/>
      <c r="FU92" s="9"/>
      <c r="FV92" s="9"/>
      <c r="FW92" s="10"/>
      <c r="FX92" s="9"/>
      <c r="FY92" s="9"/>
      <c r="FZ92" s="9"/>
      <c r="GA92" s="9"/>
      <c r="GB92" s="9"/>
      <c r="GC92" s="9"/>
      <c r="GD92" s="9"/>
      <c r="GE92" s="9"/>
      <c r="GF92" s="9"/>
      <c r="GG92" s="9"/>
      <c r="GH92" s="9"/>
      <c r="GI92" s="9"/>
      <c r="GJ92" s="9"/>
      <c r="GK92" s="9"/>
      <c r="GL92" s="9"/>
      <c r="GM92" s="9"/>
      <c r="GN92" s="9"/>
      <c r="GO92" s="9"/>
      <c r="GP92" s="9"/>
      <c r="GQ92" s="9"/>
      <c r="GR92" s="9"/>
      <c r="GS92" s="9"/>
      <c r="GT92" s="9"/>
      <c r="GU92" s="9"/>
      <c r="GV92" s="9"/>
      <c r="GW92" s="9"/>
      <c r="GX92" s="9"/>
      <c r="GY92" s="10"/>
      <c r="GZ92" s="9"/>
      <c r="HA92" s="9"/>
    </row>
    <row r="93" spans="1:209" s="2" customFormat="1" ht="17" customHeight="1">
      <c r="A93" s="14" t="s">
        <v>92</v>
      </c>
      <c r="B93" s="35">
        <v>0</v>
      </c>
      <c r="C93" s="35">
        <v>0</v>
      </c>
      <c r="D93" s="4">
        <f t="shared" si="27"/>
        <v>0</v>
      </c>
      <c r="E93" s="11">
        <v>0</v>
      </c>
      <c r="F93" s="5" t="s">
        <v>362</v>
      </c>
      <c r="G93" s="5" t="s">
        <v>362</v>
      </c>
      <c r="H93" s="5" t="s">
        <v>362</v>
      </c>
      <c r="I93" s="5" t="s">
        <v>362</v>
      </c>
      <c r="J93" s="5" t="s">
        <v>362</v>
      </c>
      <c r="K93" s="5" t="s">
        <v>362</v>
      </c>
      <c r="L93" s="5" t="s">
        <v>362</v>
      </c>
      <c r="M93" s="5" t="s">
        <v>362</v>
      </c>
      <c r="N93" s="35">
        <v>768.8</v>
      </c>
      <c r="O93" s="35">
        <v>277.5</v>
      </c>
      <c r="P93" s="4">
        <f t="shared" si="28"/>
        <v>0.36095213319458896</v>
      </c>
      <c r="Q93" s="11">
        <v>20</v>
      </c>
      <c r="R93" s="35">
        <v>57.2</v>
      </c>
      <c r="S93" s="35">
        <v>66.400000000000006</v>
      </c>
      <c r="T93" s="4">
        <f t="shared" si="29"/>
        <v>1.1608391608391608</v>
      </c>
      <c r="U93" s="11">
        <v>20</v>
      </c>
      <c r="V93" s="35">
        <v>5.6</v>
      </c>
      <c r="W93" s="35">
        <v>6.5</v>
      </c>
      <c r="X93" s="4">
        <f t="shared" si="30"/>
        <v>1.1607142857142858</v>
      </c>
      <c r="Y93" s="11">
        <v>30</v>
      </c>
      <c r="Z93" s="35">
        <v>6062</v>
      </c>
      <c r="AA93" s="35">
        <v>6462</v>
      </c>
      <c r="AB93" s="4">
        <f t="shared" si="31"/>
        <v>1.0659848234905971</v>
      </c>
      <c r="AC93" s="11">
        <v>5</v>
      </c>
      <c r="AD93" s="11">
        <v>215</v>
      </c>
      <c r="AE93" s="11">
        <v>215</v>
      </c>
      <c r="AF93" s="4">
        <f t="shared" si="32"/>
        <v>1</v>
      </c>
      <c r="AG93" s="11">
        <v>20</v>
      </c>
      <c r="AH93" s="5" t="s">
        <v>362</v>
      </c>
      <c r="AI93" s="5" t="s">
        <v>362</v>
      </c>
      <c r="AJ93" s="5" t="s">
        <v>362</v>
      </c>
      <c r="AK93" s="5" t="s">
        <v>362</v>
      </c>
      <c r="AL93" s="5" t="s">
        <v>362</v>
      </c>
      <c r="AM93" s="5" t="s">
        <v>362</v>
      </c>
      <c r="AN93" s="5" t="s">
        <v>362</v>
      </c>
      <c r="AO93" s="5" t="s">
        <v>362</v>
      </c>
      <c r="AP93" s="44">
        <f t="shared" si="40"/>
        <v>0.95354924810059549</v>
      </c>
      <c r="AQ93" s="45">
        <v>1281</v>
      </c>
      <c r="AR93" s="35">
        <f t="shared" si="41"/>
        <v>349.36363636363637</v>
      </c>
      <c r="AS93" s="35">
        <f t="shared" si="33"/>
        <v>333.1</v>
      </c>
      <c r="AT93" s="35">
        <f t="shared" si="34"/>
        <v>-16.263636363636351</v>
      </c>
      <c r="AU93" s="35">
        <v>110.9</v>
      </c>
      <c r="AV93" s="35">
        <v>113.3</v>
      </c>
      <c r="AW93" s="35">
        <f t="shared" si="35"/>
        <v>108.9</v>
      </c>
      <c r="AX93" s="35"/>
      <c r="AY93" s="35">
        <f t="shared" si="36"/>
        <v>108.9</v>
      </c>
      <c r="AZ93" s="35">
        <v>0</v>
      </c>
      <c r="BA93" s="35">
        <f t="shared" si="37"/>
        <v>108.9</v>
      </c>
      <c r="BB93" s="35">
        <f>MIN(BA93,35.3)</f>
        <v>35.299999999999997</v>
      </c>
      <c r="BC93" s="35">
        <f t="shared" si="38"/>
        <v>73.599999999999994</v>
      </c>
      <c r="BD93" s="35">
        <v>71.5</v>
      </c>
      <c r="BE93" s="35">
        <f t="shared" si="39"/>
        <v>2.1</v>
      </c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9"/>
      <c r="BU93" s="9"/>
      <c r="BV93" s="9"/>
      <c r="BW93" s="9"/>
      <c r="BX93" s="9"/>
      <c r="BY93" s="9"/>
      <c r="BZ93" s="9"/>
      <c r="CA93" s="9"/>
      <c r="CB93" s="9"/>
      <c r="CC93" s="9"/>
      <c r="CD93" s="9"/>
      <c r="CE93" s="9"/>
      <c r="CF93" s="9"/>
      <c r="CG93" s="9"/>
      <c r="CH93" s="9"/>
      <c r="CI93" s="9"/>
      <c r="CJ93" s="9"/>
      <c r="CK93" s="9"/>
      <c r="CL93" s="9"/>
      <c r="CM93" s="9"/>
      <c r="CN93" s="9"/>
      <c r="CO93" s="9"/>
      <c r="CP93" s="9"/>
      <c r="CQ93" s="10"/>
      <c r="CR93" s="9"/>
      <c r="CS93" s="9"/>
      <c r="CT93" s="9"/>
      <c r="CU93" s="9"/>
      <c r="CV93" s="9"/>
      <c r="CW93" s="9"/>
      <c r="CX93" s="9"/>
      <c r="CY93" s="9"/>
      <c r="CZ93" s="9"/>
      <c r="DA93" s="9"/>
      <c r="DB93" s="9"/>
      <c r="DC93" s="9"/>
      <c r="DD93" s="9"/>
      <c r="DE93" s="9"/>
      <c r="DF93" s="9"/>
      <c r="DG93" s="9"/>
      <c r="DH93" s="9"/>
      <c r="DI93" s="9"/>
      <c r="DJ93" s="9"/>
      <c r="DK93" s="9"/>
      <c r="DL93" s="9"/>
      <c r="DM93" s="9"/>
      <c r="DN93" s="9"/>
      <c r="DO93" s="9"/>
      <c r="DP93" s="9"/>
      <c r="DQ93" s="9"/>
      <c r="DR93" s="9"/>
      <c r="DS93" s="10"/>
      <c r="DT93" s="9"/>
      <c r="DU93" s="9"/>
      <c r="DV93" s="9"/>
      <c r="DW93" s="9"/>
      <c r="DX93" s="9"/>
      <c r="DY93" s="9"/>
      <c r="DZ93" s="9"/>
      <c r="EA93" s="9"/>
      <c r="EB93" s="9"/>
      <c r="EC93" s="9"/>
      <c r="ED93" s="9"/>
      <c r="EE93" s="9"/>
      <c r="EF93" s="9"/>
      <c r="EG93" s="9"/>
      <c r="EH93" s="9"/>
      <c r="EI93" s="9"/>
      <c r="EJ93" s="9"/>
      <c r="EK93" s="9"/>
      <c r="EL93" s="9"/>
      <c r="EM93" s="9"/>
      <c r="EN93" s="9"/>
      <c r="EO93" s="9"/>
      <c r="EP93" s="9"/>
      <c r="EQ93" s="9"/>
      <c r="ER93" s="9"/>
      <c r="ES93" s="9"/>
      <c r="ET93" s="9"/>
      <c r="EU93" s="10"/>
      <c r="EV93" s="9"/>
      <c r="EW93" s="9"/>
      <c r="EX93" s="9"/>
      <c r="EY93" s="9"/>
      <c r="EZ93" s="9"/>
      <c r="FA93" s="9"/>
      <c r="FB93" s="9"/>
      <c r="FC93" s="9"/>
      <c r="FD93" s="9"/>
      <c r="FE93" s="9"/>
      <c r="FF93" s="9"/>
      <c r="FG93" s="9"/>
      <c r="FH93" s="9"/>
      <c r="FI93" s="9"/>
      <c r="FJ93" s="9"/>
      <c r="FK93" s="9"/>
      <c r="FL93" s="9"/>
      <c r="FM93" s="9"/>
      <c r="FN93" s="9"/>
      <c r="FO93" s="9"/>
      <c r="FP93" s="9"/>
      <c r="FQ93" s="9"/>
      <c r="FR93" s="9"/>
      <c r="FS93" s="9"/>
      <c r="FT93" s="9"/>
      <c r="FU93" s="9"/>
      <c r="FV93" s="9"/>
      <c r="FW93" s="10"/>
      <c r="FX93" s="9"/>
      <c r="FY93" s="9"/>
      <c r="FZ93" s="9"/>
      <c r="GA93" s="9"/>
      <c r="GB93" s="9"/>
      <c r="GC93" s="9"/>
      <c r="GD93" s="9"/>
      <c r="GE93" s="9"/>
      <c r="GF93" s="9"/>
      <c r="GG93" s="9"/>
      <c r="GH93" s="9"/>
      <c r="GI93" s="9"/>
      <c r="GJ93" s="9"/>
      <c r="GK93" s="9"/>
      <c r="GL93" s="9"/>
      <c r="GM93" s="9"/>
      <c r="GN93" s="9"/>
      <c r="GO93" s="9"/>
      <c r="GP93" s="9"/>
      <c r="GQ93" s="9"/>
      <c r="GR93" s="9"/>
      <c r="GS93" s="9"/>
      <c r="GT93" s="9"/>
      <c r="GU93" s="9"/>
      <c r="GV93" s="9"/>
      <c r="GW93" s="9"/>
      <c r="GX93" s="9"/>
      <c r="GY93" s="10"/>
      <c r="GZ93" s="9"/>
      <c r="HA93" s="9"/>
    </row>
    <row r="94" spans="1:209" s="2" customFormat="1" ht="17" customHeight="1">
      <c r="A94" s="14" t="s">
        <v>93</v>
      </c>
      <c r="B94" s="35">
        <v>0</v>
      </c>
      <c r="C94" s="35">
        <v>0</v>
      </c>
      <c r="D94" s="4">
        <f t="shared" si="27"/>
        <v>0</v>
      </c>
      <c r="E94" s="11">
        <v>0</v>
      </c>
      <c r="F94" s="5" t="s">
        <v>362</v>
      </c>
      <c r="G94" s="5" t="s">
        <v>362</v>
      </c>
      <c r="H94" s="5" t="s">
        <v>362</v>
      </c>
      <c r="I94" s="5" t="s">
        <v>362</v>
      </c>
      <c r="J94" s="5" t="s">
        <v>362</v>
      </c>
      <c r="K94" s="5" t="s">
        <v>362</v>
      </c>
      <c r="L94" s="5" t="s">
        <v>362</v>
      </c>
      <c r="M94" s="5" t="s">
        <v>362</v>
      </c>
      <c r="N94" s="35">
        <v>371.3</v>
      </c>
      <c r="O94" s="35">
        <v>159.69999999999999</v>
      </c>
      <c r="P94" s="4">
        <f t="shared" si="28"/>
        <v>0.4301104228386749</v>
      </c>
      <c r="Q94" s="11">
        <v>20</v>
      </c>
      <c r="R94" s="35">
        <v>1.3</v>
      </c>
      <c r="S94" s="35">
        <v>37.6</v>
      </c>
      <c r="T94" s="4">
        <f t="shared" si="29"/>
        <v>1.3</v>
      </c>
      <c r="U94" s="11">
        <v>20</v>
      </c>
      <c r="V94" s="35">
        <v>1.3</v>
      </c>
      <c r="W94" s="35">
        <v>4.2</v>
      </c>
      <c r="X94" s="4">
        <f t="shared" si="30"/>
        <v>1.3</v>
      </c>
      <c r="Y94" s="11">
        <v>30</v>
      </c>
      <c r="Z94" s="35">
        <v>30542</v>
      </c>
      <c r="AA94" s="35">
        <v>28300</v>
      </c>
      <c r="AB94" s="4">
        <f t="shared" si="31"/>
        <v>0.92659288848143539</v>
      </c>
      <c r="AC94" s="11">
        <v>5</v>
      </c>
      <c r="AD94" s="11">
        <v>101</v>
      </c>
      <c r="AE94" s="11">
        <v>101</v>
      </c>
      <c r="AF94" s="4">
        <f t="shared" si="32"/>
        <v>1</v>
      </c>
      <c r="AG94" s="11">
        <v>20</v>
      </c>
      <c r="AH94" s="5" t="s">
        <v>362</v>
      </c>
      <c r="AI94" s="5" t="s">
        <v>362</v>
      </c>
      <c r="AJ94" s="5" t="s">
        <v>362</v>
      </c>
      <c r="AK94" s="5" t="s">
        <v>362</v>
      </c>
      <c r="AL94" s="5" t="s">
        <v>362</v>
      </c>
      <c r="AM94" s="5" t="s">
        <v>362</v>
      </c>
      <c r="AN94" s="5" t="s">
        <v>362</v>
      </c>
      <c r="AO94" s="5" t="s">
        <v>362</v>
      </c>
      <c r="AP94" s="44">
        <f t="shared" si="40"/>
        <v>1.0340544515703227</v>
      </c>
      <c r="AQ94" s="45">
        <v>553</v>
      </c>
      <c r="AR94" s="35">
        <f t="shared" si="41"/>
        <v>150.81818181818181</v>
      </c>
      <c r="AS94" s="35">
        <f t="shared" si="33"/>
        <v>156</v>
      </c>
      <c r="AT94" s="35">
        <f t="shared" si="34"/>
        <v>5.181818181818187</v>
      </c>
      <c r="AU94" s="35">
        <v>47.9</v>
      </c>
      <c r="AV94" s="35">
        <v>46.1</v>
      </c>
      <c r="AW94" s="35">
        <f t="shared" si="35"/>
        <v>62</v>
      </c>
      <c r="AX94" s="35"/>
      <c r="AY94" s="35">
        <f t="shared" si="36"/>
        <v>62</v>
      </c>
      <c r="AZ94" s="35">
        <v>0</v>
      </c>
      <c r="BA94" s="35">
        <f t="shared" si="37"/>
        <v>62</v>
      </c>
      <c r="BB94" s="35">
        <f>MIN(BA94,9.1)</f>
        <v>9.1</v>
      </c>
      <c r="BC94" s="35">
        <f t="shared" si="38"/>
        <v>52.9</v>
      </c>
      <c r="BD94" s="35">
        <v>53.8</v>
      </c>
      <c r="BE94" s="35">
        <f t="shared" si="39"/>
        <v>-0.9</v>
      </c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9"/>
      <c r="BU94" s="9"/>
      <c r="BV94" s="9"/>
      <c r="BW94" s="9"/>
      <c r="BX94" s="9"/>
      <c r="BY94" s="9"/>
      <c r="BZ94" s="9"/>
      <c r="CA94" s="9"/>
      <c r="CB94" s="9"/>
      <c r="CC94" s="9"/>
      <c r="CD94" s="9"/>
      <c r="CE94" s="9"/>
      <c r="CF94" s="9"/>
      <c r="CG94" s="9"/>
      <c r="CH94" s="9"/>
      <c r="CI94" s="9"/>
      <c r="CJ94" s="9"/>
      <c r="CK94" s="9"/>
      <c r="CL94" s="9"/>
      <c r="CM94" s="9"/>
      <c r="CN94" s="9"/>
      <c r="CO94" s="9"/>
      <c r="CP94" s="9"/>
      <c r="CQ94" s="10"/>
      <c r="CR94" s="9"/>
      <c r="CS94" s="9"/>
      <c r="CT94" s="9"/>
      <c r="CU94" s="9"/>
      <c r="CV94" s="9"/>
      <c r="CW94" s="9"/>
      <c r="CX94" s="9"/>
      <c r="CY94" s="9"/>
      <c r="CZ94" s="9"/>
      <c r="DA94" s="9"/>
      <c r="DB94" s="9"/>
      <c r="DC94" s="9"/>
      <c r="DD94" s="9"/>
      <c r="DE94" s="9"/>
      <c r="DF94" s="9"/>
      <c r="DG94" s="9"/>
      <c r="DH94" s="9"/>
      <c r="DI94" s="9"/>
      <c r="DJ94" s="9"/>
      <c r="DK94" s="9"/>
      <c r="DL94" s="9"/>
      <c r="DM94" s="9"/>
      <c r="DN94" s="9"/>
      <c r="DO94" s="9"/>
      <c r="DP94" s="9"/>
      <c r="DQ94" s="9"/>
      <c r="DR94" s="9"/>
      <c r="DS94" s="10"/>
      <c r="DT94" s="9"/>
      <c r="DU94" s="9"/>
      <c r="DV94" s="9"/>
      <c r="DW94" s="9"/>
      <c r="DX94" s="9"/>
      <c r="DY94" s="9"/>
      <c r="DZ94" s="9"/>
      <c r="EA94" s="9"/>
      <c r="EB94" s="9"/>
      <c r="EC94" s="9"/>
      <c r="ED94" s="9"/>
      <c r="EE94" s="9"/>
      <c r="EF94" s="9"/>
      <c r="EG94" s="9"/>
      <c r="EH94" s="9"/>
      <c r="EI94" s="9"/>
      <c r="EJ94" s="9"/>
      <c r="EK94" s="9"/>
      <c r="EL94" s="9"/>
      <c r="EM94" s="9"/>
      <c r="EN94" s="9"/>
      <c r="EO94" s="9"/>
      <c r="EP94" s="9"/>
      <c r="EQ94" s="9"/>
      <c r="ER94" s="9"/>
      <c r="ES94" s="9"/>
      <c r="ET94" s="9"/>
      <c r="EU94" s="10"/>
      <c r="EV94" s="9"/>
      <c r="EW94" s="9"/>
      <c r="EX94" s="9"/>
      <c r="EY94" s="9"/>
      <c r="EZ94" s="9"/>
      <c r="FA94" s="9"/>
      <c r="FB94" s="9"/>
      <c r="FC94" s="9"/>
      <c r="FD94" s="9"/>
      <c r="FE94" s="9"/>
      <c r="FF94" s="9"/>
      <c r="FG94" s="9"/>
      <c r="FH94" s="9"/>
      <c r="FI94" s="9"/>
      <c r="FJ94" s="9"/>
      <c r="FK94" s="9"/>
      <c r="FL94" s="9"/>
      <c r="FM94" s="9"/>
      <c r="FN94" s="9"/>
      <c r="FO94" s="9"/>
      <c r="FP94" s="9"/>
      <c r="FQ94" s="9"/>
      <c r="FR94" s="9"/>
      <c r="FS94" s="9"/>
      <c r="FT94" s="9"/>
      <c r="FU94" s="9"/>
      <c r="FV94" s="9"/>
      <c r="FW94" s="10"/>
      <c r="FX94" s="9"/>
      <c r="FY94" s="9"/>
      <c r="FZ94" s="9"/>
      <c r="GA94" s="9"/>
      <c r="GB94" s="9"/>
      <c r="GC94" s="9"/>
      <c r="GD94" s="9"/>
      <c r="GE94" s="9"/>
      <c r="GF94" s="9"/>
      <c r="GG94" s="9"/>
      <c r="GH94" s="9"/>
      <c r="GI94" s="9"/>
      <c r="GJ94" s="9"/>
      <c r="GK94" s="9"/>
      <c r="GL94" s="9"/>
      <c r="GM94" s="9"/>
      <c r="GN94" s="9"/>
      <c r="GO94" s="9"/>
      <c r="GP94" s="9"/>
      <c r="GQ94" s="9"/>
      <c r="GR94" s="9"/>
      <c r="GS94" s="9"/>
      <c r="GT94" s="9"/>
      <c r="GU94" s="9"/>
      <c r="GV94" s="9"/>
      <c r="GW94" s="9"/>
      <c r="GX94" s="9"/>
      <c r="GY94" s="10"/>
      <c r="GZ94" s="9"/>
      <c r="HA94" s="9"/>
    </row>
    <row r="95" spans="1:209" s="2" customFormat="1" ht="17" customHeight="1">
      <c r="A95" s="14" t="s">
        <v>94</v>
      </c>
      <c r="B95" s="35">
        <v>646</v>
      </c>
      <c r="C95" s="35">
        <v>790</v>
      </c>
      <c r="D95" s="4">
        <f t="shared" si="27"/>
        <v>1.2022910216718266</v>
      </c>
      <c r="E95" s="11">
        <v>10</v>
      </c>
      <c r="F95" s="5" t="s">
        <v>362</v>
      </c>
      <c r="G95" s="5" t="s">
        <v>362</v>
      </c>
      <c r="H95" s="5" t="s">
        <v>362</v>
      </c>
      <c r="I95" s="5" t="s">
        <v>362</v>
      </c>
      <c r="J95" s="5" t="s">
        <v>362</v>
      </c>
      <c r="K95" s="5" t="s">
        <v>362</v>
      </c>
      <c r="L95" s="5" t="s">
        <v>362</v>
      </c>
      <c r="M95" s="5" t="s">
        <v>362</v>
      </c>
      <c r="N95" s="35">
        <v>805</v>
      </c>
      <c r="O95" s="35">
        <v>721.5</v>
      </c>
      <c r="P95" s="4">
        <f t="shared" si="28"/>
        <v>0.89627329192546579</v>
      </c>
      <c r="Q95" s="11">
        <v>20</v>
      </c>
      <c r="R95" s="35">
        <v>100.7</v>
      </c>
      <c r="S95" s="35">
        <v>119.3</v>
      </c>
      <c r="T95" s="4">
        <f t="shared" si="29"/>
        <v>1.1847070506454815</v>
      </c>
      <c r="U95" s="11">
        <v>25</v>
      </c>
      <c r="V95" s="35">
        <v>7</v>
      </c>
      <c r="W95" s="35">
        <v>8.3000000000000007</v>
      </c>
      <c r="X95" s="4">
        <f t="shared" si="30"/>
        <v>1.1857142857142857</v>
      </c>
      <c r="Y95" s="11">
        <v>25</v>
      </c>
      <c r="Z95" s="35">
        <v>2120</v>
      </c>
      <c r="AA95" s="35">
        <v>1824</v>
      </c>
      <c r="AB95" s="4">
        <f t="shared" si="31"/>
        <v>0.86037735849056607</v>
      </c>
      <c r="AC95" s="11">
        <v>5</v>
      </c>
      <c r="AD95" s="11">
        <v>388</v>
      </c>
      <c r="AE95" s="11">
        <v>388</v>
      </c>
      <c r="AF95" s="4">
        <f t="shared" si="32"/>
        <v>1</v>
      </c>
      <c r="AG95" s="11">
        <v>20</v>
      </c>
      <c r="AH95" s="5" t="s">
        <v>362</v>
      </c>
      <c r="AI95" s="5" t="s">
        <v>362</v>
      </c>
      <c r="AJ95" s="5" t="s">
        <v>362</v>
      </c>
      <c r="AK95" s="5" t="s">
        <v>362</v>
      </c>
      <c r="AL95" s="5" t="s">
        <v>362</v>
      </c>
      <c r="AM95" s="5" t="s">
        <v>362</v>
      </c>
      <c r="AN95" s="5" t="s">
        <v>362</v>
      </c>
      <c r="AO95" s="5" t="s">
        <v>362</v>
      </c>
      <c r="AP95" s="44">
        <f t="shared" si="40"/>
        <v>1.0810552024445199</v>
      </c>
      <c r="AQ95" s="45">
        <v>1261</v>
      </c>
      <c r="AR95" s="35">
        <f t="shared" si="41"/>
        <v>343.90909090909093</v>
      </c>
      <c r="AS95" s="35">
        <f t="shared" si="33"/>
        <v>371.8</v>
      </c>
      <c r="AT95" s="35">
        <f t="shared" si="34"/>
        <v>27.890909090909076</v>
      </c>
      <c r="AU95" s="35">
        <v>102.2</v>
      </c>
      <c r="AV95" s="35">
        <v>126.1</v>
      </c>
      <c r="AW95" s="35">
        <f t="shared" si="35"/>
        <v>143.5</v>
      </c>
      <c r="AX95" s="35"/>
      <c r="AY95" s="35">
        <f t="shared" si="36"/>
        <v>143.5</v>
      </c>
      <c r="AZ95" s="35">
        <v>0</v>
      </c>
      <c r="BA95" s="35">
        <f t="shared" si="37"/>
        <v>143.5</v>
      </c>
      <c r="BB95" s="35"/>
      <c r="BC95" s="35">
        <f t="shared" si="38"/>
        <v>143.5</v>
      </c>
      <c r="BD95" s="35">
        <v>147.30000000000001</v>
      </c>
      <c r="BE95" s="35">
        <f t="shared" si="39"/>
        <v>-3.8</v>
      </c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9"/>
      <c r="BU95" s="9"/>
      <c r="BV95" s="9"/>
      <c r="BW95" s="9"/>
      <c r="BX95" s="9"/>
      <c r="BY95" s="9"/>
      <c r="BZ95" s="9"/>
      <c r="CA95" s="9"/>
      <c r="CB95" s="9"/>
      <c r="CC95" s="9"/>
      <c r="CD95" s="9"/>
      <c r="CE95" s="9"/>
      <c r="CF95" s="9"/>
      <c r="CG95" s="9"/>
      <c r="CH95" s="9"/>
      <c r="CI95" s="9"/>
      <c r="CJ95" s="9"/>
      <c r="CK95" s="9"/>
      <c r="CL95" s="9"/>
      <c r="CM95" s="9"/>
      <c r="CN95" s="9"/>
      <c r="CO95" s="9"/>
      <c r="CP95" s="9"/>
      <c r="CQ95" s="10"/>
      <c r="CR95" s="9"/>
      <c r="CS95" s="9"/>
      <c r="CT95" s="9"/>
      <c r="CU95" s="9"/>
      <c r="CV95" s="9"/>
      <c r="CW95" s="9"/>
      <c r="CX95" s="9"/>
      <c r="CY95" s="9"/>
      <c r="CZ95" s="9"/>
      <c r="DA95" s="9"/>
      <c r="DB95" s="9"/>
      <c r="DC95" s="9"/>
      <c r="DD95" s="9"/>
      <c r="DE95" s="9"/>
      <c r="DF95" s="9"/>
      <c r="DG95" s="9"/>
      <c r="DH95" s="9"/>
      <c r="DI95" s="9"/>
      <c r="DJ95" s="9"/>
      <c r="DK95" s="9"/>
      <c r="DL95" s="9"/>
      <c r="DM95" s="9"/>
      <c r="DN95" s="9"/>
      <c r="DO95" s="9"/>
      <c r="DP95" s="9"/>
      <c r="DQ95" s="9"/>
      <c r="DR95" s="9"/>
      <c r="DS95" s="10"/>
      <c r="DT95" s="9"/>
      <c r="DU95" s="9"/>
      <c r="DV95" s="9"/>
      <c r="DW95" s="9"/>
      <c r="DX95" s="9"/>
      <c r="DY95" s="9"/>
      <c r="DZ95" s="9"/>
      <c r="EA95" s="9"/>
      <c r="EB95" s="9"/>
      <c r="EC95" s="9"/>
      <c r="ED95" s="9"/>
      <c r="EE95" s="9"/>
      <c r="EF95" s="9"/>
      <c r="EG95" s="9"/>
      <c r="EH95" s="9"/>
      <c r="EI95" s="9"/>
      <c r="EJ95" s="9"/>
      <c r="EK95" s="9"/>
      <c r="EL95" s="9"/>
      <c r="EM95" s="9"/>
      <c r="EN95" s="9"/>
      <c r="EO95" s="9"/>
      <c r="EP95" s="9"/>
      <c r="EQ95" s="9"/>
      <c r="ER95" s="9"/>
      <c r="ES95" s="9"/>
      <c r="ET95" s="9"/>
      <c r="EU95" s="10"/>
      <c r="EV95" s="9"/>
      <c r="EW95" s="9"/>
      <c r="EX95" s="9"/>
      <c r="EY95" s="9"/>
      <c r="EZ95" s="9"/>
      <c r="FA95" s="9"/>
      <c r="FB95" s="9"/>
      <c r="FC95" s="9"/>
      <c r="FD95" s="9"/>
      <c r="FE95" s="9"/>
      <c r="FF95" s="9"/>
      <c r="FG95" s="9"/>
      <c r="FH95" s="9"/>
      <c r="FI95" s="9"/>
      <c r="FJ95" s="9"/>
      <c r="FK95" s="9"/>
      <c r="FL95" s="9"/>
      <c r="FM95" s="9"/>
      <c r="FN95" s="9"/>
      <c r="FO95" s="9"/>
      <c r="FP95" s="9"/>
      <c r="FQ95" s="9"/>
      <c r="FR95" s="9"/>
      <c r="FS95" s="9"/>
      <c r="FT95" s="9"/>
      <c r="FU95" s="9"/>
      <c r="FV95" s="9"/>
      <c r="FW95" s="10"/>
      <c r="FX95" s="9"/>
      <c r="FY95" s="9"/>
      <c r="FZ95" s="9"/>
      <c r="GA95" s="9"/>
      <c r="GB95" s="9"/>
      <c r="GC95" s="9"/>
      <c r="GD95" s="9"/>
      <c r="GE95" s="9"/>
      <c r="GF95" s="9"/>
      <c r="GG95" s="9"/>
      <c r="GH95" s="9"/>
      <c r="GI95" s="9"/>
      <c r="GJ95" s="9"/>
      <c r="GK95" s="9"/>
      <c r="GL95" s="9"/>
      <c r="GM95" s="9"/>
      <c r="GN95" s="9"/>
      <c r="GO95" s="9"/>
      <c r="GP95" s="9"/>
      <c r="GQ95" s="9"/>
      <c r="GR95" s="9"/>
      <c r="GS95" s="9"/>
      <c r="GT95" s="9"/>
      <c r="GU95" s="9"/>
      <c r="GV95" s="9"/>
      <c r="GW95" s="9"/>
      <c r="GX95" s="9"/>
      <c r="GY95" s="10"/>
      <c r="GZ95" s="9"/>
      <c r="HA95" s="9"/>
    </row>
    <row r="96" spans="1:209" s="2" customFormat="1" ht="17" customHeight="1">
      <c r="A96" s="14" t="s">
        <v>95</v>
      </c>
      <c r="B96" s="35">
        <v>0</v>
      </c>
      <c r="C96" s="35">
        <v>0</v>
      </c>
      <c r="D96" s="4">
        <f t="shared" si="27"/>
        <v>0</v>
      </c>
      <c r="E96" s="11">
        <v>0</v>
      </c>
      <c r="F96" s="5" t="s">
        <v>362</v>
      </c>
      <c r="G96" s="5" t="s">
        <v>362</v>
      </c>
      <c r="H96" s="5" t="s">
        <v>362</v>
      </c>
      <c r="I96" s="5" t="s">
        <v>362</v>
      </c>
      <c r="J96" s="5" t="s">
        <v>362</v>
      </c>
      <c r="K96" s="5" t="s">
        <v>362</v>
      </c>
      <c r="L96" s="5" t="s">
        <v>362</v>
      </c>
      <c r="M96" s="5" t="s">
        <v>362</v>
      </c>
      <c r="N96" s="35">
        <v>251.5</v>
      </c>
      <c r="O96" s="35">
        <v>311.10000000000002</v>
      </c>
      <c r="P96" s="4">
        <f t="shared" si="28"/>
        <v>1.2036978131212723</v>
      </c>
      <c r="Q96" s="11">
        <v>20</v>
      </c>
      <c r="R96" s="35">
        <v>98.5</v>
      </c>
      <c r="S96" s="35">
        <v>114.7</v>
      </c>
      <c r="T96" s="4">
        <f t="shared" si="29"/>
        <v>1.1644670050761421</v>
      </c>
      <c r="U96" s="11">
        <v>25</v>
      </c>
      <c r="V96" s="35">
        <v>10.1</v>
      </c>
      <c r="W96" s="35">
        <v>11.4</v>
      </c>
      <c r="X96" s="4">
        <f t="shared" si="30"/>
        <v>1.1287128712871288</v>
      </c>
      <c r="Y96" s="11">
        <v>25</v>
      </c>
      <c r="Z96" s="35">
        <v>2069</v>
      </c>
      <c r="AA96" s="35">
        <v>1986</v>
      </c>
      <c r="AB96" s="4">
        <f t="shared" si="31"/>
        <v>0.95988400193330115</v>
      </c>
      <c r="AC96" s="11">
        <v>5</v>
      </c>
      <c r="AD96" s="11">
        <v>170</v>
      </c>
      <c r="AE96" s="11">
        <v>170</v>
      </c>
      <c r="AF96" s="4">
        <f t="shared" si="32"/>
        <v>1</v>
      </c>
      <c r="AG96" s="11">
        <v>20</v>
      </c>
      <c r="AH96" s="5" t="s">
        <v>362</v>
      </c>
      <c r="AI96" s="5" t="s">
        <v>362</v>
      </c>
      <c r="AJ96" s="5" t="s">
        <v>362</v>
      </c>
      <c r="AK96" s="5" t="s">
        <v>362</v>
      </c>
      <c r="AL96" s="5" t="s">
        <v>362</v>
      </c>
      <c r="AM96" s="5" t="s">
        <v>362</v>
      </c>
      <c r="AN96" s="5" t="s">
        <v>362</v>
      </c>
      <c r="AO96" s="5" t="s">
        <v>362</v>
      </c>
      <c r="AP96" s="44">
        <f t="shared" si="40"/>
        <v>1.1179249808544602</v>
      </c>
      <c r="AQ96" s="45">
        <v>686</v>
      </c>
      <c r="AR96" s="35">
        <f t="shared" si="41"/>
        <v>187.09090909090909</v>
      </c>
      <c r="AS96" s="35">
        <f t="shared" si="33"/>
        <v>209.2</v>
      </c>
      <c r="AT96" s="35">
        <f t="shared" si="34"/>
        <v>22.109090909090895</v>
      </c>
      <c r="AU96" s="35">
        <v>66.5</v>
      </c>
      <c r="AV96" s="35">
        <v>57.9</v>
      </c>
      <c r="AW96" s="35">
        <f t="shared" si="35"/>
        <v>84.8</v>
      </c>
      <c r="AX96" s="35"/>
      <c r="AY96" s="35">
        <f t="shared" si="36"/>
        <v>84.8</v>
      </c>
      <c r="AZ96" s="35">
        <v>0</v>
      </c>
      <c r="BA96" s="35">
        <f t="shared" si="37"/>
        <v>84.8</v>
      </c>
      <c r="BB96" s="35">
        <f>MIN(BA96,17.4)</f>
        <v>17.399999999999999</v>
      </c>
      <c r="BC96" s="35">
        <f t="shared" si="38"/>
        <v>67.400000000000006</v>
      </c>
      <c r="BD96" s="35">
        <v>69</v>
      </c>
      <c r="BE96" s="35">
        <f t="shared" si="39"/>
        <v>-1.6</v>
      </c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9"/>
      <c r="BU96" s="9"/>
      <c r="BV96" s="9"/>
      <c r="BW96" s="9"/>
      <c r="BX96" s="9"/>
      <c r="BY96" s="9"/>
      <c r="BZ96" s="9"/>
      <c r="CA96" s="9"/>
      <c r="CB96" s="9"/>
      <c r="CC96" s="9"/>
      <c r="CD96" s="9"/>
      <c r="CE96" s="9"/>
      <c r="CF96" s="9"/>
      <c r="CG96" s="9"/>
      <c r="CH96" s="9"/>
      <c r="CI96" s="9"/>
      <c r="CJ96" s="9"/>
      <c r="CK96" s="9"/>
      <c r="CL96" s="9"/>
      <c r="CM96" s="9"/>
      <c r="CN96" s="9"/>
      <c r="CO96" s="9"/>
      <c r="CP96" s="9"/>
      <c r="CQ96" s="10"/>
      <c r="CR96" s="9"/>
      <c r="CS96" s="9"/>
      <c r="CT96" s="9"/>
      <c r="CU96" s="9"/>
      <c r="CV96" s="9"/>
      <c r="CW96" s="9"/>
      <c r="CX96" s="9"/>
      <c r="CY96" s="9"/>
      <c r="CZ96" s="9"/>
      <c r="DA96" s="9"/>
      <c r="DB96" s="9"/>
      <c r="DC96" s="9"/>
      <c r="DD96" s="9"/>
      <c r="DE96" s="9"/>
      <c r="DF96" s="9"/>
      <c r="DG96" s="9"/>
      <c r="DH96" s="9"/>
      <c r="DI96" s="9"/>
      <c r="DJ96" s="9"/>
      <c r="DK96" s="9"/>
      <c r="DL96" s="9"/>
      <c r="DM96" s="9"/>
      <c r="DN96" s="9"/>
      <c r="DO96" s="9"/>
      <c r="DP96" s="9"/>
      <c r="DQ96" s="9"/>
      <c r="DR96" s="9"/>
      <c r="DS96" s="10"/>
      <c r="DT96" s="9"/>
      <c r="DU96" s="9"/>
      <c r="DV96" s="9"/>
      <c r="DW96" s="9"/>
      <c r="DX96" s="9"/>
      <c r="DY96" s="9"/>
      <c r="DZ96" s="9"/>
      <c r="EA96" s="9"/>
      <c r="EB96" s="9"/>
      <c r="EC96" s="9"/>
      <c r="ED96" s="9"/>
      <c r="EE96" s="9"/>
      <c r="EF96" s="9"/>
      <c r="EG96" s="9"/>
      <c r="EH96" s="9"/>
      <c r="EI96" s="9"/>
      <c r="EJ96" s="9"/>
      <c r="EK96" s="9"/>
      <c r="EL96" s="9"/>
      <c r="EM96" s="9"/>
      <c r="EN96" s="9"/>
      <c r="EO96" s="9"/>
      <c r="EP96" s="9"/>
      <c r="EQ96" s="9"/>
      <c r="ER96" s="9"/>
      <c r="ES96" s="9"/>
      <c r="ET96" s="9"/>
      <c r="EU96" s="10"/>
      <c r="EV96" s="9"/>
      <c r="EW96" s="9"/>
      <c r="EX96" s="9"/>
      <c r="EY96" s="9"/>
      <c r="EZ96" s="9"/>
      <c r="FA96" s="9"/>
      <c r="FB96" s="9"/>
      <c r="FC96" s="9"/>
      <c r="FD96" s="9"/>
      <c r="FE96" s="9"/>
      <c r="FF96" s="9"/>
      <c r="FG96" s="9"/>
      <c r="FH96" s="9"/>
      <c r="FI96" s="9"/>
      <c r="FJ96" s="9"/>
      <c r="FK96" s="9"/>
      <c r="FL96" s="9"/>
      <c r="FM96" s="9"/>
      <c r="FN96" s="9"/>
      <c r="FO96" s="9"/>
      <c r="FP96" s="9"/>
      <c r="FQ96" s="9"/>
      <c r="FR96" s="9"/>
      <c r="FS96" s="9"/>
      <c r="FT96" s="9"/>
      <c r="FU96" s="9"/>
      <c r="FV96" s="9"/>
      <c r="FW96" s="10"/>
      <c r="FX96" s="9"/>
      <c r="FY96" s="9"/>
      <c r="FZ96" s="9"/>
      <c r="GA96" s="9"/>
      <c r="GB96" s="9"/>
      <c r="GC96" s="9"/>
      <c r="GD96" s="9"/>
      <c r="GE96" s="9"/>
      <c r="GF96" s="9"/>
      <c r="GG96" s="9"/>
      <c r="GH96" s="9"/>
      <c r="GI96" s="9"/>
      <c r="GJ96" s="9"/>
      <c r="GK96" s="9"/>
      <c r="GL96" s="9"/>
      <c r="GM96" s="9"/>
      <c r="GN96" s="9"/>
      <c r="GO96" s="9"/>
      <c r="GP96" s="9"/>
      <c r="GQ96" s="9"/>
      <c r="GR96" s="9"/>
      <c r="GS96" s="9"/>
      <c r="GT96" s="9"/>
      <c r="GU96" s="9"/>
      <c r="GV96" s="9"/>
      <c r="GW96" s="9"/>
      <c r="GX96" s="9"/>
      <c r="GY96" s="10"/>
      <c r="GZ96" s="9"/>
      <c r="HA96" s="9"/>
    </row>
    <row r="97" spans="1:209" s="2" customFormat="1" ht="17" customHeight="1">
      <c r="A97" s="14" t="s">
        <v>96</v>
      </c>
      <c r="B97" s="35">
        <v>4575</v>
      </c>
      <c r="C97" s="35">
        <v>4257</v>
      </c>
      <c r="D97" s="4">
        <f t="shared" si="27"/>
        <v>0.93049180327868852</v>
      </c>
      <c r="E97" s="11">
        <v>10</v>
      </c>
      <c r="F97" s="5" t="s">
        <v>362</v>
      </c>
      <c r="G97" s="5" t="s">
        <v>362</v>
      </c>
      <c r="H97" s="5" t="s">
        <v>362</v>
      </c>
      <c r="I97" s="5" t="s">
        <v>362</v>
      </c>
      <c r="J97" s="5" t="s">
        <v>362</v>
      </c>
      <c r="K97" s="5" t="s">
        <v>362</v>
      </c>
      <c r="L97" s="5" t="s">
        <v>362</v>
      </c>
      <c r="M97" s="5" t="s">
        <v>362</v>
      </c>
      <c r="N97" s="35">
        <v>258.39999999999998</v>
      </c>
      <c r="O97" s="35">
        <v>256.89999999999998</v>
      </c>
      <c r="P97" s="4">
        <f t="shared" si="28"/>
        <v>0.99419504643962853</v>
      </c>
      <c r="Q97" s="11">
        <v>20</v>
      </c>
      <c r="R97" s="35">
        <v>6.3</v>
      </c>
      <c r="S97" s="35">
        <v>7.3</v>
      </c>
      <c r="T97" s="4">
        <f t="shared" si="29"/>
        <v>1.1587301587301588</v>
      </c>
      <c r="U97" s="11">
        <v>20</v>
      </c>
      <c r="V97" s="35">
        <v>2.5</v>
      </c>
      <c r="W97" s="35">
        <v>2.9</v>
      </c>
      <c r="X97" s="4">
        <f t="shared" si="30"/>
        <v>1.1599999999999999</v>
      </c>
      <c r="Y97" s="11">
        <v>30</v>
      </c>
      <c r="Z97" s="35">
        <v>5655</v>
      </c>
      <c r="AA97" s="35">
        <v>1576</v>
      </c>
      <c r="AB97" s="4">
        <f t="shared" si="31"/>
        <v>0.27869142351900972</v>
      </c>
      <c r="AC97" s="11">
        <v>5</v>
      </c>
      <c r="AD97" s="11">
        <v>25</v>
      </c>
      <c r="AE97" s="11">
        <v>25</v>
      </c>
      <c r="AF97" s="4">
        <f t="shared" si="32"/>
        <v>1</v>
      </c>
      <c r="AG97" s="11">
        <v>20</v>
      </c>
      <c r="AH97" s="5" t="s">
        <v>362</v>
      </c>
      <c r="AI97" s="5" t="s">
        <v>362</v>
      </c>
      <c r="AJ97" s="5" t="s">
        <v>362</v>
      </c>
      <c r="AK97" s="5" t="s">
        <v>362</v>
      </c>
      <c r="AL97" s="5" t="s">
        <v>362</v>
      </c>
      <c r="AM97" s="5" t="s">
        <v>362</v>
      </c>
      <c r="AN97" s="5" t="s">
        <v>362</v>
      </c>
      <c r="AO97" s="5" t="s">
        <v>362</v>
      </c>
      <c r="AP97" s="44">
        <f t="shared" si="40"/>
        <v>1.0338750405121684</v>
      </c>
      <c r="AQ97" s="45">
        <v>1000</v>
      </c>
      <c r="AR97" s="35">
        <f t="shared" si="41"/>
        <v>272.72727272727275</v>
      </c>
      <c r="AS97" s="35">
        <f t="shared" si="33"/>
        <v>282</v>
      </c>
      <c r="AT97" s="35">
        <f t="shared" si="34"/>
        <v>9.2727272727272521</v>
      </c>
      <c r="AU97" s="35">
        <v>92.8</v>
      </c>
      <c r="AV97" s="35">
        <v>104.4</v>
      </c>
      <c r="AW97" s="35">
        <f t="shared" si="35"/>
        <v>84.8</v>
      </c>
      <c r="AX97" s="35"/>
      <c r="AY97" s="35">
        <f t="shared" si="36"/>
        <v>84.8</v>
      </c>
      <c r="AZ97" s="35">
        <v>0</v>
      </c>
      <c r="BA97" s="35">
        <f t="shared" si="37"/>
        <v>84.8</v>
      </c>
      <c r="BB97" s="35">
        <f>MIN(BA97,45.5)</f>
        <v>45.5</v>
      </c>
      <c r="BC97" s="35">
        <f t="shared" si="38"/>
        <v>39.299999999999997</v>
      </c>
      <c r="BD97" s="35">
        <v>49.6</v>
      </c>
      <c r="BE97" s="35">
        <f t="shared" si="39"/>
        <v>-10.3</v>
      </c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9"/>
      <c r="BU97" s="9"/>
      <c r="BV97" s="9"/>
      <c r="BW97" s="9"/>
      <c r="BX97" s="9"/>
      <c r="BY97" s="9"/>
      <c r="BZ97" s="9"/>
      <c r="CA97" s="9"/>
      <c r="CB97" s="9"/>
      <c r="CC97" s="9"/>
      <c r="CD97" s="9"/>
      <c r="CE97" s="9"/>
      <c r="CF97" s="9"/>
      <c r="CG97" s="9"/>
      <c r="CH97" s="9"/>
      <c r="CI97" s="9"/>
      <c r="CJ97" s="9"/>
      <c r="CK97" s="9"/>
      <c r="CL97" s="9"/>
      <c r="CM97" s="9"/>
      <c r="CN97" s="9"/>
      <c r="CO97" s="9"/>
      <c r="CP97" s="9"/>
      <c r="CQ97" s="10"/>
      <c r="CR97" s="9"/>
      <c r="CS97" s="9"/>
      <c r="CT97" s="9"/>
      <c r="CU97" s="9"/>
      <c r="CV97" s="9"/>
      <c r="CW97" s="9"/>
      <c r="CX97" s="9"/>
      <c r="CY97" s="9"/>
      <c r="CZ97" s="9"/>
      <c r="DA97" s="9"/>
      <c r="DB97" s="9"/>
      <c r="DC97" s="9"/>
      <c r="DD97" s="9"/>
      <c r="DE97" s="9"/>
      <c r="DF97" s="9"/>
      <c r="DG97" s="9"/>
      <c r="DH97" s="9"/>
      <c r="DI97" s="9"/>
      <c r="DJ97" s="9"/>
      <c r="DK97" s="9"/>
      <c r="DL97" s="9"/>
      <c r="DM97" s="9"/>
      <c r="DN97" s="9"/>
      <c r="DO97" s="9"/>
      <c r="DP97" s="9"/>
      <c r="DQ97" s="9"/>
      <c r="DR97" s="9"/>
      <c r="DS97" s="10"/>
      <c r="DT97" s="9"/>
      <c r="DU97" s="9"/>
      <c r="DV97" s="9"/>
      <c r="DW97" s="9"/>
      <c r="DX97" s="9"/>
      <c r="DY97" s="9"/>
      <c r="DZ97" s="9"/>
      <c r="EA97" s="9"/>
      <c r="EB97" s="9"/>
      <c r="EC97" s="9"/>
      <c r="ED97" s="9"/>
      <c r="EE97" s="9"/>
      <c r="EF97" s="9"/>
      <c r="EG97" s="9"/>
      <c r="EH97" s="9"/>
      <c r="EI97" s="9"/>
      <c r="EJ97" s="9"/>
      <c r="EK97" s="9"/>
      <c r="EL97" s="9"/>
      <c r="EM97" s="9"/>
      <c r="EN97" s="9"/>
      <c r="EO97" s="9"/>
      <c r="EP97" s="9"/>
      <c r="EQ97" s="9"/>
      <c r="ER97" s="9"/>
      <c r="ES97" s="9"/>
      <c r="ET97" s="9"/>
      <c r="EU97" s="10"/>
      <c r="EV97" s="9"/>
      <c r="EW97" s="9"/>
      <c r="EX97" s="9"/>
      <c r="EY97" s="9"/>
      <c r="EZ97" s="9"/>
      <c r="FA97" s="9"/>
      <c r="FB97" s="9"/>
      <c r="FC97" s="9"/>
      <c r="FD97" s="9"/>
      <c r="FE97" s="9"/>
      <c r="FF97" s="9"/>
      <c r="FG97" s="9"/>
      <c r="FH97" s="9"/>
      <c r="FI97" s="9"/>
      <c r="FJ97" s="9"/>
      <c r="FK97" s="9"/>
      <c r="FL97" s="9"/>
      <c r="FM97" s="9"/>
      <c r="FN97" s="9"/>
      <c r="FO97" s="9"/>
      <c r="FP97" s="9"/>
      <c r="FQ97" s="9"/>
      <c r="FR97" s="9"/>
      <c r="FS97" s="9"/>
      <c r="FT97" s="9"/>
      <c r="FU97" s="9"/>
      <c r="FV97" s="9"/>
      <c r="FW97" s="10"/>
      <c r="FX97" s="9"/>
      <c r="FY97" s="9"/>
      <c r="FZ97" s="9"/>
      <c r="GA97" s="9"/>
      <c r="GB97" s="9"/>
      <c r="GC97" s="9"/>
      <c r="GD97" s="9"/>
      <c r="GE97" s="9"/>
      <c r="GF97" s="9"/>
      <c r="GG97" s="9"/>
      <c r="GH97" s="9"/>
      <c r="GI97" s="9"/>
      <c r="GJ97" s="9"/>
      <c r="GK97" s="9"/>
      <c r="GL97" s="9"/>
      <c r="GM97" s="9"/>
      <c r="GN97" s="9"/>
      <c r="GO97" s="9"/>
      <c r="GP97" s="9"/>
      <c r="GQ97" s="9"/>
      <c r="GR97" s="9"/>
      <c r="GS97" s="9"/>
      <c r="GT97" s="9"/>
      <c r="GU97" s="9"/>
      <c r="GV97" s="9"/>
      <c r="GW97" s="9"/>
      <c r="GX97" s="9"/>
      <c r="GY97" s="10"/>
      <c r="GZ97" s="9"/>
      <c r="HA97" s="9"/>
    </row>
    <row r="98" spans="1:209" s="2" customFormat="1" ht="17" customHeight="1">
      <c r="A98" s="14" t="s">
        <v>97</v>
      </c>
      <c r="B98" s="35">
        <v>226</v>
      </c>
      <c r="C98" s="35">
        <v>246</v>
      </c>
      <c r="D98" s="4">
        <f t="shared" si="27"/>
        <v>1.0884955752212389</v>
      </c>
      <c r="E98" s="11">
        <v>10</v>
      </c>
      <c r="F98" s="5" t="s">
        <v>362</v>
      </c>
      <c r="G98" s="5" t="s">
        <v>362</v>
      </c>
      <c r="H98" s="5" t="s">
        <v>362</v>
      </c>
      <c r="I98" s="5" t="s">
        <v>362</v>
      </c>
      <c r="J98" s="5" t="s">
        <v>362</v>
      </c>
      <c r="K98" s="5" t="s">
        <v>362</v>
      </c>
      <c r="L98" s="5" t="s">
        <v>362</v>
      </c>
      <c r="M98" s="5" t="s">
        <v>362</v>
      </c>
      <c r="N98" s="35">
        <v>1009.7</v>
      </c>
      <c r="O98" s="35">
        <v>1220.5999999999999</v>
      </c>
      <c r="P98" s="4">
        <f t="shared" si="28"/>
        <v>1.200887392294741</v>
      </c>
      <c r="Q98" s="11">
        <v>20</v>
      </c>
      <c r="R98" s="35">
        <v>22.4</v>
      </c>
      <c r="S98" s="35">
        <v>26.5</v>
      </c>
      <c r="T98" s="4">
        <f t="shared" si="29"/>
        <v>1.1830357142857144</v>
      </c>
      <c r="U98" s="11">
        <v>25</v>
      </c>
      <c r="V98" s="35">
        <v>2.7</v>
      </c>
      <c r="W98" s="35">
        <v>3.2</v>
      </c>
      <c r="X98" s="4">
        <f t="shared" si="30"/>
        <v>1.1851851851851851</v>
      </c>
      <c r="Y98" s="11">
        <v>25</v>
      </c>
      <c r="Z98" s="35">
        <v>3593</v>
      </c>
      <c r="AA98" s="35">
        <v>3450</v>
      </c>
      <c r="AB98" s="4">
        <f t="shared" si="31"/>
        <v>0.96020038964653498</v>
      </c>
      <c r="AC98" s="11">
        <v>5</v>
      </c>
      <c r="AD98" s="11">
        <v>1672</v>
      </c>
      <c r="AE98" s="11">
        <v>1672</v>
      </c>
      <c r="AF98" s="4">
        <f t="shared" si="32"/>
        <v>1</v>
      </c>
      <c r="AG98" s="11">
        <v>20</v>
      </c>
      <c r="AH98" s="5" t="s">
        <v>362</v>
      </c>
      <c r="AI98" s="5" t="s">
        <v>362</v>
      </c>
      <c r="AJ98" s="5" t="s">
        <v>362</v>
      </c>
      <c r="AK98" s="5" t="s">
        <v>362</v>
      </c>
      <c r="AL98" s="5" t="s">
        <v>362</v>
      </c>
      <c r="AM98" s="5" t="s">
        <v>362</v>
      </c>
      <c r="AN98" s="5" t="s">
        <v>362</v>
      </c>
      <c r="AO98" s="5" t="s">
        <v>362</v>
      </c>
      <c r="AP98" s="44">
        <f t="shared" si="40"/>
        <v>1.1324688384105941</v>
      </c>
      <c r="AQ98" s="45">
        <v>955</v>
      </c>
      <c r="AR98" s="35">
        <f t="shared" si="41"/>
        <v>260.45454545454544</v>
      </c>
      <c r="AS98" s="35">
        <f t="shared" si="33"/>
        <v>295</v>
      </c>
      <c r="AT98" s="35">
        <f t="shared" si="34"/>
        <v>34.545454545454561</v>
      </c>
      <c r="AU98" s="35">
        <v>86.5</v>
      </c>
      <c r="AV98" s="35">
        <v>98.6</v>
      </c>
      <c r="AW98" s="35">
        <f t="shared" si="35"/>
        <v>109.9</v>
      </c>
      <c r="AX98" s="35"/>
      <c r="AY98" s="35">
        <f t="shared" si="36"/>
        <v>109.9</v>
      </c>
      <c r="AZ98" s="35">
        <v>0</v>
      </c>
      <c r="BA98" s="35">
        <f t="shared" si="37"/>
        <v>109.9</v>
      </c>
      <c r="BB98" s="35"/>
      <c r="BC98" s="35">
        <f t="shared" si="38"/>
        <v>109.9</v>
      </c>
      <c r="BD98" s="35">
        <v>112.1</v>
      </c>
      <c r="BE98" s="35">
        <f t="shared" si="39"/>
        <v>-2.2000000000000002</v>
      </c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9"/>
      <c r="BU98" s="9"/>
      <c r="BV98" s="9"/>
      <c r="BW98" s="9"/>
      <c r="BX98" s="9"/>
      <c r="BY98" s="9"/>
      <c r="BZ98" s="9"/>
      <c r="CA98" s="9"/>
      <c r="CB98" s="9"/>
      <c r="CC98" s="9"/>
      <c r="CD98" s="9"/>
      <c r="CE98" s="9"/>
      <c r="CF98" s="9"/>
      <c r="CG98" s="9"/>
      <c r="CH98" s="9"/>
      <c r="CI98" s="9"/>
      <c r="CJ98" s="9"/>
      <c r="CK98" s="9"/>
      <c r="CL98" s="9"/>
      <c r="CM98" s="9"/>
      <c r="CN98" s="9"/>
      <c r="CO98" s="9"/>
      <c r="CP98" s="9"/>
      <c r="CQ98" s="10"/>
      <c r="CR98" s="9"/>
      <c r="CS98" s="9"/>
      <c r="CT98" s="9"/>
      <c r="CU98" s="9"/>
      <c r="CV98" s="9"/>
      <c r="CW98" s="9"/>
      <c r="CX98" s="9"/>
      <c r="CY98" s="9"/>
      <c r="CZ98" s="9"/>
      <c r="DA98" s="9"/>
      <c r="DB98" s="9"/>
      <c r="DC98" s="9"/>
      <c r="DD98" s="9"/>
      <c r="DE98" s="9"/>
      <c r="DF98" s="9"/>
      <c r="DG98" s="9"/>
      <c r="DH98" s="9"/>
      <c r="DI98" s="9"/>
      <c r="DJ98" s="9"/>
      <c r="DK98" s="9"/>
      <c r="DL98" s="9"/>
      <c r="DM98" s="9"/>
      <c r="DN98" s="9"/>
      <c r="DO98" s="9"/>
      <c r="DP98" s="9"/>
      <c r="DQ98" s="9"/>
      <c r="DR98" s="9"/>
      <c r="DS98" s="10"/>
      <c r="DT98" s="9"/>
      <c r="DU98" s="9"/>
      <c r="DV98" s="9"/>
      <c r="DW98" s="9"/>
      <c r="DX98" s="9"/>
      <c r="DY98" s="9"/>
      <c r="DZ98" s="9"/>
      <c r="EA98" s="9"/>
      <c r="EB98" s="9"/>
      <c r="EC98" s="9"/>
      <c r="ED98" s="9"/>
      <c r="EE98" s="9"/>
      <c r="EF98" s="9"/>
      <c r="EG98" s="9"/>
      <c r="EH98" s="9"/>
      <c r="EI98" s="9"/>
      <c r="EJ98" s="9"/>
      <c r="EK98" s="9"/>
      <c r="EL98" s="9"/>
      <c r="EM98" s="9"/>
      <c r="EN98" s="9"/>
      <c r="EO98" s="9"/>
      <c r="EP98" s="9"/>
      <c r="EQ98" s="9"/>
      <c r="ER98" s="9"/>
      <c r="ES98" s="9"/>
      <c r="ET98" s="9"/>
      <c r="EU98" s="10"/>
      <c r="EV98" s="9"/>
      <c r="EW98" s="9"/>
      <c r="EX98" s="9"/>
      <c r="EY98" s="9"/>
      <c r="EZ98" s="9"/>
      <c r="FA98" s="9"/>
      <c r="FB98" s="9"/>
      <c r="FC98" s="9"/>
      <c r="FD98" s="9"/>
      <c r="FE98" s="9"/>
      <c r="FF98" s="9"/>
      <c r="FG98" s="9"/>
      <c r="FH98" s="9"/>
      <c r="FI98" s="9"/>
      <c r="FJ98" s="9"/>
      <c r="FK98" s="9"/>
      <c r="FL98" s="9"/>
      <c r="FM98" s="9"/>
      <c r="FN98" s="9"/>
      <c r="FO98" s="9"/>
      <c r="FP98" s="9"/>
      <c r="FQ98" s="9"/>
      <c r="FR98" s="9"/>
      <c r="FS98" s="9"/>
      <c r="FT98" s="9"/>
      <c r="FU98" s="9"/>
      <c r="FV98" s="9"/>
      <c r="FW98" s="10"/>
      <c r="FX98" s="9"/>
      <c r="FY98" s="9"/>
      <c r="FZ98" s="9"/>
      <c r="GA98" s="9"/>
      <c r="GB98" s="9"/>
      <c r="GC98" s="9"/>
      <c r="GD98" s="9"/>
      <c r="GE98" s="9"/>
      <c r="GF98" s="9"/>
      <c r="GG98" s="9"/>
      <c r="GH98" s="9"/>
      <c r="GI98" s="9"/>
      <c r="GJ98" s="9"/>
      <c r="GK98" s="9"/>
      <c r="GL98" s="9"/>
      <c r="GM98" s="9"/>
      <c r="GN98" s="9"/>
      <c r="GO98" s="9"/>
      <c r="GP98" s="9"/>
      <c r="GQ98" s="9"/>
      <c r="GR98" s="9"/>
      <c r="GS98" s="9"/>
      <c r="GT98" s="9"/>
      <c r="GU98" s="9"/>
      <c r="GV98" s="9"/>
      <c r="GW98" s="9"/>
      <c r="GX98" s="9"/>
      <c r="GY98" s="10"/>
      <c r="GZ98" s="9"/>
      <c r="HA98" s="9"/>
    </row>
    <row r="99" spans="1:209" s="2" customFormat="1" ht="17" customHeight="1">
      <c r="A99" s="14" t="s">
        <v>98</v>
      </c>
      <c r="B99" s="35">
        <v>918</v>
      </c>
      <c r="C99" s="35">
        <v>832</v>
      </c>
      <c r="D99" s="4">
        <f t="shared" si="27"/>
        <v>0.90631808278867099</v>
      </c>
      <c r="E99" s="11">
        <v>10</v>
      </c>
      <c r="F99" s="5" t="s">
        <v>362</v>
      </c>
      <c r="G99" s="5" t="s">
        <v>362</v>
      </c>
      <c r="H99" s="5" t="s">
        <v>362</v>
      </c>
      <c r="I99" s="5" t="s">
        <v>362</v>
      </c>
      <c r="J99" s="5" t="s">
        <v>362</v>
      </c>
      <c r="K99" s="5" t="s">
        <v>362</v>
      </c>
      <c r="L99" s="5" t="s">
        <v>362</v>
      </c>
      <c r="M99" s="5" t="s">
        <v>362</v>
      </c>
      <c r="N99" s="35">
        <v>595.29999999999995</v>
      </c>
      <c r="O99" s="35">
        <v>562.5</v>
      </c>
      <c r="P99" s="4">
        <f t="shared" si="28"/>
        <v>0.94490173022005719</v>
      </c>
      <c r="Q99" s="11">
        <v>20</v>
      </c>
      <c r="R99" s="35">
        <v>399.9</v>
      </c>
      <c r="S99" s="35">
        <v>441.1</v>
      </c>
      <c r="T99" s="4">
        <f t="shared" si="29"/>
        <v>1.1030257564391099</v>
      </c>
      <c r="U99" s="11">
        <v>25</v>
      </c>
      <c r="V99" s="35">
        <v>22.4</v>
      </c>
      <c r="W99" s="35">
        <v>23.4</v>
      </c>
      <c r="X99" s="4">
        <f t="shared" si="30"/>
        <v>1.0446428571428572</v>
      </c>
      <c r="Y99" s="11">
        <v>25</v>
      </c>
      <c r="Z99" s="35">
        <v>7029</v>
      </c>
      <c r="AA99" s="35">
        <v>6158</v>
      </c>
      <c r="AB99" s="4">
        <f t="shared" si="31"/>
        <v>0.87608479157774932</v>
      </c>
      <c r="AC99" s="11">
        <v>5</v>
      </c>
      <c r="AD99" s="11">
        <v>567</v>
      </c>
      <c r="AE99" s="11">
        <v>567</v>
      </c>
      <c r="AF99" s="4">
        <f t="shared" si="32"/>
        <v>1</v>
      </c>
      <c r="AG99" s="11">
        <v>20</v>
      </c>
      <c r="AH99" s="5" t="s">
        <v>362</v>
      </c>
      <c r="AI99" s="5" t="s">
        <v>362</v>
      </c>
      <c r="AJ99" s="5" t="s">
        <v>362</v>
      </c>
      <c r="AK99" s="5" t="s">
        <v>362</v>
      </c>
      <c r="AL99" s="5" t="s">
        <v>362</v>
      </c>
      <c r="AM99" s="5" t="s">
        <v>362</v>
      </c>
      <c r="AN99" s="5" t="s">
        <v>362</v>
      </c>
      <c r="AO99" s="5" t="s">
        <v>362</v>
      </c>
      <c r="AP99" s="44">
        <f t="shared" si="40"/>
        <v>1.0098414736164361</v>
      </c>
      <c r="AQ99" s="45">
        <v>633</v>
      </c>
      <c r="AR99" s="35">
        <f t="shared" si="41"/>
        <v>172.63636363636363</v>
      </c>
      <c r="AS99" s="35">
        <f t="shared" si="33"/>
        <v>174.3</v>
      </c>
      <c r="AT99" s="35">
        <f t="shared" si="34"/>
        <v>1.6636363636363853</v>
      </c>
      <c r="AU99" s="35">
        <v>55.9</v>
      </c>
      <c r="AV99" s="35">
        <v>58.8</v>
      </c>
      <c r="AW99" s="35">
        <f t="shared" si="35"/>
        <v>59.6</v>
      </c>
      <c r="AX99" s="35"/>
      <c r="AY99" s="35">
        <f t="shared" si="36"/>
        <v>59.6</v>
      </c>
      <c r="AZ99" s="35">
        <v>0</v>
      </c>
      <c r="BA99" s="35">
        <f t="shared" si="37"/>
        <v>59.6</v>
      </c>
      <c r="BB99" s="35"/>
      <c r="BC99" s="35">
        <f t="shared" si="38"/>
        <v>59.6</v>
      </c>
      <c r="BD99" s="35">
        <v>60.8</v>
      </c>
      <c r="BE99" s="35">
        <f t="shared" si="39"/>
        <v>-1.2</v>
      </c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9"/>
      <c r="BU99" s="9"/>
      <c r="BV99" s="9"/>
      <c r="BW99" s="9"/>
      <c r="BX99" s="9"/>
      <c r="BY99" s="9"/>
      <c r="BZ99" s="9"/>
      <c r="CA99" s="9"/>
      <c r="CB99" s="9"/>
      <c r="CC99" s="9"/>
      <c r="CD99" s="9"/>
      <c r="CE99" s="9"/>
      <c r="CF99" s="9"/>
      <c r="CG99" s="9"/>
      <c r="CH99" s="9"/>
      <c r="CI99" s="9"/>
      <c r="CJ99" s="9"/>
      <c r="CK99" s="9"/>
      <c r="CL99" s="9"/>
      <c r="CM99" s="9"/>
      <c r="CN99" s="9"/>
      <c r="CO99" s="9"/>
      <c r="CP99" s="9"/>
      <c r="CQ99" s="10"/>
      <c r="CR99" s="9"/>
      <c r="CS99" s="9"/>
      <c r="CT99" s="9"/>
      <c r="CU99" s="9"/>
      <c r="CV99" s="9"/>
      <c r="CW99" s="9"/>
      <c r="CX99" s="9"/>
      <c r="CY99" s="9"/>
      <c r="CZ99" s="9"/>
      <c r="DA99" s="9"/>
      <c r="DB99" s="9"/>
      <c r="DC99" s="9"/>
      <c r="DD99" s="9"/>
      <c r="DE99" s="9"/>
      <c r="DF99" s="9"/>
      <c r="DG99" s="9"/>
      <c r="DH99" s="9"/>
      <c r="DI99" s="9"/>
      <c r="DJ99" s="9"/>
      <c r="DK99" s="9"/>
      <c r="DL99" s="9"/>
      <c r="DM99" s="9"/>
      <c r="DN99" s="9"/>
      <c r="DO99" s="9"/>
      <c r="DP99" s="9"/>
      <c r="DQ99" s="9"/>
      <c r="DR99" s="9"/>
      <c r="DS99" s="10"/>
      <c r="DT99" s="9"/>
      <c r="DU99" s="9"/>
      <c r="DV99" s="9"/>
      <c r="DW99" s="9"/>
      <c r="DX99" s="9"/>
      <c r="DY99" s="9"/>
      <c r="DZ99" s="9"/>
      <c r="EA99" s="9"/>
      <c r="EB99" s="9"/>
      <c r="EC99" s="9"/>
      <c r="ED99" s="9"/>
      <c r="EE99" s="9"/>
      <c r="EF99" s="9"/>
      <c r="EG99" s="9"/>
      <c r="EH99" s="9"/>
      <c r="EI99" s="9"/>
      <c r="EJ99" s="9"/>
      <c r="EK99" s="9"/>
      <c r="EL99" s="9"/>
      <c r="EM99" s="9"/>
      <c r="EN99" s="9"/>
      <c r="EO99" s="9"/>
      <c r="EP99" s="9"/>
      <c r="EQ99" s="9"/>
      <c r="ER99" s="9"/>
      <c r="ES99" s="9"/>
      <c r="ET99" s="9"/>
      <c r="EU99" s="10"/>
      <c r="EV99" s="9"/>
      <c r="EW99" s="9"/>
      <c r="EX99" s="9"/>
      <c r="EY99" s="9"/>
      <c r="EZ99" s="9"/>
      <c r="FA99" s="9"/>
      <c r="FB99" s="9"/>
      <c r="FC99" s="9"/>
      <c r="FD99" s="9"/>
      <c r="FE99" s="9"/>
      <c r="FF99" s="9"/>
      <c r="FG99" s="9"/>
      <c r="FH99" s="9"/>
      <c r="FI99" s="9"/>
      <c r="FJ99" s="9"/>
      <c r="FK99" s="9"/>
      <c r="FL99" s="9"/>
      <c r="FM99" s="9"/>
      <c r="FN99" s="9"/>
      <c r="FO99" s="9"/>
      <c r="FP99" s="9"/>
      <c r="FQ99" s="9"/>
      <c r="FR99" s="9"/>
      <c r="FS99" s="9"/>
      <c r="FT99" s="9"/>
      <c r="FU99" s="9"/>
      <c r="FV99" s="9"/>
      <c r="FW99" s="10"/>
      <c r="FX99" s="9"/>
      <c r="FY99" s="9"/>
      <c r="FZ99" s="9"/>
      <c r="GA99" s="9"/>
      <c r="GB99" s="9"/>
      <c r="GC99" s="9"/>
      <c r="GD99" s="9"/>
      <c r="GE99" s="9"/>
      <c r="GF99" s="9"/>
      <c r="GG99" s="9"/>
      <c r="GH99" s="9"/>
      <c r="GI99" s="9"/>
      <c r="GJ99" s="9"/>
      <c r="GK99" s="9"/>
      <c r="GL99" s="9"/>
      <c r="GM99" s="9"/>
      <c r="GN99" s="9"/>
      <c r="GO99" s="9"/>
      <c r="GP99" s="9"/>
      <c r="GQ99" s="9"/>
      <c r="GR99" s="9"/>
      <c r="GS99" s="9"/>
      <c r="GT99" s="9"/>
      <c r="GU99" s="9"/>
      <c r="GV99" s="9"/>
      <c r="GW99" s="9"/>
      <c r="GX99" s="9"/>
      <c r="GY99" s="10"/>
      <c r="GZ99" s="9"/>
      <c r="HA99" s="9"/>
    </row>
    <row r="100" spans="1:209" s="2" customFormat="1" ht="17" customHeight="1">
      <c r="A100" s="14" t="s">
        <v>99</v>
      </c>
      <c r="B100" s="35">
        <v>0</v>
      </c>
      <c r="C100" s="35">
        <v>0</v>
      </c>
      <c r="D100" s="4">
        <f t="shared" si="27"/>
        <v>0</v>
      </c>
      <c r="E100" s="11">
        <v>0</v>
      </c>
      <c r="F100" s="5" t="s">
        <v>362</v>
      </c>
      <c r="G100" s="5" t="s">
        <v>362</v>
      </c>
      <c r="H100" s="5" t="s">
        <v>362</v>
      </c>
      <c r="I100" s="5" t="s">
        <v>362</v>
      </c>
      <c r="J100" s="5" t="s">
        <v>362</v>
      </c>
      <c r="K100" s="5" t="s">
        <v>362</v>
      </c>
      <c r="L100" s="5" t="s">
        <v>362</v>
      </c>
      <c r="M100" s="5" t="s">
        <v>362</v>
      </c>
      <c r="N100" s="35">
        <v>103.7</v>
      </c>
      <c r="O100" s="35">
        <v>0</v>
      </c>
      <c r="P100" s="4">
        <f t="shared" si="28"/>
        <v>0</v>
      </c>
      <c r="Q100" s="11">
        <v>20</v>
      </c>
      <c r="R100" s="35">
        <v>49.2</v>
      </c>
      <c r="S100" s="35">
        <v>56.4</v>
      </c>
      <c r="T100" s="4">
        <f t="shared" si="29"/>
        <v>1.1463414634146341</v>
      </c>
      <c r="U100" s="11">
        <v>15</v>
      </c>
      <c r="V100" s="35">
        <v>4.2</v>
      </c>
      <c r="W100" s="35">
        <v>4.8</v>
      </c>
      <c r="X100" s="4">
        <f t="shared" si="30"/>
        <v>1.1428571428571428</v>
      </c>
      <c r="Y100" s="11">
        <v>35</v>
      </c>
      <c r="Z100" s="35">
        <v>3806</v>
      </c>
      <c r="AA100" s="35">
        <v>4070</v>
      </c>
      <c r="AB100" s="4">
        <f t="shared" si="31"/>
        <v>1.0693641618497109</v>
      </c>
      <c r="AC100" s="11">
        <v>5</v>
      </c>
      <c r="AD100" s="11">
        <v>145</v>
      </c>
      <c r="AE100" s="11">
        <v>145</v>
      </c>
      <c r="AF100" s="4">
        <f t="shared" si="32"/>
        <v>1</v>
      </c>
      <c r="AG100" s="11">
        <v>20</v>
      </c>
      <c r="AH100" s="5" t="s">
        <v>362</v>
      </c>
      <c r="AI100" s="5" t="s">
        <v>362</v>
      </c>
      <c r="AJ100" s="5" t="s">
        <v>362</v>
      </c>
      <c r="AK100" s="5" t="s">
        <v>362</v>
      </c>
      <c r="AL100" s="5" t="s">
        <v>362</v>
      </c>
      <c r="AM100" s="5" t="s">
        <v>362</v>
      </c>
      <c r="AN100" s="5" t="s">
        <v>362</v>
      </c>
      <c r="AO100" s="5" t="s">
        <v>362</v>
      </c>
      <c r="AP100" s="44">
        <f t="shared" si="40"/>
        <v>0.868862555373348</v>
      </c>
      <c r="AQ100" s="45">
        <v>1299</v>
      </c>
      <c r="AR100" s="35">
        <f t="shared" si="41"/>
        <v>354.27272727272725</v>
      </c>
      <c r="AS100" s="35">
        <f t="shared" si="33"/>
        <v>307.8</v>
      </c>
      <c r="AT100" s="35">
        <f t="shared" si="34"/>
        <v>-46.472727272727241</v>
      </c>
      <c r="AU100" s="35">
        <v>122.6</v>
      </c>
      <c r="AV100" s="35">
        <v>103.3</v>
      </c>
      <c r="AW100" s="35">
        <f t="shared" si="35"/>
        <v>81.900000000000006</v>
      </c>
      <c r="AX100" s="35"/>
      <c r="AY100" s="35">
        <f t="shared" si="36"/>
        <v>81.900000000000006</v>
      </c>
      <c r="AZ100" s="35">
        <v>0</v>
      </c>
      <c r="BA100" s="35">
        <f t="shared" si="37"/>
        <v>81.900000000000006</v>
      </c>
      <c r="BB100" s="35">
        <f>MIN(BA100,59)</f>
        <v>59</v>
      </c>
      <c r="BC100" s="35">
        <f t="shared" si="38"/>
        <v>22.9</v>
      </c>
      <c r="BD100" s="35">
        <v>19</v>
      </c>
      <c r="BE100" s="35">
        <f t="shared" si="39"/>
        <v>3.9</v>
      </c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9"/>
      <c r="BU100" s="9"/>
      <c r="BV100" s="9"/>
      <c r="BW100" s="9"/>
      <c r="BX100" s="9"/>
      <c r="BY100" s="9"/>
      <c r="BZ100" s="9"/>
      <c r="CA100" s="9"/>
      <c r="CB100" s="9"/>
      <c r="CC100" s="9"/>
      <c r="CD100" s="9"/>
      <c r="CE100" s="9"/>
      <c r="CF100" s="9"/>
      <c r="CG100" s="9"/>
      <c r="CH100" s="9"/>
      <c r="CI100" s="9"/>
      <c r="CJ100" s="9"/>
      <c r="CK100" s="9"/>
      <c r="CL100" s="9"/>
      <c r="CM100" s="9"/>
      <c r="CN100" s="9"/>
      <c r="CO100" s="9"/>
      <c r="CP100" s="9"/>
      <c r="CQ100" s="10"/>
      <c r="CR100" s="9"/>
      <c r="CS100" s="9"/>
      <c r="CT100" s="9"/>
      <c r="CU100" s="9"/>
      <c r="CV100" s="9"/>
      <c r="CW100" s="9"/>
      <c r="CX100" s="9"/>
      <c r="CY100" s="9"/>
      <c r="CZ100" s="9"/>
      <c r="DA100" s="9"/>
      <c r="DB100" s="9"/>
      <c r="DC100" s="9"/>
      <c r="DD100" s="9"/>
      <c r="DE100" s="9"/>
      <c r="DF100" s="9"/>
      <c r="DG100" s="9"/>
      <c r="DH100" s="9"/>
      <c r="DI100" s="9"/>
      <c r="DJ100" s="9"/>
      <c r="DK100" s="9"/>
      <c r="DL100" s="9"/>
      <c r="DM100" s="9"/>
      <c r="DN100" s="9"/>
      <c r="DO100" s="9"/>
      <c r="DP100" s="9"/>
      <c r="DQ100" s="9"/>
      <c r="DR100" s="9"/>
      <c r="DS100" s="10"/>
      <c r="DT100" s="9"/>
      <c r="DU100" s="9"/>
      <c r="DV100" s="9"/>
      <c r="DW100" s="9"/>
      <c r="DX100" s="9"/>
      <c r="DY100" s="9"/>
      <c r="DZ100" s="9"/>
      <c r="EA100" s="9"/>
      <c r="EB100" s="9"/>
      <c r="EC100" s="9"/>
      <c r="ED100" s="9"/>
      <c r="EE100" s="9"/>
      <c r="EF100" s="9"/>
      <c r="EG100" s="9"/>
      <c r="EH100" s="9"/>
      <c r="EI100" s="9"/>
      <c r="EJ100" s="9"/>
      <c r="EK100" s="9"/>
      <c r="EL100" s="9"/>
      <c r="EM100" s="9"/>
      <c r="EN100" s="9"/>
      <c r="EO100" s="9"/>
      <c r="EP100" s="9"/>
      <c r="EQ100" s="9"/>
      <c r="ER100" s="9"/>
      <c r="ES100" s="9"/>
      <c r="ET100" s="9"/>
      <c r="EU100" s="10"/>
      <c r="EV100" s="9"/>
      <c r="EW100" s="9"/>
      <c r="EX100" s="9"/>
      <c r="EY100" s="9"/>
      <c r="EZ100" s="9"/>
      <c r="FA100" s="9"/>
      <c r="FB100" s="9"/>
      <c r="FC100" s="9"/>
      <c r="FD100" s="9"/>
      <c r="FE100" s="9"/>
      <c r="FF100" s="9"/>
      <c r="FG100" s="9"/>
      <c r="FH100" s="9"/>
      <c r="FI100" s="9"/>
      <c r="FJ100" s="9"/>
      <c r="FK100" s="9"/>
      <c r="FL100" s="9"/>
      <c r="FM100" s="9"/>
      <c r="FN100" s="9"/>
      <c r="FO100" s="9"/>
      <c r="FP100" s="9"/>
      <c r="FQ100" s="9"/>
      <c r="FR100" s="9"/>
      <c r="FS100" s="9"/>
      <c r="FT100" s="9"/>
      <c r="FU100" s="9"/>
      <c r="FV100" s="9"/>
      <c r="FW100" s="10"/>
      <c r="FX100" s="9"/>
      <c r="FY100" s="9"/>
      <c r="FZ100" s="9"/>
      <c r="GA100" s="9"/>
      <c r="GB100" s="9"/>
      <c r="GC100" s="9"/>
      <c r="GD100" s="9"/>
      <c r="GE100" s="9"/>
      <c r="GF100" s="9"/>
      <c r="GG100" s="9"/>
      <c r="GH100" s="9"/>
      <c r="GI100" s="9"/>
      <c r="GJ100" s="9"/>
      <c r="GK100" s="9"/>
      <c r="GL100" s="9"/>
      <c r="GM100" s="9"/>
      <c r="GN100" s="9"/>
      <c r="GO100" s="9"/>
      <c r="GP100" s="9"/>
      <c r="GQ100" s="9"/>
      <c r="GR100" s="9"/>
      <c r="GS100" s="9"/>
      <c r="GT100" s="9"/>
      <c r="GU100" s="9"/>
      <c r="GV100" s="9"/>
      <c r="GW100" s="9"/>
      <c r="GX100" s="9"/>
      <c r="GY100" s="10"/>
      <c r="GZ100" s="9"/>
      <c r="HA100" s="9"/>
    </row>
    <row r="101" spans="1:209" s="2" customFormat="1" ht="17" customHeight="1">
      <c r="A101" s="46" t="s">
        <v>100</v>
      </c>
      <c r="B101" s="35">
        <v>0</v>
      </c>
      <c r="C101" s="35">
        <v>0</v>
      </c>
      <c r="D101" s="4">
        <f t="shared" si="27"/>
        <v>0</v>
      </c>
      <c r="E101" s="11">
        <v>0</v>
      </c>
      <c r="F101" s="5" t="s">
        <v>362</v>
      </c>
      <c r="G101" s="5" t="s">
        <v>362</v>
      </c>
      <c r="H101" s="5" t="s">
        <v>362</v>
      </c>
      <c r="I101" s="5" t="s">
        <v>362</v>
      </c>
      <c r="J101" s="5" t="s">
        <v>362</v>
      </c>
      <c r="K101" s="5" t="s">
        <v>362</v>
      </c>
      <c r="L101" s="5" t="s">
        <v>362</v>
      </c>
      <c r="M101" s="5" t="s">
        <v>362</v>
      </c>
      <c r="N101" s="35">
        <v>430.5</v>
      </c>
      <c r="O101" s="35">
        <v>666.7</v>
      </c>
      <c r="P101" s="4">
        <f t="shared" si="28"/>
        <v>1.2348664343786295</v>
      </c>
      <c r="Q101" s="11">
        <v>20</v>
      </c>
      <c r="R101" s="35">
        <v>290.10000000000002</v>
      </c>
      <c r="S101" s="35">
        <v>301.39999999999998</v>
      </c>
      <c r="T101" s="4">
        <f t="shared" si="29"/>
        <v>1.0389520854877627</v>
      </c>
      <c r="U101" s="11">
        <v>30</v>
      </c>
      <c r="V101" s="35">
        <v>11.1</v>
      </c>
      <c r="W101" s="35">
        <v>11.2</v>
      </c>
      <c r="X101" s="4">
        <f t="shared" si="30"/>
        <v>1.0090090090090089</v>
      </c>
      <c r="Y101" s="11">
        <v>20</v>
      </c>
      <c r="Z101" s="35">
        <v>3468</v>
      </c>
      <c r="AA101" s="35">
        <v>2546</v>
      </c>
      <c r="AB101" s="4">
        <f t="shared" si="31"/>
        <v>0.73414071510957324</v>
      </c>
      <c r="AC101" s="11">
        <v>5</v>
      </c>
      <c r="AD101" s="11">
        <v>441</v>
      </c>
      <c r="AE101" s="11">
        <v>441</v>
      </c>
      <c r="AF101" s="4">
        <f t="shared" si="32"/>
        <v>1</v>
      </c>
      <c r="AG101" s="11">
        <v>20</v>
      </c>
      <c r="AH101" s="5" t="s">
        <v>362</v>
      </c>
      <c r="AI101" s="5" t="s">
        <v>362</v>
      </c>
      <c r="AJ101" s="5" t="s">
        <v>362</v>
      </c>
      <c r="AK101" s="5" t="s">
        <v>362</v>
      </c>
      <c r="AL101" s="5" t="s">
        <v>362</v>
      </c>
      <c r="AM101" s="5" t="s">
        <v>362</v>
      </c>
      <c r="AN101" s="5" t="s">
        <v>362</v>
      </c>
      <c r="AO101" s="5" t="s">
        <v>362</v>
      </c>
      <c r="AP101" s="44">
        <f t="shared" si="40"/>
        <v>1.0496502632414053</v>
      </c>
      <c r="AQ101" s="45">
        <v>81</v>
      </c>
      <c r="AR101" s="35">
        <f t="shared" si="41"/>
        <v>22.09090909090909</v>
      </c>
      <c r="AS101" s="35">
        <f t="shared" si="33"/>
        <v>23.2</v>
      </c>
      <c r="AT101" s="35">
        <f t="shared" si="34"/>
        <v>1.1090909090909093</v>
      </c>
      <c r="AU101" s="35">
        <v>8</v>
      </c>
      <c r="AV101" s="35">
        <v>7.4</v>
      </c>
      <c r="AW101" s="35">
        <f t="shared" si="35"/>
        <v>7.8</v>
      </c>
      <c r="AX101" s="35"/>
      <c r="AY101" s="35">
        <f t="shared" si="36"/>
        <v>7.8</v>
      </c>
      <c r="AZ101" s="35">
        <v>0</v>
      </c>
      <c r="BA101" s="35">
        <f t="shared" si="37"/>
        <v>7.8</v>
      </c>
      <c r="BB101" s="35">
        <f>MIN(BA101,3.7)</f>
        <v>3.7</v>
      </c>
      <c r="BC101" s="35">
        <f t="shared" si="38"/>
        <v>4.0999999999999996</v>
      </c>
      <c r="BD101" s="35">
        <v>4.5</v>
      </c>
      <c r="BE101" s="35">
        <f t="shared" si="39"/>
        <v>-0.4</v>
      </c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9"/>
      <c r="BU101" s="9"/>
      <c r="BV101" s="9"/>
      <c r="BW101" s="9"/>
      <c r="BX101" s="9"/>
      <c r="BY101" s="9"/>
      <c r="BZ101" s="9"/>
      <c r="CA101" s="9"/>
      <c r="CB101" s="9"/>
      <c r="CC101" s="9"/>
      <c r="CD101" s="9"/>
      <c r="CE101" s="9"/>
      <c r="CF101" s="9"/>
      <c r="CG101" s="9"/>
      <c r="CH101" s="9"/>
      <c r="CI101" s="9"/>
      <c r="CJ101" s="9"/>
      <c r="CK101" s="9"/>
      <c r="CL101" s="9"/>
      <c r="CM101" s="9"/>
      <c r="CN101" s="9"/>
      <c r="CO101" s="9"/>
      <c r="CP101" s="9"/>
      <c r="CQ101" s="10"/>
      <c r="CR101" s="9"/>
      <c r="CS101" s="9"/>
      <c r="CT101" s="9"/>
      <c r="CU101" s="9"/>
      <c r="CV101" s="9"/>
      <c r="CW101" s="9"/>
      <c r="CX101" s="9"/>
      <c r="CY101" s="9"/>
      <c r="CZ101" s="9"/>
      <c r="DA101" s="9"/>
      <c r="DB101" s="9"/>
      <c r="DC101" s="9"/>
      <c r="DD101" s="9"/>
      <c r="DE101" s="9"/>
      <c r="DF101" s="9"/>
      <c r="DG101" s="9"/>
      <c r="DH101" s="9"/>
      <c r="DI101" s="9"/>
      <c r="DJ101" s="9"/>
      <c r="DK101" s="9"/>
      <c r="DL101" s="9"/>
      <c r="DM101" s="9"/>
      <c r="DN101" s="9"/>
      <c r="DO101" s="9"/>
      <c r="DP101" s="9"/>
      <c r="DQ101" s="9"/>
      <c r="DR101" s="9"/>
      <c r="DS101" s="10"/>
      <c r="DT101" s="9"/>
      <c r="DU101" s="9"/>
      <c r="DV101" s="9"/>
      <c r="DW101" s="9"/>
      <c r="DX101" s="9"/>
      <c r="DY101" s="9"/>
      <c r="DZ101" s="9"/>
      <c r="EA101" s="9"/>
      <c r="EB101" s="9"/>
      <c r="EC101" s="9"/>
      <c r="ED101" s="9"/>
      <c r="EE101" s="9"/>
      <c r="EF101" s="9"/>
      <c r="EG101" s="9"/>
      <c r="EH101" s="9"/>
      <c r="EI101" s="9"/>
      <c r="EJ101" s="9"/>
      <c r="EK101" s="9"/>
      <c r="EL101" s="9"/>
      <c r="EM101" s="9"/>
      <c r="EN101" s="9"/>
      <c r="EO101" s="9"/>
      <c r="EP101" s="9"/>
      <c r="EQ101" s="9"/>
      <c r="ER101" s="9"/>
      <c r="ES101" s="9"/>
      <c r="ET101" s="9"/>
      <c r="EU101" s="10"/>
      <c r="EV101" s="9"/>
      <c r="EW101" s="9"/>
      <c r="EX101" s="9"/>
      <c r="EY101" s="9"/>
      <c r="EZ101" s="9"/>
      <c r="FA101" s="9"/>
      <c r="FB101" s="9"/>
      <c r="FC101" s="9"/>
      <c r="FD101" s="9"/>
      <c r="FE101" s="9"/>
      <c r="FF101" s="9"/>
      <c r="FG101" s="9"/>
      <c r="FH101" s="9"/>
      <c r="FI101" s="9"/>
      <c r="FJ101" s="9"/>
      <c r="FK101" s="9"/>
      <c r="FL101" s="9"/>
      <c r="FM101" s="9"/>
      <c r="FN101" s="9"/>
      <c r="FO101" s="9"/>
      <c r="FP101" s="9"/>
      <c r="FQ101" s="9"/>
      <c r="FR101" s="9"/>
      <c r="FS101" s="9"/>
      <c r="FT101" s="9"/>
      <c r="FU101" s="9"/>
      <c r="FV101" s="9"/>
      <c r="FW101" s="10"/>
      <c r="FX101" s="9"/>
      <c r="FY101" s="9"/>
      <c r="FZ101" s="9"/>
      <c r="GA101" s="9"/>
      <c r="GB101" s="9"/>
      <c r="GC101" s="9"/>
      <c r="GD101" s="9"/>
      <c r="GE101" s="9"/>
      <c r="GF101" s="9"/>
      <c r="GG101" s="9"/>
      <c r="GH101" s="9"/>
      <c r="GI101" s="9"/>
      <c r="GJ101" s="9"/>
      <c r="GK101" s="9"/>
      <c r="GL101" s="9"/>
      <c r="GM101" s="9"/>
      <c r="GN101" s="9"/>
      <c r="GO101" s="9"/>
      <c r="GP101" s="9"/>
      <c r="GQ101" s="9"/>
      <c r="GR101" s="9"/>
      <c r="GS101" s="9"/>
      <c r="GT101" s="9"/>
      <c r="GU101" s="9"/>
      <c r="GV101" s="9"/>
      <c r="GW101" s="9"/>
      <c r="GX101" s="9"/>
      <c r="GY101" s="10"/>
      <c r="GZ101" s="9"/>
      <c r="HA101" s="9"/>
    </row>
    <row r="102" spans="1:209" s="2" customFormat="1" ht="17" customHeight="1">
      <c r="A102" s="14" t="s">
        <v>101</v>
      </c>
      <c r="B102" s="35">
        <v>0</v>
      </c>
      <c r="C102" s="35">
        <v>0</v>
      </c>
      <c r="D102" s="4">
        <f t="shared" si="27"/>
        <v>0</v>
      </c>
      <c r="E102" s="11">
        <v>0</v>
      </c>
      <c r="F102" s="5" t="s">
        <v>362</v>
      </c>
      <c r="G102" s="5" t="s">
        <v>362</v>
      </c>
      <c r="H102" s="5" t="s">
        <v>362</v>
      </c>
      <c r="I102" s="5" t="s">
        <v>362</v>
      </c>
      <c r="J102" s="5" t="s">
        <v>362</v>
      </c>
      <c r="K102" s="5" t="s">
        <v>362</v>
      </c>
      <c r="L102" s="5" t="s">
        <v>362</v>
      </c>
      <c r="M102" s="5" t="s">
        <v>362</v>
      </c>
      <c r="N102" s="35">
        <v>175.5</v>
      </c>
      <c r="O102" s="35">
        <v>149.69999999999999</v>
      </c>
      <c r="P102" s="4">
        <f t="shared" si="28"/>
        <v>0.85299145299145296</v>
      </c>
      <c r="Q102" s="11">
        <v>20</v>
      </c>
      <c r="R102" s="35">
        <v>50</v>
      </c>
      <c r="S102" s="35">
        <v>58.1</v>
      </c>
      <c r="T102" s="4">
        <f t="shared" si="29"/>
        <v>1.1619999999999999</v>
      </c>
      <c r="U102" s="11">
        <v>20</v>
      </c>
      <c r="V102" s="35">
        <v>6</v>
      </c>
      <c r="W102" s="35">
        <v>7</v>
      </c>
      <c r="X102" s="4">
        <f t="shared" si="30"/>
        <v>1.1666666666666667</v>
      </c>
      <c r="Y102" s="11">
        <v>30</v>
      </c>
      <c r="Z102" s="35">
        <v>2007</v>
      </c>
      <c r="AA102" s="35">
        <v>1596</v>
      </c>
      <c r="AB102" s="4">
        <f t="shared" si="31"/>
        <v>0.79521674140508225</v>
      </c>
      <c r="AC102" s="11">
        <v>5</v>
      </c>
      <c r="AD102" s="11">
        <v>201</v>
      </c>
      <c r="AE102" s="11">
        <v>201</v>
      </c>
      <c r="AF102" s="4">
        <f t="shared" si="32"/>
        <v>1</v>
      </c>
      <c r="AG102" s="11">
        <v>20</v>
      </c>
      <c r="AH102" s="5" t="s">
        <v>362</v>
      </c>
      <c r="AI102" s="5" t="s">
        <v>362</v>
      </c>
      <c r="AJ102" s="5" t="s">
        <v>362</v>
      </c>
      <c r="AK102" s="5" t="s">
        <v>362</v>
      </c>
      <c r="AL102" s="5" t="s">
        <v>362</v>
      </c>
      <c r="AM102" s="5" t="s">
        <v>362</v>
      </c>
      <c r="AN102" s="5" t="s">
        <v>362</v>
      </c>
      <c r="AO102" s="5" t="s">
        <v>362</v>
      </c>
      <c r="AP102" s="44">
        <f t="shared" si="40"/>
        <v>1.0450096080721523</v>
      </c>
      <c r="AQ102" s="45">
        <v>842</v>
      </c>
      <c r="AR102" s="35">
        <f t="shared" si="41"/>
        <v>229.63636363636363</v>
      </c>
      <c r="AS102" s="35">
        <f t="shared" si="33"/>
        <v>240</v>
      </c>
      <c r="AT102" s="35">
        <f t="shared" si="34"/>
        <v>10.363636363636374</v>
      </c>
      <c r="AU102" s="35">
        <v>91.7</v>
      </c>
      <c r="AV102" s="35">
        <v>66.7</v>
      </c>
      <c r="AW102" s="35">
        <f t="shared" si="35"/>
        <v>81.599999999999994</v>
      </c>
      <c r="AX102" s="35"/>
      <c r="AY102" s="35">
        <f t="shared" si="36"/>
        <v>81.599999999999994</v>
      </c>
      <c r="AZ102" s="35">
        <v>0</v>
      </c>
      <c r="BA102" s="35">
        <f t="shared" si="37"/>
        <v>81.599999999999994</v>
      </c>
      <c r="BB102" s="35"/>
      <c r="BC102" s="35">
        <f t="shared" si="38"/>
        <v>81.599999999999994</v>
      </c>
      <c r="BD102" s="35">
        <v>84.8</v>
      </c>
      <c r="BE102" s="35">
        <f t="shared" si="39"/>
        <v>-3.2</v>
      </c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9"/>
      <c r="BU102" s="9"/>
      <c r="BV102" s="9"/>
      <c r="BW102" s="9"/>
      <c r="BX102" s="9"/>
      <c r="BY102" s="9"/>
      <c r="BZ102" s="9"/>
      <c r="CA102" s="9"/>
      <c r="CB102" s="9"/>
      <c r="CC102" s="9"/>
      <c r="CD102" s="9"/>
      <c r="CE102" s="9"/>
      <c r="CF102" s="9"/>
      <c r="CG102" s="9"/>
      <c r="CH102" s="9"/>
      <c r="CI102" s="9"/>
      <c r="CJ102" s="9"/>
      <c r="CK102" s="9"/>
      <c r="CL102" s="9"/>
      <c r="CM102" s="9"/>
      <c r="CN102" s="9"/>
      <c r="CO102" s="9"/>
      <c r="CP102" s="9"/>
      <c r="CQ102" s="10"/>
      <c r="CR102" s="9"/>
      <c r="CS102" s="9"/>
      <c r="CT102" s="9"/>
      <c r="CU102" s="9"/>
      <c r="CV102" s="9"/>
      <c r="CW102" s="9"/>
      <c r="CX102" s="9"/>
      <c r="CY102" s="9"/>
      <c r="CZ102" s="9"/>
      <c r="DA102" s="9"/>
      <c r="DB102" s="9"/>
      <c r="DC102" s="9"/>
      <c r="DD102" s="9"/>
      <c r="DE102" s="9"/>
      <c r="DF102" s="9"/>
      <c r="DG102" s="9"/>
      <c r="DH102" s="9"/>
      <c r="DI102" s="9"/>
      <c r="DJ102" s="9"/>
      <c r="DK102" s="9"/>
      <c r="DL102" s="9"/>
      <c r="DM102" s="9"/>
      <c r="DN102" s="9"/>
      <c r="DO102" s="9"/>
      <c r="DP102" s="9"/>
      <c r="DQ102" s="9"/>
      <c r="DR102" s="9"/>
      <c r="DS102" s="10"/>
      <c r="DT102" s="9"/>
      <c r="DU102" s="9"/>
      <c r="DV102" s="9"/>
      <c r="DW102" s="9"/>
      <c r="DX102" s="9"/>
      <c r="DY102" s="9"/>
      <c r="DZ102" s="9"/>
      <c r="EA102" s="9"/>
      <c r="EB102" s="9"/>
      <c r="EC102" s="9"/>
      <c r="ED102" s="9"/>
      <c r="EE102" s="9"/>
      <c r="EF102" s="9"/>
      <c r="EG102" s="9"/>
      <c r="EH102" s="9"/>
      <c r="EI102" s="9"/>
      <c r="EJ102" s="9"/>
      <c r="EK102" s="9"/>
      <c r="EL102" s="9"/>
      <c r="EM102" s="9"/>
      <c r="EN102" s="9"/>
      <c r="EO102" s="9"/>
      <c r="EP102" s="9"/>
      <c r="EQ102" s="9"/>
      <c r="ER102" s="9"/>
      <c r="ES102" s="9"/>
      <c r="ET102" s="9"/>
      <c r="EU102" s="10"/>
      <c r="EV102" s="9"/>
      <c r="EW102" s="9"/>
      <c r="EX102" s="9"/>
      <c r="EY102" s="9"/>
      <c r="EZ102" s="9"/>
      <c r="FA102" s="9"/>
      <c r="FB102" s="9"/>
      <c r="FC102" s="9"/>
      <c r="FD102" s="9"/>
      <c r="FE102" s="9"/>
      <c r="FF102" s="9"/>
      <c r="FG102" s="9"/>
      <c r="FH102" s="9"/>
      <c r="FI102" s="9"/>
      <c r="FJ102" s="9"/>
      <c r="FK102" s="9"/>
      <c r="FL102" s="9"/>
      <c r="FM102" s="9"/>
      <c r="FN102" s="9"/>
      <c r="FO102" s="9"/>
      <c r="FP102" s="9"/>
      <c r="FQ102" s="9"/>
      <c r="FR102" s="9"/>
      <c r="FS102" s="9"/>
      <c r="FT102" s="9"/>
      <c r="FU102" s="9"/>
      <c r="FV102" s="9"/>
      <c r="FW102" s="10"/>
      <c r="FX102" s="9"/>
      <c r="FY102" s="9"/>
      <c r="FZ102" s="9"/>
      <c r="GA102" s="9"/>
      <c r="GB102" s="9"/>
      <c r="GC102" s="9"/>
      <c r="GD102" s="9"/>
      <c r="GE102" s="9"/>
      <c r="GF102" s="9"/>
      <c r="GG102" s="9"/>
      <c r="GH102" s="9"/>
      <c r="GI102" s="9"/>
      <c r="GJ102" s="9"/>
      <c r="GK102" s="9"/>
      <c r="GL102" s="9"/>
      <c r="GM102" s="9"/>
      <c r="GN102" s="9"/>
      <c r="GO102" s="9"/>
      <c r="GP102" s="9"/>
      <c r="GQ102" s="9"/>
      <c r="GR102" s="9"/>
      <c r="GS102" s="9"/>
      <c r="GT102" s="9"/>
      <c r="GU102" s="9"/>
      <c r="GV102" s="9"/>
      <c r="GW102" s="9"/>
      <c r="GX102" s="9"/>
      <c r="GY102" s="10"/>
      <c r="GZ102" s="9"/>
      <c r="HA102" s="9"/>
    </row>
    <row r="103" spans="1:209" s="2" customFormat="1" ht="17" customHeight="1">
      <c r="A103" s="14" t="s">
        <v>102</v>
      </c>
      <c r="B103" s="35">
        <v>0</v>
      </c>
      <c r="C103" s="35">
        <v>0</v>
      </c>
      <c r="D103" s="4">
        <f t="shared" si="27"/>
        <v>0</v>
      </c>
      <c r="E103" s="11">
        <v>0</v>
      </c>
      <c r="F103" s="5" t="s">
        <v>362</v>
      </c>
      <c r="G103" s="5" t="s">
        <v>362</v>
      </c>
      <c r="H103" s="5" t="s">
        <v>362</v>
      </c>
      <c r="I103" s="5" t="s">
        <v>362</v>
      </c>
      <c r="J103" s="5" t="s">
        <v>362</v>
      </c>
      <c r="K103" s="5" t="s">
        <v>362</v>
      </c>
      <c r="L103" s="5" t="s">
        <v>362</v>
      </c>
      <c r="M103" s="5" t="s">
        <v>362</v>
      </c>
      <c r="N103" s="35">
        <v>161.9</v>
      </c>
      <c r="O103" s="35">
        <v>160.80000000000001</v>
      </c>
      <c r="P103" s="4">
        <f t="shared" si="28"/>
        <v>0.99320568252007413</v>
      </c>
      <c r="Q103" s="11">
        <v>20</v>
      </c>
      <c r="R103" s="35">
        <v>24.6</v>
      </c>
      <c r="S103" s="35">
        <v>28.6</v>
      </c>
      <c r="T103" s="4">
        <f t="shared" si="29"/>
        <v>1.1626016260162602</v>
      </c>
      <c r="U103" s="11">
        <v>15</v>
      </c>
      <c r="V103" s="35">
        <v>3.4</v>
      </c>
      <c r="W103" s="35">
        <v>3.9</v>
      </c>
      <c r="X103" s="4">
        <f t="shared" si="30"/>
        <v>1.1470588235294117</v>
      </c>
      <c r="Y103" s="11">
        <v>35</v>
      </c>
      <c r="Z103" s="35">
        <v>4884</v>
      </c>
      <c r="AA103" s="35">
        <v>1267</v>
      </c>
      <c r="AB103" s="4">
        <f t="shared" si="31"/>
        <v>0.25941850941850941</v>
      </c>
      <c r="AC103" s="11">
        <v>5</v>
      </c>
      <c r="AD103" s="11">
        <v>117</v>
      </c>
      <c r="AE103" s="11">
        <v>117</v>
      </c>
      <c r="AF103" s="4">
        <f t="shared" si="32"/>
        <v>1</v>
      </c>
      <c r="AG103" s="11">
        <v>20</v>
      </c>
      <c r="AH103" s="5" t="s">
        <v>362</v>
      </c>
      <c r="AI103" s="5" t="s">
        <v>362</v>
      </c>
      <c r="AJ103" s="5" t="s">
        <v>362</v>
      </c>
      <c r="AK103" s="5" t="s">
        <v>362</v>
      </c>
      <c r="AL103" s="5" t="s">
        <v>362</v>
      </c>
      <c r="AM103" s="5" t="s">
        <v>362</v>
      </c>
      <c r="AN103" s="5" t="s">
        <v>362</v>
      </c>
      <c r="AO103" s="5" t="s">
        <v>362</v>
      </c>
      <c r="AP103" s="44">
        <f t="shared" si="40"/>
        <v>1.0394451516975509</v>
      </c>
      <c r="AQ103" s="45">
        <v>542</v>
      </c>
      <c r="AR103" s="35">
        <f t="shared" si="41"/>
        <v>147.81818181818181</v>
      </c>
      <c r="AS103" s="35">
        <f t="shared" si="33"/>
        <v>153.6</v>
      </c>
      <c r="AT103" s="35">
        <f t="shared" si="34"/>
        <v>5.7818181818181813</v>
      </c>
      <c r="AU103" s="35">
        <v>54.5</v>
      </c>
      <c r="AV103" s="35">
        <v>57.4</v>
      </c>
      <c r="AW103" s="35">
        <f t="shared" si="35"/>
        <v>41.7</v>
      </c>
      <c r="AX103" s="35"/>
      <c r="AY103" s="35">
        <f t="shared" si="36"/>
        <v>41.7</v>
      </c>
      <c r="AZ103" s="35">
        <v>0</v>
      </c>
      <c r="BA103" s="35">
        <f t="shared" si="37"/>
        <v>41.7</v>
      </c>
      <c r="BB103" s="35">
        <f>MIN(BA103,8.3)</f>
        <v>8.3000000000000007</v>
      </c>
      <c r="BC103" s="35">
        <f t="shared" si="38"/>
        <v>33.4</v>
      </c>
      <c r="BD103" s="35">
        <v>39.9</v>
      </c>
      <c r="BE103" s="35">
        <f t="shared" si="39"/>
        <v>-6.5</v>
      </c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9"/>
      <c r="BU103" s="9"/>
      <c r="BV103" s="9"/>
      <c r="BW103" s="9"/>
      <c r="BX103" s="9"/>
      <c r="BY103" s="9"/>
      <c r="BZ103" s="9"/>
      <c r="CA103" s="9"/>
      <c r="CB103" s="9"/>
      <c r="CC103" s="9"/>
      <c r="CD103" s="9"/>
      <c r="CE103" s="9"/>
      <c r="CF103" s="9"/>
      <c r="CG103" s="9"/>
      <c r="CH103" s="9"/>
      <c r="CI103" s="9"/>
      <c r="CJ103" s="9"/>
      <c r="CK103" s="9"/>
      <c r="CL103" s="9"/>
      <c r="CM103" s="9"/>
      <c r="CN103" s="9"/>
      <c r="CO103" s="9"/>
      <c r="CP103" s="9"/>
      <c r="CQ103" s="10"/>
      <c r="CR103" s="9"/>
      <c r="CS103" s="9"/>
      <c r="CT103" s="9"/>
      <c r="CU103" s="9"/>
      <c r="CV103" s="9"/>
      <c r="CW103" s="9"/>
      <c r="CX103" s="9"/>
      <c r="CY103" s="9"/>
      <c r="CZ103" s="9"/>
      <c r="DA103" s="9"/>
      <c r="DB103" s="9"/>
      <c r="DC103" s="9"/>
      <c r="DD103" s="9"/>
      <c r="DE103" s="9"/>
      <c r="DF103" s="9"/>
      <c r="DG103" s="9"/>
      <c r="DH103" s="9"/>
      <c r="DI103" s="9"/>
      <c r="DJ103" s="9"/>
      <c r="DK103" s="9"/>
      <c r="DL103" s="9"/>
      <c r="DM103" s="9"/>
      <c r="DN103" s="9"/>
      <c r="DO103" s="9"/>
      <c r="DP103" s="9"/>
      <c r="DQ103" s="9"/>
      <c r="DR103" s="9"/>
      <c r="DS103" s="10"/>
      <c r="DT103" s="9"/>
      <c r="DU103" s="9"/>
      <c r="DV103" s="9"/>
      <c r="DW103" s="9"/>
      <c r="DX103" s="9"/>
      <c r="DY103" s="9"/>
      <c r="DZ103" s="9"/>
      <c r="EA103" s="9"/>
      <c r="EB103" s="9"/>
      <c r="EC103" s="9"/>
      <c r="ED103" s="9"/>
      <c r="EE103" s="9"/>
      <c r="EF103" s="9"/>
      <c r="EG103" s="9"/>
      <c r="EH103" s="9"/>
      <c r="EI103" s="9"/>
      <c r="EJ103" s="9"/>
      <c r="EK103" s="9"/>
      <c r="EL103" s="9"/>
      <c r="EM103" s="9"/>
      <c r="EN103" s="9"/>
      <c r="EO103" s="9"/>
      <c r="EP103" s="9"/>
      <c r="EQ103" s="9"/>
      <c r="ER103" s="9"/>
      <c r="ES103" s="9"/>
      <c r="ET103" s="9"/>
      <c r="EU103" s="10"/>
      <c r="EV103" s="9"/>
      <c r="EW103" s="9"/>
      <c r="EX103" s="9"/>
      <c r="EY103" s="9"/>
      <c r="EZ103" s="9"/>
      <c r="FA103" s="9"/>
      <c r="FB103" s="9"/>
      <c r="FC103" s="9"/>
      <c r="FD103" s="9"/>
      <c r="FE103" s="9"/>
      <c r="FF103" s="9"/>
      <c r="FG103" s="9"/>
      <c r="FH103" s="9"/>
      <c r="FI103" s="9"/>
      <c r="FJ103" s="9"/>
      <c r="FK103" s="9"/>
      <c r="FL103" s="9"/>
      <c r="FM103" s="9"/>
      <c r="FN103" s="9"/>
      <c r="FO103" s="9"/>
      <c r="FP103" s="9"/>
      <c r="FQ103" s="9"/>
      <c r="FR103" s="9"/>
      <c r="FS103" s="9"/>
      <c r="FT103" s="9"/>
      <c r="FU103" s="9"/>
      <c r="FV103" s="9"/>
      <c r="FW103" s="10"/>
      <c r="FX103" s="9"/>
      <c r="FY103" s="9"/>
      <c r="FZ103" s="9"/>
      <c r="GA103" s="9"/>
      <c r="GB103" s="9"/>
      <c r="GC103" s="9"/>
      <c r="GD103" s="9"/>
      <c r="GE103" s="9"/>
      <c r="GF103" s="9"/>
      <c r="GG103" s="9"/>
      <c r="GH103" s="9"/>
      <c r="GI103" s="9"/>
      <c r="GJ103" s="9"/>
      <c r="GK103" s="9"/>
      <c r="GL103" s="9"/>
      <c r="GM103" s="9"/>
      <c r="GN103" s="9"/>
      <c r="GO103" s="9"/>
      <c r="GP103" s="9"/>
      <c r="GQ103" s="9"/>
      <c r="GR103" s="9"/>
      <c r="GS103" s="9"/>
      <c r="GT103" s="9"/>
      <c r="GU103" s="9"/>
      <c r="GV103" s="9"/>
      <c r="GW103" s="9"/>
      <c r="GX103" s="9"/>
      <c r="GY103" s="10"/>
      <c r="GZ103" s="9"/>
      <c r="HA103" s="9"/>
    </row>
    <row r="104" spans="1:209" s="2" customFormat="1" ht="17" customHeight="1">
      <c r="A104" s="18" t="s">
        <v>103</v>
      </c>
      <c r="B104" s="6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35"/>
      <c r="AA104" s="35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  <c r="AZ104" s="11"/>
      <c r="BA104" s="11"/>
      <c r="BB104" s="11"/>
      <c r="BC104" s="35"/>
      <c r="BD104" s="35"/>
      <c r="BE104" s="35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9"/>
      <c r="BU104" s="9"/>
      <c r="BV104" s="9"/>
      <c r="BW104" s="9"/>
      <c r="BX104" s="9"/>
      <c r="BY104" s="9"/>
      <c r="BZ104" s="9"/>
      <c r="CA104" s="9"/>
      <c r="CB104" s="9"/>
      <c r="CC104" s="9"/>
      <c r="CD104" s="9"/>
      <c r="CE104" s="9"/>
      <c r="CF104" s="9"/>
      <c r="CG104" s="9"/>
      <c r="CH104" s="9"/>
      <c r="CI104" s="9"/>
      <c r="CJ104" s="9"/>
      <c r="CK104" s="9"/>
      <c r="CL104" s="9"/>
      <c r="CM104" s="9"/>
      <c r="CN104" s="9"/>
      <c r="CO104" s="9"/>
      <c r="CP104" s="9"/>
      <c r="CQ104" s="10"/>
      <c r="CR104" s="9"/>
      <c r="CS104" s="9"/>
      <c r="CT104" s="9"/>
      <c r="CU104" s="9"/>
      <c r="CV104" s="9"/>
      <c r="CW104" s="9"/>
      <c r="CX104" s="9"/>
      <c r="CY104" s="9"/>
      <c r="CZ104" s="9"/>
      <c r="DA104" s="9"/>
      <c r="DB104" s="9"/>
      <c r="DC104" s="9"/>
      <c r="DD104" s="9"/>
      <c r="DE104" s="9"/>
      <c r="DF104" s="9"/>
      <c r="DG104" s="9"/>
      <c r="DH104" s="9"/>
      <c r="DI104" s="9"/>
      <c r="DJ104" s="9"/>
      <c r="DK104" s="9"/>
      <c r="DL104" s="9"/>
      <c r="DM104" s="9"/>
      <c r="DN104" s="9"/>
      <c r="DO104" s="9"/>
      <c r="DP104" s="9"/>
      <c r="DQ104" s="9"/>
      <c r="DR104" s="9"/>
      <c r="DS104" s="10"/>
      <c r="DT104" s="9"/>
      <c r="DU104" s="9"/>
      <c r="DV104" s="9"/>
      <c r="DW104" s="9"/>
      <c r="DX104" s="9"/>
      <c r="DY104" s="9"/>
      <c r="DZ104" s="9"/>
      <c r="EA104" s="9"/>
      <c r="EB104" s="9"/>
      <c r="EC104" s="9"/>
      <c r="ED104" s="9"/>
      <c r="EE104" s="9"/>
      <c r="EF104" s="9"/>
      <c r="EG104" s="9"/>
      <c r="EH104" s="9"/>
      <c r="EI104" s="9"/>
      <c r="EJ104" s="9"/>
      <c r="EK104" s="9"/>
      <c r="EL104" s="9"/>
      <c r="EM104" s="9"/>
      <c r="EN104" s="9"/>
      <c r="EO104" s="9"/>
      <c r="EP104" s="9"/>
      <c r="EQ104" s="9"/>
      <c r="ER104" s="9"/>
      <c r="ES104" s="9"/>
      <c r="ET104" s="9"/>
      <c r="EU104" s="10"/>
      <c r="EV104" s="9"/>
      <c r="EW104" s="9"/>
      <c r="EX104" s="9"/>
      <c r="EY104" s="9"/>
      <c r="EZ104" s="9"/>
      <c r="FA104" s="9"/>
      <c r="FB104" s="9"/>
      <c r="FC104" s="9"/>
      <c r="FD104" s="9"/>
      <c r="FE104" s="9"/>
      <c r="FF104" s="9"/>
      <c r="FG104" s="9"/>
      <c r="FH104" s="9"/>
      <c r="FI104" s="9"/>
      <c r="FJ104" s="9"/>
      <c r="FK104" s="9"/>
      <c r="FL104" s="9"/>
      <c r="FM104" s="9"/>
      <c r="FN104" s="9"/>
      <c r="FO104" s="9"/>
      <c r="FP104" s="9"/>
      <c r="FQ104" s="9"/>
      <c r="FR104" s="9"/>
      <c r="FS104" s="9"/>
      <c r="FT104" s="9"/>
      <c r="FU104" s="9"/>
      <c r="FV104" s="9"/>
      <c r="FW104" s="10"/>
      <c r="FX104" s="9"/>
      <c r="FY104" s="9"/>
      <c r="FZ104" s="9"/>
      <c r="GA104" s="9"/>
      <c r="GB104" s="9"/>
      <c r="GC104" s="9"/>
      <c r="GD104" s="9"/>
      <c r="GE104" s="9"/>
      <c r="GF104" s="9"/>
      <c r="GG104" s="9"/>
      <c r="GH104" s="9"/>
      <c r="GI104" s="9"/>
      <c r="GJ104" s="9"/>
      <c r="GK104" s="9"/>
      <c r="GL104" s="9"/>
      <c r="GM104" s="9"/>
      <c r="GN104" s="9"/>
      <c r="GO104" s="9"/>
      <c r="GP104" s="9"/>
      <c r="GQ104" s="9"/>
      <c r="GR104" s="9"/>
      <c r="GS104" s="9"/>
      <c r="GT104" s="9"/>
      <c r="GU104" s="9"/>
      <c r="GV104" s="9"/>
      <c r="GW104" s="9"/>
      <c r="GX104" s="9"/>
      <c r="GY104" s="10"/>
      <c r="GZ104" s="9"/>
      <c r="HA104" s="9"/>
    </row>
    <row r="105" spans="1:209" s="2" customFormat="1" ht="15.55" customHeight="1">
      <c r="A105" s="14" t="s">
        <v>104</v>
      </c>
      <c r="B105" s="35">
        <v>466134</v>
      </c>
      <c r="C105" s="35">
        <v>909624.5</v>
      </c>
      <c r="D105" s="4">
        <f t="shared" si="27"/>
        <v>1.2751422766843867</v>
      </c>
      <c r="E105" s="11">
        <v>10</v>
      </c>
      <c r="F105" s="5" t="s">
        <v>362</v>
      </c>
      <c r="G105" s="5" t="s">
        <v>362</v>
      </c>
      <c r="H105" s="5" t="s">
        <v>362</v>
      </c>
      <c r="I105" s="5" t="s">
        <v>362</v>
      </c>
      <c r="J105" s="5" t="s">
        <v>362</v>
      </c>
      <c r="K105" s="5" t="s">
        <v>362</v>
      </c>
      <c r="L105" s="5" t="s">
        <v>362</v>
      </c>
      <c r="M105" s="5" t="s">
        <v>362</v>
      </c>
      <c r="N105" s="35">
        <v>6292.8</v>
      </c>
      <c r="O105" s="35">
        <v>7414.3</v>
      </c>
      <c r="P105" s="4">
        <f t="shared" si="28"/>
        <v>1.1782195525044494</v>
      </c>
      <c r="Q105" s="11">
        <v>20</v>
      </c>
      <c r="R105" s="35">
        <v>22</v>
      </c>
      <c r="S105" s="35">
        <v>41.4</v>
      </c>
      <c r="T105" s="4">
        <f t="shared" si="29"/>
        <v>1.2681818181818181</v>
      </c>
      <c r="U105" s="11">
        <v>30</v>
      </c>
      <c r="V105" s="35">
        <v>43</v>
      </c>
      <c r="W105" s="35">
        <v>84.7</v>
      </c>
      <c r="X105" s="4">
        <f t="shared" si="30"/>
        <v>1.2769767441860465</v>
      </c>
      <c r="Y105" s="11">
        <v>20</v>
      </c>
      <c r="Z105" s="35">
        <v>33978</v>
      </c>
      <c r="AA105" s="35">
        <v>21976</v>
      </c>
      <c r="AB105" s="4">
        <f t="shared" si="31"/>
        <v>0.64677144034375189</v>
      </c>
      <c r="AC105" s="11">
        <v>10</v>
      </c>
      <c r="AD105" s="11">
        <v>80</v>
      </c>
      <c r="AE105" s="11">
        <v>81</v>
      </c>
      <c r="AF105" s="4">
        <f t="shared" si="32"/>
        <v>1.0125</v>
      </c>
      <c r="AG105" s="11">
        <v>20</v>
      </c>
      <c r="AH105" s="5" t="s">
        <v>362</v>
      </c>
      <c r="AI105" s="5" t="s">
        <v>362</v>
      </c>
      <c r="AJ105" s="5" t="s">
        <v>362</v>
      </c>
      <c r="AK105" s="5" t="s">
        <v>362</v>
      </c>
      <c r="AL105" s="5" t="s">
        <v>362</v>
      </c>
      <c r="AM105" s="5" t="s">
        <v>362</v>
      </c>
      <c r="AN105" s="5" t="s">
        <v>362</v>
      </c>
      <c r="AO105" s="5" t="s">
        <v>362</v>
      </c>
      <c r="AP105" s="44">
        <f t="shared" si="40"/>
        <v>1.1510774331776896</v>
      </c>
      <c r="AQ105" s="45">
        <v>1514</v>
      </c>
      <c r="AR105" s="35">
        <f t="shared" si="41"/>
        <v>412.90909090909088</v>
      </c>
      <c r="AS105" s="35">
        <f t="shared" si="33"/>
        <v>475.3</v>
      </c>
      <c r="AT105" s="35">
        <f t="shared" si="34"/>
        <v>62.390909090909133</v>
      </c>
      <c r="AU105" s="35">
        <v>175.5</v>
      </c>
      <c r="AV105" s="35">
        <v>156.1</v>
      </c>
      <c r="AW105" s="35">
        <f t="shared" si="35"/>
        <v>143.69999999999999</v>
      </c>
      <c r="AX105" s="35"/>
      <c r="AY105" s="35">
        <f t="shared" si="36"/>
        <v>143.69999999999999</v>
      </c>
      <c r="AZ105" s="35">
        <v>0</v>
      </c>
      <c r="BA105" s="35">
        <f t="shared" si="37"/>
        <v>143.69999999999999</v>
      </c>
      <c r="BB105" s="35">
        <f>MIN(BA105,32.8)</f>
        <v>32.799999999999997</v>
      </c>
      <c r="BC105" s="35">
        <f t="shared" si="38"/>
        <v>110.9</v>
      </c>
      <c r="BD105" s="35">
        <v>131.69999999999999</v>
      </c>
      <c r="BE105" s="35">
        <f t="shared" si="39"/>
        <v>-20.8</v>
      </c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9"/>
      <c r="BU105" s="9"/>
      <c r="BV105" s="9"/>
      <c r="BW105" s="9"/>
      <c r="BX105" s="9"/>
      <c r="BY105" s="9"/>
      <c r="BZ105" s="9"/>
      <c r="CA105" s="9"/>
      <c r="CB105" s="9"/>
      <c r="CC105" s="9"/>
      <c r="CD105" s="9"/>
      <c r="CE105" s="9"/>
      <c r="CF105" s="9"/>
      <c r="CG105" s="9"/>
      <c r="CH105" s="9"/>
      <c r="CI105" s="9"/>
      <c r="CJ105" s="9"/>
      <c r="CK105" s="9"/>
      <c r="CL105" s="9"/>
      <c r="CM105" s="9"/>
      <c r="CN105" s="9"/>
      <c r="CO105" s="9"/>
      <c r="CP105" s="9"/>
      <c r="CQ105" s="10"/>
      <c r="CR105" s="9"/>
      <c r="CS105" s="9"/>
      <c r="CT105" s="9"/>
      <c r="CU105" s="9"/>
      <c r="CV105" s="9"/>
      <c r="CW105" s="9"/>
      <c r="CX105" s="9"/>
      <c r="CY105" s="9"/>
      <c r="CZ105" s="9"/>
      <c r="DA105" s="9"/>
      <c r="DB105" s="9"/>
      <c r="DC105" s="9"/>
      <c r="DD105" s="9"/>
      <c r="DE105" s="9"/>
      <c r="DF105" s="9"/>
      <c r="DG105" s="9"/>
      <c r="DH105" s="9"/>
      <c r="DI105" s="9"/>
      <c r="DJ105" s="9"/>
      <c r="DK105" s="9"/>
      <c r="DL105" s="9"/>
      <c r="DM105" s="9"/>
      <c r="DN105" s="9"/>
      <c r="DO105" s="9"/>
      <c r="DP105" s="9"/>
      <c r="DQ105" s="9"/>
      <c r="DR105" s="9"/>
      <c r="DS105" s="10"/>
      <c r="DT105" s="9"/>
      <c r="DU105" s="9"/>
      <c r="DV105" s="9"/>
      <c r="DW105" s="9"/>
      <c r="DX105" s="9"/>
      <c r="DY105" s="9"/>
      <c r="DZ105" s="9"/>
      <c r="EA105" s="9"/>
      <c r="EB105" s="9"/>
      <c r="EC105" s="9"/>
      <c r="ED105" s="9"/>
      <c r="EE105" s="9"/>
      <c r="EF105" s="9"/>
      <c r="EG105" s="9"/>
      <c r="EH105" s="9"/>
      <c r="EI105" s="9"/>
      <c r="EJ105" s="9"/>
      <c r="EK105" s="9"/>
      <c r="EL105" s="9"/>
      <c r="EM105" s="9"/>
      <c r="EN105" s="9"/>
      <c r="EO105" s="9"/>
      <c r="EP105" s="9"/>
      <c r="EQ105" s="9"/>
      <c r="ER105" s="9"/>
      <c r="ES105" s="9"/>
      <c r="ET105" s="9"/>
      <c r="EU105" s="10"/>
      <c r="EV105" s="9"/>
      <c r="EW105" s="9"/>
      <c r="EX105" s="9"/>
      <c r="EY105" s="9"/>
      <c r="EZ105" s="9"/>
      <c r="FA105" s="9"/>
      <c r="FB105" s="9"/>
      <c r="FC105" s="9"/>
      <c r="FD105" s="9"/>
      <c r="FE105" s="9"/>
      <c r="FF105" s="9"/>
      <c r="FG105" s="9"/>
      <c r="FH105" s="9"/>
      <c r="FI105" s="9"/>
      <c r="FJ105" s="9"/>
      <c r="FK105" s="9"/>
      <c r="FL105" s="9"/>
      <c r="FM105" s="9"/>
      <c r="FN105" s="9"/>
      <c r="FO105" s="9"/>
      <c r="FP105" s="9"/>
      <c r="FQ105" s="9"/>
      <c r="FR105" s="9"/>
      <c r="FS105" s="9"/>
      <c r="FT105" s="9"/>
      <c r="FU105" s="9"/>
      <c r="FV105" s="9"/>
      <c r="FW105" s="10"/>
      <c r="FX105" s="9"/>
      <c r="FY105" s="9"/>
      <c r="FZ105" s="9"/>
      <c r="GA105" s="9"/>
      <c r="GB105" s="9"/>
      <c r="GC105" s="9"/>
      <c r="GD105" s="9"/>
      <c r="GE105" s="9"/>
      <c r="GF105" s="9"/>
      <c r="GG105" s="9"/>
      <c r="GH105" s="9"/>
      <c r="GI105" s="9"/>
      <c r="GJ105" s="9"/>
      <c r="GK105" s="9"/>
      <c r="GL105" s="9"/>
      <c r="GM105" s="9"/>
      <c r="GN105" s="9"/>
      <c r="GO105" s="9"/>
      <c r="GP105" s="9"/>
      <c r="GQ105" s="9"/>
      <c r="GR105" s="9"/>
      <c r="GS105" s="9"/>
      <c r="GT105" s="9"/>
      <c r="GU105" s="9"/>
      <c r="GV105" s="9"/>
      <c r="GW105" s="9"/>
      <c r="GX105" s="9"/>
      <c r="GY105" s="10"/>
      <c r="GZ105" s="9"/>
      <c r="HA105" s="9"/>
    </row>
    <row r="106" spans="1:209" s="2" customFormat="1" ht="17" customHeight="1">
      <c r="A106" s="14" t="s">
        <v>105</v>
      </c>
      <c r="B106" s="35">
        <v>0</v>
      </c>
      <c r="C106" s="35">
        <v>1395.4</v>
      </c>
      <c r="D106" s="4">
        <f t="shared" si="27"/>
        <v>0</v>
      </c>
      <c r="E106" s="11">
        <v>0</v>
      </c>
      <c r="F106" s="5" t="s">
        <v>362</v>
      </c>
      <c r="G106" s="5" t="s">
        <v>362</v>
      </c>
      <c r="H106" s="5" t="s">
        <v>362</v>
      </c>
      <c r="I106" s="5" t="s">
        <v>362</v>
      </c>
      <c r="J106" s="5" t="s">
        <v>362</v>
      </c>
      <c r="K106" s="5" t="s">
        <v>362</v>
      </c>
      <c r="L106" s="5" t="s">
        <v>362</v>
      </c>
      <c r="M106" s="5" t="s">
        <v>362</v>
      </c>
      <c r="N106" s="35">
        <v>1868.4</v>
      </c>
      <c r="O106" s="35">
        <v>4225</v>
      </c>
      <c r="P106" s="4">
        <f t="shared" si="28"/>
        <v>1.3</v>
      </c>
      <c r="Q106" s="11">
        <v>20</v>
      </c>
      <c r="R106" s="35">
        <v>150</v>
      </c>
      <c r="S106" s="35">
        <v>168</v>
      </c>
      <c r="T106" s="4">
        <f t="shared" si="29"/>
        <v>1.1200000000000001</v>
      </c>
      <c r="U106" s="11">
        <v>25</v>
      </c>
      <c r="V106" s="35">
        <v>108.2</v>
      </c>
      <c r="W106" s="35">
        <v>111.8</v>
      </c>
      <c r="X106" s="4">
        <f t="shared" si="30"/>
        <v>1.033271719038817</v>
      </c>
      <c r="Y106" s="11">
        <v>25</v>
      </c>
      <c r="Z106" s="35">
        <v>114639</v>
      </c>
      <c r="AA106" s="35">
        <v>23807</v>
      </c>
      <c r="AB106" s="4">
        <f t="shared" si="31"/>
        <v>0.20766929230017708</v>
      </c>
      <c r="AC106" s="11">
        <v>10</v>
      </c>
      <c r="AD106" s="11">
        <v>927</v>
      </c>
      <c r="AE106" s="11">
        <v>1009</v>
      </c>
      <c r="AF106" s="4">
        <f t="shared" si="32"/>
        <v>1.0884573894282632</v>
      </c>
      <c r="AG106" s="11">
        <v>20</v>
      </c>
      <c r="AH106" s="5" t="s">
        <v>362</v>
      </c>
      <c r="AI106" s="5" t="s">
        <v>362</v>
      </c>
      <c r="AJ106" s="5" t="s">
        <v>362</v>
      </c>
      <c r="AK106" s="5" t="s">
        <v>362</v>
      </c>
      <c r="AL106" s="5" t="s">
        <v>362</v>
      </c>
      <c r="AM106" s="5" t="s">
        <v>362</v>
      </c>
      <c r="AN106" s="5" t="s">
        <v>362</v>
      </c>
      <c r="AO106" s="5" t="s">
        <v>362</v>
      </c>
      <c r="AP106" s="44">
        <f t="shared" si="40"/>
        <v>1.0367763368753744</v>
      </c>
      <c r="AQ106" s="45">
        <v>1297</v>
      </c>
      <c r="AR106" s="35">
        <f t="shared" si="41"/>
        <v>353.72727272727275</v>
      </c>
      <c r="AS106" s="35">
        <f t="shared" si="33"/>
        <v>366.7</v>
      </c>
      <c r="AT106" s="35">
        <f t="shared" si="34"/>
        <v>12.972727272727241</v>
      </c>
      <c r="AU106" s="35">
        <v>133.69999999999999</v>
      </c>
      <c r="AV106" s="35">
        <v>133</v>
      </c>
      <c r="AW106" s="35">
        <f t="shared" si="35"/>
        <v>100</v>
      </c>
      <c r="AX106" s="35"/>
      <c r="AY106" s="35">
        <f t="shared" si="36"/>
        <v>100</v>
      </c>
      <c r="AZ106" s="35">
        <v>0</v>
      </c>
      <c r="BA106" s="35">
        <f t="shared" si="37"/>
        <v>100</v>
      </c>
      <c r="BB106" s="35"/>
      <c r="BC106" s="35">
        <f t="shared" si="38"/>
        <v>100</v>
      </c>
      <c r="BD106" s="35">
        <v>132.6</v>
      </c>
      <c r="BE106" s="35">
        <f t="shared" si="39"/>
        <v>-32.6</v>
      </c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9"/>
      <c r="BU106" s="9"/>
      <c r="BV106" s="9"/>
      <c r="BW106" s="9"/>
      <c r="BX106" s="9"/>
      <c r="BY106" s="9"/>
      <c r="BZ106" s="9"/>
      <c r="CA106" s="9"/>
      <c r="CB106" s="9"/>
      <c r="CC106" s="9"/>
      <c r="CD106" s="9"/>
      <c r="CE106" s="9"/>
      <c r="CF106" s="9"/>
      <c r="CG106" s="9"/>
      <c r="CH106" s="9"/>
      <c r="CI106" s="9"/>
      <c r="CJ106" s="9"/>
      <c r="CK106" s="9"/>
      <c r="CL106" s="9"/>
      <c r="CM106" s="9"/>
      <c r="CN106" s="9"/>
      <c r="CO106" s="9"/>
      <c r="CP106" s="9"/>
      <c r="CQ106" s="10"/>
      <c r="CR106" s="9"/>
      <c r="CS106" s="9"/>
      <c r="CT106" s="9"/>
      <c r="CU106" s="9"/>
      <c r="CV106" s="9"/>
      <c r="CW106" s="9"/>
      <c r="CX106" s="9"/>
      <c r="CY106" s="9"/>
      <c r="CZ106" s="9"/>
      <c r="DA106" s="9"/>
      <c r="DB106" s="9"/>
      <c r="DC106" s="9"/>
      <c r="DD106" s="9"/>
      <c r="DE106" s="9"/>
      <c r="DF106" s="9"/>
      <c r="DG106" s="9"/>
      <c r="DH106" s="9"/>
      <c r="DI106" s="9"/>
      <c r="DJ106" s="9"/>
      <c r="DK106" s="9"/>
      <c r="DL106" s="9"/>
      <c r="DM106" s="9"/>
      <c r="DN106" s="9"/>
      <c r="DO106" s="9"/>
      <c r="DP106" s="9"/>
      <c r="DQ106" s="9"/>
      <c r="DR106" s="9"/>
      <c r="DS106" s="10"/>
      <c r="DT106" s="9"/>
      <c r="DU106" s="9"/>
      <c r="DV106" s="9"/>
      <c r="DW106" s="9"/>
      <c r="DX106" s="9"/>
      <c r="DY106" s="9"/>
      <c r="DZ106" s="9"/>
      <c r="EA106" s="9"/>
      <c r="EB106" s="9"/>
      <c r="EC106" s="9"/>
      <c r="ED106" s="9"/>
      <c r="EE106" s="9"/>
      <c r="EF106" s="9"/>
      <c r="EG106" s="9"/>
      <c r="EH106" s="9"/>
      <c r="EI106" s="9"/>
      <c r="EJ106" s="9"/>
      <c r="EK106" s="9"/>
      <c r="EL106" s="9"/>
      <c r="EM106" s="9"/>
      <c r="EN106" s="9"/>
      <c r="EO106" s="9"/>
      <c r="EP106" s="9"/>
      <c r="EQ106" s="9"/>
      <c r="ER106" s="9"/>
      <c r="ES106" s="9"/>
      <c r="ET106" s="9"/>
      <c r="EU106" s="10"/>
      <c r="EV106" s="9"/>
      <c r="EW106" s="9"/>
      <c r="EX106" s="9"/>
      <c r="EY106" s="9"/>
      <c r="EZ106" s="9"/>
      <c r="FA106" s="9"/>
      <c r="FB106" s="9"/>
      <c r="FC106" s="9"/>
      <c r="FD106" s="9"/>
      <c r="FE106" s="9"/>
      <c r="FF106" s="9"/>
      <c r="FG106" s="9"/>
      <c r="FH106" s="9"/>
      <c r="FI106" s="9"/>
      <c r="FJ106" s="9"/>
      <c r="FK106" s="9"/>
      <c r="FL106" s="9"/>
      <c r="FM106" s="9"/>
      <c r="FN106" s="9"/>
      <c r="FO106" s="9"/>
      <c r="FP106" s="9"/>
      <c r="FQ106" s="9"/>
      <c r="FR106" s="9"/>
      <c r="FS106" s="9"/>
      <c r="FT106" s="9"/>
      <c r="FU106" s="9"/>
      <c r="FV106" s="9"/>
      <c r="FW106" s="10"/>
      <c r="FX106" s="9"/>
      <c r="FY106" s="9"/>
      <c r="FZ106" s="9"/>
      <c r="GA106" s="9"/>
      <c r="GB106" s="9"/>
      <c r="GC106" s="9"/>
      <c r="GD106" s="9"/>
      <c r="GE106" s="9"/>
      <c r="GF106" s="9"/>
      <c r="GG106" s="9"/>
      <c r="GH106" s="9"/>
      <c r="GI106" s="9"/>
      <c r="GJ106" s="9"/>
      <c r="GK106" s="9"/>
      <c r="GL106" s="9"/>
      <c r="GM106" s="9"/>
      <c r="GN106" s="9"/>
      <c r="GO106" s="9"/>
      <c r="GP106" s="9"/>
      <c r="GQ106" s="9"/>
      <c r="GR106" s="9"/>
      <c r="GS106" s="9"/>
      <c r="GT106" s="9"/>
      <c r="GU106" s="9"/>
      <c r="GV106" s="9"/>
      <c r="GW106" s="9"/>
      <c r="GX106" s="9"/>
      <c r="GY106" s="10"/>
      <c r="GZ106" s="9"/>
      <c r="HA106" s="9"/>
    </row>
    <row r="107" spans="1:209" s="2" customFormat="1" ht="17" customHeight="1">
      <c r="A107" s="14" t="s">
        <v>106</v>
      </c>
      <c r="B107" s="35">
        <v>2066</v>
      </c>
      <c r="C107" s="35">
        <v>4273.6000000000004</v>
      </c>
      <c r="D107" s="4">
        <f t="shared" si="27"/>
        <v>1.2868538238141336</v>
      </c>
      <c r="E107" s="11">
        <v>10</v>
      </c>
      <c r="F107" s="5" t="s">
        <v>362</v>
      </c>
      <c r="G107" s="5" t="s">
        <v>362</v>
      </c>
      <c r="H107" s="5" t="s">
        <v>362</v>
      </c>
      <c r="I107" s="5" t="s">
        <v>362</v>
      </c>
      <c r="J107" s="5" t="s">
        <v>362</v>
      </c>
      <c r="K107" s="5" t="s">
        <v>362</v>
      </c>
      <c r="L107" s="5" t="s">
        <v>362</v>
      </c>
      <c r="M107" s="5" t="s">
        <v>362</v>
      </c>
      <c r="N107" s="35">
        <v>4355.3999999999996</v>
      </c>
      <c r="O107" s="35">
        <v>4802.8999999999996</v>
      </c>
      <c r="P107" s="4">
        <f t="shared" si="28"/>
        <v>1.1027460164393625</v>
      </c>
      <c r="Q107" s="11">
        <v>20</v>
      </c>
      <c r="R107" s="35">
        <v>4.2</v>
      </c>
      <c r="S107" s="35">
        <v>4.3</v>
      </c>
      <c r="T107" s="4">
        <f t="shared" si="29"/>
        <v>1.0238095238095237</v>
      </c>
      <c r="U107" s="11">
        <v>25</v>
      </c>
      <c r="V107" s="35">
        <v>15</v>
      </c>
      <c r="W107" s="35">
        <v>18.3</v>
      </c>
      <c r="X107" s="4">
        <f t="shared" si="30"/>
        <v>1.202</v>
      </c>
      <c r="Y107" s="11">
        <v>25</v>
      </c>
      <c r="Z107" s="35">
        <v>55204</v>
      </c>
      <c r="AA107" s="35">
        <v>56770</v>
      </c>
      <c r="AB107" s="4">
        <f t="shared" si="31"/>
        <v>1.0283675096007536</v>
      </c>
      <c r="AC107" s="11">
        <v>10</v>
      </c>
      <c r="AD107" s="11">
        <v>404</v>
      </c>
      <c r="AE107" s="11">
        <v>375</v>
      </c>
      <c r="AF107" s="4">
        <f t="shared" si="32"/>
        <v>0.92821782178217827</v>
      </c>
      <c r="AG107" s="11">
        <v>20</v>
      </c>
      <c r="AH107" s="5" t="s">
        <v>362</v>
      </c>
      <c r="AI107" s="5" t="s">
        <v>362</v>
      </c>
      <c r="AJ107" s="5" t="s">
        <v>362</v>
      </c>
      <c r="AK107" s="5" t="s">
        <v>362</v>
      </c>
      <c r="AL107" s="5" t="s">
        <v>362</v>
      </c>
      <c r="AM107" s="5" t="s">
        <v>362</v>
      </c>
      <c r="AN107" s="5" t="s">
        <v>362</v>
      </c>
      <c r="AO107" s="5" t="s">
        <v>362</v>
      </c>
      <c r="AP107" s="44">
        <f t="shared" si="40"/>
        <v>1.0856066199437979</v>
      </c>
      <c r="AQ107" s="45">
        <v>2238</v>
      </c>
      <c r="AR107" s="35">
        <f t="shared" si="41"/>
        <v>610.36363636363637</v>
      </c>
      <c r="AS107" s="35">
        <f t="shared" si="33"/>
        <v>662.6</v>
      </c>
      <c r="AT107" s="35">
        <f t="shared" si="34"/>
        <v>52.236363636363649</v>
      </c>
      <c r="AU107" s="35">
        <v>233.4</v>
      </c>
      <c r="AV107" s="35">
        <v>213.7</v>
      </c>
      <c r="AW107" s="35">
        <f t="shared" si="35"/>
        <v>215.5</v>
      </c>
      <c r="AX107" s="35"/>
      <c r="AY107" s="35">
        <f t="shared" si="36"/>
        <v>215.5</v>
      </c>
      <c r="AZ107" s="35">
        <v>0</v>
      </c>
      <c r="BA107" s="35">
        <f t="shared" si="37"/>
        <v>215.5</v>
      </c>
      <c r="BB107" s="35">
        <f>MIN(BA107,101.7)</f>
        <v>101.7</v>
      </c>
      <c r="BC107" s="35">
        <f t="shared" si="38"/>
        <v>113.8</v>
      </c>
      <c r="BD107" s="35">
        <v>117.3</v>
      </c>
      <c r="BE107" s="35">
        <f t="shared" si="39"/>
        <v>-3.5</v>
      </c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9"/>
      <c r="BU107" s="9"/>
      <c r="BV107" s="9"/>
      <c r="BW107" s="9"/>
      <c r="BX107" s="9"/>
      <c r="BY107" s="9"/>
      <c r="BZ107" s="9"/>
      <c r="CA107" s="9"/>
      <c r="CB107" s="9"/>
      <c r="CC107" s="9"/>
      <c r="CD107" s="9"/>
      <c r="CE107" s="9"/>
      <c r="CF107" s="9"/>
      <c r="CG107" s="9"/>
      <c r="CH107" s="9"/>
      <c r="CI107" s="9"/>
      <c r="CJ107" s="9"/>
      <c r="CK107" s="9"/>
      <c r="CL107" s="9"/>
      <c r="CM107" s="9"/>
      <c r="CN107" s="9"/>
      <c r="CO107" s="9"/>
      <c r="CP107" s="9"/>
      <c r="CQ107" s="10"/>
      <c r="CR107" s="9"/>
      <c r="CS107" s="9"/>
      <c r="CT107" s="9"/>
      <c r="CU107" s="9"/>
      <c r="CV107" s="9"/>
      <c r="CW107" s="9"/>
      <c r="CX107" s="9"/>
      <c r="CY107" s="9"/>
      <c r="CZ107" s="9"/>
      <c r="DA107" s="9"/>
      <c r="DB107" s="9"/>
      <c r="DC107" s="9"/>
      <c r="DD107" s="9"/>
      <c r="DE107" s="9"/>
      <c r="DF107" s="9"/>
      <c r="DG107" s="9"/>
      <c r="DH107" s="9"/>
      <c r="DI107" s="9"/>
      <c r="DJ107" s="9"/>
      <c r="DK107" s="9"/>
      <c r="DL107" s="9"/>
      <c r="DM107" s="9"/>
      <c r="DN107" s="9"/>
      <c r="DO107" s="9"/>
      <c r="DP107" s="9"/>
      <c r="DQ107" s="9"/>
      <c r="DR107" s="9"/>
      <c r="DS107" s="10"/>
      <c r="DT107" s="9"/>
      <c r="DU107" s="9"/>
      <c r="DV107" s="9"/>
      <c r="DW107" s="9"/>
      <c r="DX107" s="9"/>
      <c r="DY107" s="9"/>
      <c r="DZ107" s="9"/>
      <c r="EA107" s="9"/>
      <c r="EB107" s="9"/>
      <c r="EC107" s="9"/>
      <c r="ED107" s="9"/>
      <c r="EE107" s="9"/>
      <c r="EF107" s="9"/>
      <c r="EG107" s="9"/>
      <c r="EH107" s="9"/>
      <c r="EI107" s="9"/>
      <c r="EJ107" s="9"/>
      <c r="EK107" s="9"/>
      <c r="EL107" s="9"/>
      <c r="EM107" s="9"/>
      <c r="EN107" s="9"/>
      <c r="EO107" s="9"/>
      <c r="EP107" s="9"/>
      <c r="EQ107" s="9"/>
      <c r="ER107" s="9"/>
      <c r="ES107" s="9"/>
      <c r="ET107" s="9"/>
      <c r="EU107" s="10"/>
      <c r="EV107" s="9"/>
      <c r="EW107" s="9"/>
      <c r="EX107" s="9"/>
      <c r="EY107" s="9"/>
      <c r="EZ107" s="9"/>
      <c r="FA107" s="9"/>
      <c r="FB107" s="9"/>
      <c r="FC107" s="9"/>
      <c r="FD107" s="9"/>
      <c r="FE107" s="9"/>
      <c r="FF107" s="9"/>
      <c r="FG107" s="9"/>
      <c r="FH107" s="9"/>
      <c r="FI107" s="9"/>
      <c r="FJ107" s="9"/>
      <c r="FK107" s="9"/>
      <c r="FL107" s="9"/>
      <c r="FM107" s="9"/>
      <c r="FN107" s="9"/>
      <c r="FO107" s="9"/>
      <c r="FP107" s="9"/>
      <c r="FQ107" s="9"/>
      <c r="FR107" s="9"/>
      <c r="FS107" s="9"/>
      <c r="FT107" s="9"/>
      <c r="FU107" s="9"/>
      <c r="FV107" s="9"/>
      <c r="FW107" s="10"/>
      <c r="FX107" s="9"/>
      <c r="FY107" s="9"/>
      <c r="FZ107" s="9"/>
      <c r="GA107" s="9"/>
      <c r="GB107" s="9"/>
      <c r="GC107" s="9"/>
      <c r="GD107" s="9"/>
      <c r="GE107" s="9"/>
      <c r="GF107" s="9"/>
      <c r="GG107" s="9"/>
      <c r="GH107" s="9"/>
      <c r="GI107" s="9"/>
      <c r="GJ107" s="9"/>
      <c r="GK107" s="9"/>
      <c r="GL107" s="9"/>
      <c r="GM107" s="9"/>
      <c r="GN107" s="9"/>
      <c r="GO107" s="9"/>
      <c r="GP107" s="9"/>
      <c r="GQ107" s="9"/>
      <c r="GR107" s="9"/>
      <c r="GS107" s="9"/>
      <c r="GT107" s="9"/>
      <c r="GU107" s="9"/>
      <c r="GV107" s="9"/>
      <c r="GW107" s="9"/>
      <c r="GX107" s="9"/>
      <c r="GY107" s="10"/>
      <c r="GZ107" s="9"/>
      <c r="HA107" s="9"/>
    </row>
    <row r="108" spans="1:209" s="2" customFormat="1" ht="17" customHeight="1">
      <c r="A108" s="14" t="s">
        <v>107</v>
      </c>
      <c r="B108" s="35">
        <v>212232</v>
      </c>
      <c r="C108" s="35">
        <v>61970</v>
      </c>
      <c r="D108" s="4">
        <f t="shared" si="27"/>
        <v>0.29199178257755665</v>
      </c>
      <c r="E108" s="11">
        <v>10</v>
      </c>
      <c r="F108" s="5" t="s">
        <v>362</v>
      </c>
      <c r="G108" s="5" t="s">
        <v>362</v>
      </c>
      <c r="H108" s="5" t="s">
        <v>362</v>
      </c>
      <c r="I108" s="5" t="s">
        <v>362</v>
      </c>
      <c r="J108" s="5" t="s">
        <v>362</v>
      </c>
      <c r="K108" s="5" t="s">
        <v>362</v>
      </c>
      <c r="L108" s="5" t="s">
        <v>362</v>
      </c>
      <c r="M108" s="5" t="s">
        <v>362</v>
      </c>
      <c r="N108" s="35">
        <v>6216.7</v>
      </c>
      <c r="O108" s="35">
        <v>6157.3</v>
      </c>
      <c r="P108" s="4">
        <f t="shared" si="28"/>
        <v>0.99044509144723092</v>
      </c>
      <c r="Q108" s="11">
        <v>20</v>
      </c>
      <c r="R108" s="35">
        <v>3</v>
      </c>
      <c r="S108" s="35">
        <v>3</v>
      </c>
      <c r="T108" s="4">
        <f t="shared" si="29"/>
        <v>1</v>
      </c>
      <c r="U108" s="11">
        <v>20</v>
      </c>
      <c r="V108" s="35">
        <v>6</v>
      </c>
      <c r="W108" s="35">
        <v>10.3</v>
      </c>
      <c r="X108" s="4">
        <f t="shared" si="30"/>
        <v>1.2516666666666667</v>
      </c>
      <c r="Y108" s="11">
        <v>30</v>
      </c>
      <c r="Z108" s="35">
        <v>216741</v>
      </c>
      <c r="AA108" s="35">
        <v>173975</v>
      </c>
      <c r="AB108" s="4">
        <f t="shared" si="31"/>
        <v>0.8026861553651593</v>
      </c>
      <c r="AC108" s="11">
        <v>10</v>
      </c>
      <c r="AD108" s="11">
        <v>52</v>
      </c>
      <c r="AE108" s="11">
        <v>42</v>
      </c>
      <c r="AF108" s="4">
        <f t="shared" si="32"/>
        <v>0.80769230769230771</v>
      </c>
      <c r="AG108" s="11">
        <v>20</v>
      </c>
      <c r="AH108" s="5" t="s">
        <v>362</v>
      </c>
      <c r="AI108" s="5" t="s">
        <v>362</v>
      </c>
      <c r="AJ108" s="5" t="s">
        <v>362</v>
      </c>
      <c r="AK108" s="5" t="s">
        <v>362</v>
      </c>
      <c r="AL108" s="5" t="s">
        <v>362</v>
      </c>
      <c r="AM108" s="5" t="s">
        <v>362</v>
      </c>
      <c r="AN108" s="5" t="s">
        <v>362</v>
      </c>
      <c r="AO108" s="5" t="s">
        <v>362</v>
      </c>
      <c r="AP108" s="44">
        <f t="shared" si="40"/>
        <v>0.94963206692925417</v>
      </c>
      <c r="AQ108" s="45">
        <v>1455</v>
      </c>
      <c r="AR108" s="35">
        <f t="shared" si="41"/>
        <v>396.81818181818187</v>
      </c>
      <c r="AS108" s="35">
        <f t="shared" si="33"/>
        <v>376.8</v>
      </c>
      <c r="AT108" s="35">
        <f t="shared" si="34"/>
        <v>-20.018181818181858</v>
      </c>
      <c r="AU108" s="35">
        <v>141.80000000000001</v>
      </c>
      <c r="AV108" s="35">
        <v>119.9</v>
      </c>
      <c r="AW108" s="35">
        <f t="shared" si="35"/>
        <v>115.1</v>
      </c>
      <c r="AX108" s="35"/>
      <c r="AY108" s="35">
        <f t="shared" si="36"/>
        <v>115.1</v>
      </c>
      <c r="AZ108" s="35">
        <v>0</v>
      </c>
      <c r="BA108" s="35">
        <f t="shared" si="37"/>
        <v>115.1</v>
      </c>
      <c r="BB108" s="35">
        <f>MIN(BA108,66.1)</f>
        <v>66.099999999999994</v>
      </c>
      <c r="BC108" s="35">
        <f t="shared" si="38"/>
        <v>49</v>
      </c>
      <c r="BD108" s="35">
        <v>54.9</v>
      </c>
      <c r="BE108" s="35">
        <f t="shared" si="39"/>
        <v>-5.9</v>
      </c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9"/>
      <c r="BU108" s="9"/>
      <c r="BV108" s="9"/>
      <c r="BW108" s="9"/>
      <c r="BX108" s="9"/>
      <c r="BY108" s="9"/>
      <c r="BZ108" s="9"/>
      <c r="CA108" s="9"/>
      <c r="CB108" s="9"/>
      <c r="CC108" s="9"/>
      <c r="CD108" s="9"/>
      <c r="CE108" s="9"/>
      <c r="CF108" s="9"/>
      <c r="CG108" s="9"/>
      <c r="CH108" s="9"/>
      <c r="CI108" s="9"/>
      <c r="CJ108" s="9"/>
      <c r="CK108" s="9"/>
      <c r="CL108" s="9"/>
      <c r="CM108" s="9"/>
      <c r="CN108" s="9"/>
      <c r="CO108" s="9"/>
      <c r="CP108" s="9"/>
      <c r="CQ108" s="10"/>
      <c r="CR108" s="9"/>
      <c r="CS108" s="9"/>
      <c r="CT108" s="9"/>
      <c r="CU108" s="9"/>
      <c r="CV108" s="9"/>
      <c r="CW108" s="9"/>
      <c r="CX108" s="9"/>
      <c r="CY108" s="9"/>
      <c r="CZ108" s="9"/>
      <c r="DA108" s="9"/>
      <c r="DB108" s="9"/>
      <c r="DC108" s="9"/>
      <c r="DD108" s="9"/>
      <c r="DE108" s="9"/>
      <c r="DF108" s="9"/>
      <c r="DG108" s="9"/>
      <c r="DH108" s="9"/>
      <c r="DI108" s="9"/>
      <c r="DJ108" s="9"/>
      <c r="DK108" s="9"/>
      <c r="DL108" s="9"/>
      <c r="DM108" s="9"/>
      <c r="DN108" s="9"/>
      <c r="DO108" s="9"/>
      <c r="DP108" s="9"/>
      <c r="DQ108" s="9"/>
      <c r="DR108" s="9"/>
      <c r="DS108" s="10"/>
      <c r="DT108" s="9"/>
      <c r="DU108" s="9"/>
      <c r="DV108" s="9"/>
      <c r="DW108" s="9"/>
      <c r="DX108" s="9"/>
      <c r="DY108" s="9"/>
      <c r="DZ108" s="9"/>
      <c r="EA108" s="9"/>
      <c r="EB108" s="9"/>
      <c r="EC108" s="9"/>
      <c r="ED108" s="9"/>
      <c r="EE108" s="9"/>
      <c r="EF108" s="9"/>
      <c r="EG108" s="9"/>
      <c r="EH108" s="9"/>
      <c r="EI108" s="9"/>
      <c r="EJ108" s="9"/>
      <c r="EK108" s="9"/>
      <c r="EL108" s="9"/>
      <c r="EM108" s="9"/>
      <c r="EN108" s="9"/>
      <c r="EO108" s="9"/>
      <c r="EP108" s="9"/>
      <c r="EQ108" s="9"/>
      <c r="ER108" s="9"/>
      <c r="ES108" s="9"/>
      <c r="ET108" s="9"/>
      <c r="EU108" s="10"/>
      <c r="EV108" s="9"/>
      <c r="EW108" s="9"/>
      <c r="EX108" s="9"/>
      <c r="EY108" s="9"/>
      <c r="EZ108" s="9"/>
      <c r="FA108" s="9"/>
      <c r="FB108" s="9"/>
      <c r="FC108" s="9"/>
      <c r="FD108" s="9"/>
      <c r="FE108" s="9"/>
      <c r="FF108" s="9"/>
      <c r="FG108" s="9"/>
      <c r="FH108" s="9"/>
      <c r="FI108" s="9"/>
      <c r="FJ108" s="9"/>
      <c r="FK108" s="9"/>
      <c r="FL108" s="9"/>
      <c r="FM108" s="9"/>
      <c r="FN108" s="9"/>
      <c r="FO108" s="9"/>
      <c r="FP108" s="9"/>
      <c r="FQ108" s="9"/>
      <c r="FR108" s="9"/>
      <c r="FS108" s="9"/>
      <c r="FT108" s="9"/>
      <c r="FU108" s="9"/>
      <c r="FV108" s="9"/>
      <c r="FW108" s="10"/>
      <c r="FX108" s="9"/>
      <c r="FY108" s="9"/>
      <c r="FZ108" s="9"/>
      <c r="GA108" s="9"/>
      <c r="GB108" s="9"/>
      <c r="GC108" s="9"/>
      <c r="GD108" s="9"/>
      <c r="GE108" s="9"/>
      <c r="GF108" s="9"/>
      <c r="GG108" s="9"/>
      <c r="GH108" s="9"/>
      <c r="GI108" s="9"/>
      <c r="GJ108" s="9"/>
      <c r="GK108" s="9"/>
      <c r="GL108" s="9"/>
      <c r="GM108" s="9"/>
      <c r="GN108" s="9"/>
      <c r="GO108" s="9"/>
      <c r="GP108" s="9"/>
      <c r="GQ108" s="9"/>
      <c r="GR108" s="9"/>
      <c r="GS108" s="9"/>
      <c r="GT108" s="9"/>
      <c r="GU108" s="9"/>
      <c r="GV108" s="9"/>
      <c r="GW108" s="9"/>
      <c r="GX108" s="9"/>
      <c r="GY108" s="10"/>
      <c r="GZ108" s="9"/>
      <c r="HA108" s="9"/>
    </row>
    <row r="109" spans="1:209" s="2" customFormat="1" ht="17" customHeight="1">
      <c r="A109" s="14" t="s">
        <v>108</v>
      </c>
      <c r="B109" s="35">
        <v>26349</v>
      </c>
      <c r="C109" s="35">
        <v>7554.7</v>
      </c>
      <c r="D109" s="4">
        <f t="shared" si="27"/>
        <v>0.28671676344453301</v>
      </c>
      <c r="E109" s="11">
        <v>10</v>
      </c>
      <c r="F109" s="5" t="s">
        <v>362</v>
      </c>
      <c r="G109" s="5" t="s">
        <v>362</v>
      </c>
      <c r="H109" s="5" t="s">
        <v>362</v>
      </c>
      <c r="I109" s="5" t="s">
        <v>362</v>
      </c>
      <c r="J109" s="5" t="s">
        <v>362</v>
      </c>
      <c r="K109" s="5" t="s">
        <v>362</v>
      </c>
      <c r="L109" s="5" t="s">
        <v>362</v>
      </c>
      <c r="M109" s="5" t="s">
        <v>362</v>
      </c>
      <c r="N109" s="35">
        <v>11597.5</v>
      </c>
      <c r="O109" s="35">
        <v>12062.9</v>
      </c>
      <c r="P109" s="4">
        <f t="shared" si="28"/>
        <v>1.0401293382194439</v>
      </c>
      <c r="Q109" s="11">
        <v>20</v>
      </c>
      <c r="R109" s="35">
        <v>432</v>
      </c>
      <c r="S109" s="35">
        <v>616.9</v>
      </c>
      <c r="T109" s="4">
        <f t="shared" si="29"/>
        <v>1.2228009259259258</v>
      </c>
      <c r="U109" s="11">
        <v>25</v>
      </c>
      <c r="V109" s="35">
        <v>0.5</v>
      </c>
      <c r="W109" s="35">
        <v>2.8</v>
      </c>
      <c r="X109" s="4">
        <f t="shared" si="30"/>
        <v>1.3</v>
      </c>
      <c r="Y109" s="11">
        <v>25</v>
      </c>
      <c r="Z109" s="35">
        <v>46713</v>
      </c>
      <c r="AA109" s="35">
        <v>71421</v>
      </c>
      <c r="AB109" s="4">
        <f t="shared" si="31"/>
        <v>1.2328931988953824</v>
      </c>
      <c r="AC109" s="11">
        <v>10</v>
      </c>
      <c r="AD109" s="11">
        <v>629</v>
      </c>
      <c r="AE109" s="11">
        <v>629</v>
      </c>
      <c r="AF109" s="4">
        <f t="shared" si="32"/>
        <v>1</v>
      </c>
      <c r="AG109" s="11">
        <v>20</v>
      </c>
      <c r="AH109" s="5" t="s">
        <v>362</v>
      </c>
      <c r="AI109" s="5" t="s">
        <v>362</v>
      </c>
      <c r="AJ109" s="5" t="s">
        <v>362</v>
      </c>
      <c r="AK109" s="5" t="s">
        <v>362</v>
      </c>
      <c r="AL109" s="5" t="s">
        <v>362</v>
      </c>
      <c r="AM109" s="5" t="s">
        <v>362</v>
      </c>
      <c r="AN109" s="5" t="s">
        <v>362</v>
      </c>
      <c r="AO109" s="5" t="s">
        <v>362</v>
      </c>
      <c r="AP109" s="44">
        <f t="shared" si="40"/>
        <v>1.0824428139630562</v>
      </c>
      <c r="AQ109" s="45">
        <v>1663</v>
      </c>
      <c r="AR109" s="35">
        <f t="shared" si="41"/>
        <v>453.54545454545456</v>
      </c>
      <c r="AS109" s="35">
        <f t="shared" si="33"/>
        <v>490.9</v>
      </c>
      <c r="AT109" s="35">
        <f t="shared" si="34"/>
        <v>37.354545454545416</v>
      </c>
      <c r="AU109" s="35">
        <v>157.6</v>
      </c>
      <c r="AV109" s="35">
        <v>140.80000000000001</v>
      </c>
      <c r="AW109" s="35">
        <f t="shared" si="35"/>
        <v>192.5</v>
      </c>
      <c r="AX109" s="35"/>
      <c r="AY109" s="35">
        <f t="shared" si="36"/>
        <v>192.5</v>
      </c>
      <c r="AZ109" s="35">
        <v>0</v>
      </c>
      <c r="BA109" s="35">
        <f t="shared" si="37"/>
        <v>192.5</v>
      </c>
      <c r="BB109" s="35">
        <f>MIN(BA109,58.8)</f>
        <v>58.8</v>
      </c>
      <c r="BC109" s="35">
        <f t="shared" si="38"/>
        <v>133.69999999999999</v>
      </c>
      <c r="BD109" s="35">
        <v>126.9</v>
      </c>
      <c r="BE109" s="35">
        <f t="shared" si="39"/>
        <v>6.8</v>
      </c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9"/>
      <c r="BU109" s="9"/>
      <c r="BV109" s="9"/>
      <c r="BW109" s="9"/>
      <c r="BX109" s="9"/>
      <c r="BY109" s="9"/>
      <c r="BZ109" s="9"/>
      <c r="CA109" s="9"/>
      <c r="CB109" s="9"/>
      <c r="CC109" s="9"/>
      <c r="CD109" s="9"/>
      <c r="CE109" s="9"/>
      <c r="CF109" s="9"/>
      <c r="CG109" s="9"/>
      <c r="CH109" s="9"/>
      <c r="CI109" s="9"/>
      <c r="CJ109" s="9"/>
      <c r="CK109" s="9"/>
      <c r="CL109" s="9"/>
      <c r="CM109" s="9"/>
      <c r="CN109" s="9"/>
      <c r="CO109" s="9"/>
      <c r="CP109" s="9"/>
      <c r="CQ109" s="10"/>
      <c r="CR109" s="9"/>
      <c r="CS109" s="9"/>
      <c r="CT109" s="9"/>
      <c r="CU109" s="9"/>
      <c r="CV109" s="9"/>
      <c r="CW109" s="9"/>
      <c r="CX109" s="9"/>
      <c r="CY109" s="9"/>
      <c r="CZ109" s="9"/>
      <c r="DA109" s="9"/>
      <c r="DB109" s="9"/>
      <c r="DC109" s="9"/>
      <c r="DD109" s="9"/>
      <c r="DE109" s="9"/>
      <c r="DF109" s="9"/>
      <c r="DG109" s="9"/>
      <c r="DH109" s="9"/>
      <c r="DI109" s="9"/>
      <c r="DJ109" s="9"/>
      <c r="DK109" s="9"/>
      <c r="DL109" s="9"/>
      <c r="DM109" s="9"/>
      <c r="DN109" s="9"/>
      <c r="DO109" s="9"/>
      <c r="DP109" s="9"/>
      <c r="DQ109" s="9"/>
      <c r="DR109" s="9"/>
      <c r="DS109" s="10"/>
      <c r="DT109" s="9"/>
      <c r="DU109" s="9"/>
      <c r="DV109" s="9"/>
      <c r="DW109" s="9"/>
      <c r="DX109" s="9"/>
      <c r="DY109" s="9"/>
      <c r="DZ109" s="9"/>
      <c r="EA109" s="9"/>
      <c r="EB109" s="9"/>
      <c r="EC109" s="9"/>
      <c r="ED109" s="9"/>
      <c r="EE109" s="9"/>
      <c r="EF109" s="9"/>
      <c r="EG109" s="9"/>
      <c r="EH109" s="9"/>
      <c r="EI109" s="9"/>
      <c r="EJ109" s="9"/>
      <c r="EK109" s="9"/>
      <c r="EL109" s="9"/>
      <c r="EM109" s="9"/>
      <c r="EN109" s="9"/>
      <c r="EO109" s="9"/>
      <c r="EP109" s="9"/>
      <c r="EQ109" s="9"/>
      <c r="ER109" s="9"/>
      <c r="ES109" s="9"/>
      <c r="ET109" s="9"/>
      <c r="EU109" s="10"/>
      <c r="EV109" s="9"/>
      <c r="EW109" s="9"/>
      <c r="EX109" s="9"/>
      <c r="EY109" s="9"/>
      <c r="EZ109" s="9"/>
      <c r="FA109" s="9"/>
      <c r="FB109" s="9"/>
      <c r="FC109" s="9"/>
      <c r="FD109" s="9"/>
      <c r="FE109" s="9"/>
      <c r="FF109" s="9"/>
      <c r="FG109" s="9"/>
      <c r="FH109" s="9"/>
      <c r="FI109" s="9"/>
      <c r="FJ109" s="9"/>
      <c r="FK109" s="9"/>
      <c r="FL109" s="9"/>
      <c r="FM109" s="9"/>
      <c r="FN109" s="9"/>
      <c r="FO109" s="9"/>
      <c r="FP109" s="9"/>
      <c r="FQ109" s="9"/>
      <c r="FR109" s="9"/>
      <c r="FS109" s="9"/>
      <c r="FT109" s="9"/>
      <c r="FU109" s="9"/>
      <c r="FV109" s="9"/>
      <c r="FW109" s="10"/>
      <c r="FX109" s="9"/>
      <c r="FY109" s="9"/>
      <c r="FZ109" s="9"/>
      <c r="GA109" s="9"/>
      <c r="GB109" s="9"/>
      <c r="GC109" s="9"/>
      <c r="GD109" s="9"/>
      <c r="GE109" s="9"/>
      <c r="GF109" s="9"/>
      <c r="GG109" s="9"/>
      <c r="GH109" s="9"/>
      <c r="GI109" s="9"/>
      <c r="GJ109" s="9"/>
      <c r="GK109" s="9"/>
      <c r="GL109" s="9"/>
      <c r="GM109" s="9"/>
      <c r="GN109" s="9"/>
      <c r="GO109" s="9"/>
      <c r="GP109" s="9"/>
      <c r="GQ109" s="9"/>
      <c r="GR109" s="9"/>
      <c r="GS109" s="9"/>
      <c r="GT109" s="9"/>
      <c r="GU109" s="9"/>
      <c r="GV109" s="9"/>
      <c r="GW109" s="9"/>
      <c r="GX109" s="9"/>
      <c r="GY109" s="10"/>
      <c r="GZ109" s="9"/>
      <c r="HA109" s="9"/>
    </row>
    <row r="110" spans="1:209" s="2" customFormat="1" ht="17" customHeight="1">
      <c r="A110" s="14" t="s">
        <v>109</v>
      </c>
      <c r="B110" s="35">
        <v>234196</v>
      </c>
      <c r="C110" s="35">
        <v>168008.9</v>
      </c>
      <c r="D110" s="4">
        <f t="shared" si="27"/>
        <v>0.71738586483116706</v>
      </c>
      <c r="E110" s="11">
        <v>10</v>
      </c>
      <c r="F110" s="5" t="s">
        <v>362</v>
      </c>
      <c r="G110" s="5" t="s">
        <v>362</v>
      </c>
      <c r="H110" s="5" t="s">
        <v>362</v>
      </c>
      <c r="I110" s="5" t="s">
        <v>362</v>
      </c>
      <c r="J110" s="5" t="s">
        <v>362</v>
      </c>
      <c r="K110" s="5" t="s">
        <v>362</v>
      </c>
      <c r="L110" s="5" t="s">
        <v>362</v>
      </c>
      <c r="M110" s="5" t="s">
        <v>362</v>
      </c>
      <c r="N110" s="35">
        <v>2886.9</v>
      </c>
      <c r="O110" s="35">
        <v>0</v>
      </c>
      <c r="P110" s="4">
        <f t="shared" si="28"/>
        <v>0</v>
      </c>
      <c r="Q110" s="11">
        <v>20</v>
      </c>
      <c r="R110" s="35">
        <v>3</v>
      </c>
      <c r="S110" s="35">
        <v>10</v>
      </c>
      <c r="T110" s="4">
        <f t="shared" si="29"/>
        <v>1.3</v>
      </c>
      <c r="U110" s="11">
        <v>30</v>
      </c>
      <c r="V110" s="35">
        <v>0.8</v>
      </c>
      <c r="W110" s="35">
        <v>3.6</v>
      </c>
      <c r="X110" s="4">
        <f t="shared" si="30"/>
        <v>1.3</v>
      </c>
      <c r="Y110" s="11">
        <v>20</v>
      </c>
      <c r="Z110" s="35">
        <v>217589</v>
      </c>
      <c r="AA110" s="35">
        <v>263710</v>
      </c>
      <c r="AB110" s="4">
        <f t="shared" si="31"/>
        <v>1.2011963840083828</v>
      </c>
      <c r="AC110" s="11">
        <v>10</v>
      </c>
      <c r="AD110" s="11">
        <v>21</v>
      </c>
      <c r="AE110" s="11">
        <v>21</v>
      </c>
      <c r="AF110" s="4">
        <f t="shared" si="32"/>
        <v>1</v>
      </c>
      <c r="AG110" s="11">
        <v>20</v>
      </c>
      <c r="AH110" s="5" t="s">
        <v>362</v>
      </c>
      <c r="AI110" s="5" t="s">
        <v>362</v>
      </c>
      <c r="AJ110" s="5" t="s">
        <v>362</v>
      </c>
      <c r="AK110" s="5" t="s">
        <v>362</v>
      </c>
      <c r="AL110" s="5" t="s">
        <v>362</v>
      </c>
      <c r="AM110" s="5" t="s">
        <v>362</v>
      </c>
      <c r="AN110" s="5" t="s">
        <v>362</v>
      </c>
      <c r="AO110" s="5" t="s">
        <v>362</v>
      </c>
      <c r="AP110" s="44">
        <f t="shared" si="40"/>
        <v>0.94714384080359537</v>
      </c>
      <c r="AQ110" s="45">
        <v>1917</v>
      </c>
      <c r="AR110" s="35">
        <f t="shared" si="41"/>
        <v>522.81818181818187</v>
      </c>
      <c r="AS110" s="35">
        <f t="shared" si="33"/>
        <v>495.2</v>
      </c>
      <c r="AT110" s="35">
        <f t="shared" si="34"/>
        <v>-27.618181818181881</v>
      </c>
      <c r="AU110" s="35">
        <v>153.5</v>
      </c>
      <c r="AV110" s="35">
        <v>156.9</v>
      </c>
      <c r="AW110" s="35">
        <f t="shared" si="35"/>
        <v>184.8</v>
      </c>
      <c r="AX110" s="35"/>
      <c r="AY110" s="35">
        <f t="shared" si="36"/>
        <v>184.8</v>
      </c>
      <c r="AZ110" s="35">
        <v>0</v>
      </c>
      <c r="BA110" s="35">
        <f t="shared" si="37"/>
        <v>184.8</v>
      </c>
      <c r="BB110" s="35">
        <f>MIN(BA110,87.1)</f>
        <v>87.1</v>
      </c>
      <c r="BC110" s="35">
        <f t="shared" si="38"/>
        <v>97.7</v>
      </c>
      <c r="BD110" s="35">
        <v>84.4</v>
      </c>
      <c r="BE110" s="35">
        <f t="shared" si="39"/>
        <v>13.3</v>
      </c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9"/>
      <c r="BU110" s="9"/>
      <c r="BV110" s="9"/>
      <c r="BW110" s="9"/>
      <c r="BX110" s="9"/>
      <c r="BY110" s="9"/>
      <c r="BZ110" s="9"/>
      <c r="CA110" s="9"/>
      <c r="CB110" s="9"/>
      <c r="CC110" s="9"/>
      <c r="CD110" s="9"/>
      <c r="CE110" s="9"/>
      <c r="CF110" s="9"/>
      <c r="CG110" s="9"/>
      <c r="CH110" s="9"/>
      <c r="CI110" s="9"/>
      <c r="CJ110" s="9"/>
      <c r="CK110" s="9"/>
      <c r="CL110" s="9"/>
      <c r="CM110" s="9"/>
      <c r="CN110" s="9"/>
      <c r="CO110" s="9"/>
      <c r="CP110" s="9"/>
      <c r="CQ110" s="10"/>
      <c r="CR110" s="9"/>
      <c r="CS110" s="9"/>
      <c r="CT110" s="9"/>
      <c r="CU110" s="9"/>
      <c r="CV110" s="9"/>
      <c r="CW110" s="9"/>
      <c r="CX110" s="9"/>
      <c r="CY110" s="9"/>
      <c r="CZ110" s="9"/>
      <c r="DA110" s="9"/>
      <c r="DB110" s="9"/>
      <c r="DC110" s="9"/>
      <c r="DD110" s="9"/>
      <c r="DE110" s="9"/>
      <c r="DF110" s="9"/>
      <c r="DG110" s="9"/>
      <c r="DH110" s="9"/>
      <c r="DI110" s="9"/>
      <c r="DJ110" s="9"/>
      <c r="DK110" s="9"/>
      <c r="DL110" s="9"/>
      <c r="DM110" s="9"/>
      <c r="DN110" s="9"/>
      <c r="DO110" s="9"/>
      <c r="DP110" s="9"/>
      <c r="DQ110" s="9"/>
      <c r="DR110" s="9"/>
      <c r="DS110" s="10"/>
      <c r="DT110" s="9"/>
      <c r="DU110" s="9"/>
      <c r="DV110" s="9"/>
      <c r="DW110" s="9"/>
      <c r="DX110" s="9"/>
      <c r="DY110" s="9"/>
      <c r="DZ110" s="9"/>
      <c r="EA110" s="9"/>
      <c r="EB110" s="9"/>
      <c r="EC110" s="9"/>
      <c r="ED110" s="9"/>
      <c r="EE110" s="9"/>
      <c r="EF110" s="9"/>
      <c r="EG110" s="9"/>
      <c r="EH110" s="9"/>
      <c r="EI110" s="9"/>
      <c r="EJ110" s="9"/>
      <c r="EK110" s="9"/>
      <c r="EL110" s="9"/>
      <c r="EM110" s="9"/>
      <c r="EN110" s="9"/>
      <c r="EO110" s="9"/>
      <c r="EP110" s="9"/>
      <c r="EQ110" s="9"/>
      <c r="ER110" s="9"/>
      <c r="ES110" s="9"/>
      <c r="ET110" s="9"/>
      <c r="EU110" s="10"/>
      <c r="EV110" s="9"/>
      <c r="EW110" s="9"/>
      <c r="EX110" s="9"/>
      <c r="EY110" s="9"/>
      <c r="EZ110" s="9"/>
      <c r="FA110" s="9"/>
      <c r="FB110" s="9"/>
      <c r="FC110" s="9"/>
      <c r="FD110" s="9"/>
      <c r="FE110" s="9"/>
      <c r="FF110" s="9"/>
      <c r="FG110" s="9"/>
      <c r="FH110" s="9"/>
      <c r="FI110" s="9"/>
      <c r="FJ110" s="9"/>
      <c r="FK110" s="9"/>
      <c r="FL110" s="9"/>
      <c r="FM110" s="9"/>
      <c r="FN110" s="9"/>
      <c r="FO110" s="9"/>
      <c r="FP110" s="9"/>
      <c r="FQ110" s="9"/>
      <c r="FR110" s="9"/>
      <c r="FS110" s="9"/>
      <c r="FT110" s="9"/>
      <c r="FU110" s="9"/>
      <c r="FV110" s="9"/>
      <c r="FW110" s="10"/>
      <c r="FX110" s="9"/>
      <c r="FY110" s="9"/>
      <c r="FZ110" s="9"/>
      <c r="GA110" s="9"/>
      <c r="GB110" s="9"/>
      <c r="GC110" s="9"/>
      <c r="GD110" s="9"/>
      <c r="GE110" s="9"/>
      <c r="GF110" s="9"/>
      <c r="GG110" s="9"/>
      <c r="GH110" s="9"/>
      <c r="GI110" s="9"/>
      <c r="GJ110" s="9"/>
      <c r="GK110" s="9"/>
      <c r="GL110" s="9"/>
      <c r="GM110" s="9"/>
      <c r="GN110" s="9"/>
      <c r="GO110" s="9"/>
      <c r="GP110" s="9"/>
      <c r="GQ110" s="9"/>
      <c r="GR110" s="9"/>
      <c r="GS110" s="9"/>
      <c r="GT110" s="9"/>
      <c r="GU110" s="9"/>
      <c r="GV110" s="9"/>
      <c r="GW110" s="9"/>
      <c r="GX110" s="9"/>
      <c r="GY110" s="10"/>
      <c r="GZ110" s="9"/>
      <c r="HA110" s="9"/>
    </row>
    <row r="111" spans="1:209" s="2" customFormat="1" ht="17" customHeight="1">
      <c r="A111" s="14" t="s">
        <v>110</v>
      </c>
      <c r="B111" s="35">
        <v>0</v>
      </c>
      <c r="C111" s="35">
        <v>785</v>
      </c>
      <c r="D111" s="4">
        <f t="shared" ref="D111:D174" si="42">IF(E111=0,0,IF(B111=0,1,IF(C111&lt;0,0,IF(C111/B111&gt;1.2,IF((C111/B111-1.2)*0.1+1.2&gt;1.3,1.3,(C111/B111-1.2)*0.1+1.2),C111/B111))))</f>
        <v>0</v>
      </c>
      <c r="E111" s="11">
        <v>0</v>
      </c>
      <c r="F111" s="5" t="s">
        <v>362</v>
      </c>
      <c r="G111" s="5" t="s">
        <v>362</v>
      </c>
      <c r="H111" s="5" t="s">
        <v>362</v>
      </c>
      <c r="I111" s="5" t="s">
        <v>362</v>
      </c>
      <c r="J111" s="5" t="s">
        <v>362</v>
      </c>
      <c r="K111" s="5" t="s">
        <v>362</v>
      </c>
      <c r="L111" s="5" t="s">
        <v>362</v>
      </c>
      <c r="M111" s="5" t="s">
        <v>362</v>
      </c>
      <c r="N111" s="35">
        <v>1644.2</v>
      </c>
      <c r="O111" s="35">
        <v>843.8</v>
      </c>
      <c r="P111" s="4">
        <f t="shared" ref="P111:P174" si="43">IF(Q111=0,0,IF(N111=0,1,IF(O111&lt;0,0,IF(O111/N111&gt;1.2,IF((O111/N111-1.2)*0.1+1.2&gt;1.3,1.3,(O111/N111-1.2)*0.1+1.2),O111/N111))))</f>
        <v>0.51319790779710495</v>
      </c>
      <c r="Q111" s="11">
        <v>20</v>
      </c>
      <c r="R111" s="35">
        <v>97</v>
      </c>
      <c r="S111" s="35">
        <v>102.1</v>
      </c>
      <c r="T111" s="4">
        <f t="shared" ref="T111:T174" si="44">IF(U111=0,0,IF(R111=0,1,IF(S111&lt;0,0,IF(S111/R111&gt;1.2,IF((S111/R111-1.2)*0.1+1.2&gt;1.3,1.3,(S111/R111-1.2)*0.1+1.2),S111/R111))))</f>
        <v>1.0525773195876289</v>
      </c>
      <c r="U111" s="11">
        <v>20</v>
      </c>
      <c r="V111" s="35">
        <v>75</v>
      </c>
      <c r="W111" s="35">
        <v>77.400000000000006</v>
      </c>
      <c r="X111" s="4">
        <f t="shared" ref="X111:X174" si="45">IF(Y111=0,0,IF(V111=0,1,IF(W111&lt;0,0,IF(W111/V111&gt;1.2,IF((W111/V111-1.2)*0.1+1.2&gt;1.3,1.3,(W111/V111-1.2)*0.1+1.2),W111/V111))))</f>
        <v>1.032</v>
      </c>
      <c r="Y111" s="11">
        <v>30</v>
      </c>
      <c r="Z111" s="35">
        <v>632574</v>
      </c>
      <c r="AA111" s="35">
        <v>532914</v>
      </c>
      <c r="AB111" s="4">
        <f t="shared" ref="AB111:AB174" si="46">IF(AC111=0,0,IF(Z111=0,1,IF(AA111&lt;0,0,IF(AA111/Z111&gt;1.2,IF((AA111/Z111-1.2)*0.1+1.2&gt;1.3,1.3,(AA111/Z111-1.2)*0.1+1.2),AA111/Z111))))</f>
        <v>0.84245321495983083</v>
      </c>
      <c r="AC111" s="11">
        <v>10</v>
      </c>
      <c r="AD111" s="11">
        <v>1150</v>
      </c>
      <c r="AE111" s="11">
        <v>617</v>
      </c>
      <c r="AF111" s="4">
        <f t="shared" ref="AF111:AF174" si="47">IF(AG111=0,0,IF(AD111=0,1,IF(AE111&lt;0,0,IF(AE111/AD111&gt;1.2,IF((AE111/AD111-1.2)*0.1+1.2&gt;1.3,1.3,(AE111/AD111-1.2)*0.1+1.2),AE111/AD111))))</f>
        <v>0.53652173913043477</v>
      </c>
      <c r="AG111" s="11">
        <v>20</v>
      </c>
      <c r="AH111" s="5" t="s">
        <v>362</v>
      </c>
      <c r="AI111" s="5" t="s">
        <v>362</v>
      </c>
      <c r="AJ111" s="5" t="s">
        <v>362</v>
      </c>
      <c r="AK111" s="5" t="s">
        <v>362</v>
      </c>
      <c r="AL111" s="5" t="s">
        <v>362</v>
      </c>
      <c r="AM111" s="5" t="s">
        <v>362</v>
      </c>
      <c r="AN111" s="5" t="s">
        <v>362</v>
      </c>
      <c r="AO111" s="5" t="s">
        <v>362</v>
      </c>
      <c r="AP111" s="44">
        <f t="shared" si="40"/>
        <v>0.81430471479901678</v>
      </c>
      <c r="AQ111" s="45">
        <v>2699</v>
      </c>
      <c r="AR111" s="35">
        <f t="shared" ref="AR111:AR174" si="48">AQ111/11*3</f>
        <v>736.09090909090912</v>
      </c>
      <c r="AS111" s="35">
        <f t="shared" ref="AS111:AS174" si="49">ROUND(AP111*AR111,1)</f>
        <v>599.4</v>
      </c>
      <c r="AT111" s="35">
        <f t="shared" ref="AT111:AT174" si="50">AS111-AR111</f>
        <v>-136.69090909090914</v>
      </c>
      <c r="AU111" s="35">
        <v>242.2</v>
      </c>
      <c r="AV111" s="35">
        <v>201.6</v>
      </c>
      <c r="AW111" s="35">
        <f t="shared" ref="AW111:AW174" si="51">ROUND(AS111-SUM(AU111:AV111),1)</f>
        <v>155.6</v>
      </c>
      <c r="AX111" s="35"/>
      <c r="AY111" s="35">
        <f t="shared" ref="AY111:AY174" si="52">IF(OR(AW111&lt;0,AX111="+"),0,AW111)</f>
        <v>155.6</v>
      </c>
      <c r="AZ111" s="35">
        <v>0</v>
      </c>
      <c r="BA111" s="35">
        <f t="shared" ref="BA111:BA174" si="53">AY111+AZ111</f>
        <v>155.6</v>
      </c>
      <c r="BB111" s="35">
        <f>MIN(BA111,99.8)</f>
        <v>99.8</v>
      </c>
      <c r="BC111" s="35">
        <f t="shared" ref="BC111:BC174" si="54">IF((BA111-BB111)&gt;0,ROUND(BA111-BB111,1),0)</f>
        <v>55.8</v>
      </c>
      <c r="BD111" s="35">
        <v>53.5</v>
      </c>
      <c r="BE111" s="35">
        <f t="shared" ref="BE111:BE174" si="55">ROUND(BC111-BD111,1)</f>
        <v>2.2999999999999998</v>
      </c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9"/>
      <c r="BU111" s="9"/>
      <c r="BV111" s="9"/>
      <c r="BW111" s="9"/>
      <c r="BX111" s="9"/>
      <c r="BY111" s="9"/>
      <c r="BZ111" s="9"/>
      <c r="CA111" s="9"/>
      <c r="CB111" s="9"/>
      <c r="CC111" s="9"/>
      <c r="CD111" s="9"/>
      <c r="CE111" s="9"/>
      <c r="CF111" s="9"/>
      <c r="CG111" s="9"/>
      <c r="CH111" s="9"/>
      <c r="CI111" s="9"/>
      <c r="CJ111" s="9"/>
      <c r="CK111" s="9"/>
      <c r="CL111" s="9"/>
      <c r="CM111" s="9"/>
      <c r="CN111" s="9"/>
      <c r="CO111" s="9"/>
      <c r="CP111" s="9"/>
      <c r="CQ111" s="10"/>
      <c r="CR111" s="9"/>
      <c r="CS111" s="9"/>
      <c r="CT111" s="9"/>
      <c r="CU111" s="9"/>
      <c r="CV111" s="9"/>
      <c r="CW111" s="9"/>
      <c r="CX111" s="9"/>
      <c r="CY111" s="9"/>
      <c r="CZ111" s="9"/>
      <c r="DA111" s="9"/>
      <c r="DB111" s="9"/>
      <c r="DC111" s="9"/>
      <c r="DD111" s="9"/>
      <c r="DE111" s="9"/>
      <c r="DF111" s="9"/>
      <c r="DG111" s="9"/>
      <c r="DH111" s="9"/>
      <c r="DI111" s="9"/>
      <c r="DJ111" s="9"/>
      <c r="DK111" s="9"/>
      <c r="DL111" s="9"/>
      <c r="DM111" s="9"/>
      <c r="DN111" s="9"/>
      <c r="DO111" s="9"/>
      <c r="DP111" s="9"/>
      <c r="DQ111" s="9"/>
      <c r="DR111" s="9"/>
      <c r="DS111" s="10"/>
      <c r="DT111" s="9"/>
      <c r="DU111" s="9"/>
      <c r="DV111" s="9"/>
      <c r="DW111" s="9"/>
      <c r="DX111" s="9"/>
      <c r="DY111" s="9"/>
      <c r="DZ111" s="9"/>
      <c r="EA111" s="9"/>
      <c r="EB111" s="9"/>
      <c r="EC111" s="9"/>
      <c r="ED111" s="9"/>
      <c r="EE111" s="9"/>
      <c r="EF111" s="9"/>
      <c r="EG111" s="9"/>
      <c r="EH111" s="9"/>
      <c r="EI111" s="9"/>
      <c r="EJ111" s="9"/>
      <c r="EK111" s="9"/>
      <c r="EL111" s="9"/>
      <c r="EM111" s="9"/>
      <c r="EN111" s="9"/>
      <c r="EO111" s="9"/>
      <c r="EP111" s="9"/>
      <c r="EQ111" s="9"/>
      <c r="ER111" s="9"/>
      <c r="ES111" s="9"/>
      <c r="ET111" s="9"/>
      <c r="EU111" s="10"/>
      <c r="EV111" s="9"/>
      <c r="EW111" s="9"/>
      <c r="EX111" s="9"/>
      <c r="EY111" s="9"/>
      <c r="EZ111" s="9"/>
      <c r="FA111" s="9"/>
      <c r="FB111" s="9"/>
      <c r="FC111" s="9"/>
      <c r="FD111" s="9"/>
      <c r="FE111" s="9"/>
      <c r="FF111" s="9"/>
      <c r="FG111" s="9"/>
      <c r="FH111" s="9"/>
      <c r="FI111" s="9"/>
      <c r="FJ111" s="9"/>
      <c r="FK111" s="9"/>
      <c r="FL111" s="9"/>
      <c r="FM111" s="9"/>
      <c r="FN111" s="9"/>
      <c r="FO111" s="9"/>
      <c r="FP111" s="9"/>
      <c r="FQ111" s="9"/>
      <c r="FR111" s="9"/>
      <c r="FS111" s="9"/>
      <c r="FT111" s="9"/>
      <c r="FU111" s="9"/>
      <c r="FV111" s="9"/>
      <c r="FW111" s="10"/>
      <c r="FX111" s="9"/>
      <c r="FY111" s="9"/>
      <c r="FZ111" s="9"/>
      <c r="GA111" s="9"/>
      <c r="GB111" s="9"/>
      <c r="GC111" s="9"/>
      <c r="GD111" s="9"/>
      <c r="GE111" s="9"/>
      <c r="GF111" s="9"/>
      <c r="GG111" s="9"/>
      <c r="GH111" s="9"/>
      <c r="GI111" s="9"/>
      <c r="GJ111" s="9"/>
      <c r="GK111" s="9"/>
      <c r="GL111" s="9"/>
      <c r="GM111" s="9"/>
      <c r="GN111" s="9"/>
      <c r="GO111" s="9"/>
      <c r="GP111" s="9"/>
      <c r="GQ111" s="9"/>
      <c r="GR111" s="9"/>
      <c r="GS111" s="9"/>
      <c r="GT111" s="9"/>
      <c r="GU111" s="9"/>
      <c r="GV111" s="9"/>
      <c r="GW111" s="9"/>
      <c r="GX111" s="9"/>
      <c r="GY111" s="10"/>
      <c r="GZ111" s="9"/>
      <c r="HA111" s="9"/>
    </row>
    <row r="112" spans="1:209" s="2" customFormat="1" ht="17" customHeight="1">
      <c r="A112" s="14" t="s">
        <v>111</v>
      </c>
      <c r="B112" s="35">
        <v>69100</v>
      </c>
      <c r="C112" s="35">
        <v>48247</v>
      </c>
      <c r="D112" s="4">
        <f t="shared" si="42"/>
        <v>0.69821997105643996</v>
      </c>
      <c r="E112" s="11">
        <v>10</v>
      </c>
      <c r="F112" s="5" t="s">
        <v>362</v>
      </c>
      <c r="G112" s="5" t="s">
        <v>362</v>
      </c>
      <c r="H112" s="5" t="s">
        <v>362</v>
      </c>
      <c r="I112" s="5" t="s">
        <v>362</v>
      </c>
      <c r="J112" s="5" t="s">
        <v>362</v>
      </c>
      <c r="K112" s="5" t="s">
        <v>362</v>
      </c>
      <c r="L112" s="5" t="s">
        <v>362</v>
      </c>
      <c r="M112" s="5" t="s">
        <v>362</v>
      </c>
      <c r="N112" s="35">
        <v>2264.3000000000002</v>
      </c>
      <c r="O112" s="35">
        <v>11659.4</v>
      </c>
      <c r="P112" s="4">
        <f t="shared" si="43"/>
        <v>1.3</v>
      </c>
      <c r="Q112" s="11">
        <v>20</v>
      </c>
      <c r="R112" s="35">
        <v>124</v>
      </c>
      <c r="S112" s="35">
        <v>179.8</v>
      </c>
      <c r="T112" s="4">
        <f t="shared" si="44"/>
        <v>1.2250000000000001</v>
      </c>
      <c r="U112" s="11">
        <v>25</v>
      </c>
      <c r="V112" s="35">
        <v>235</v>
      </c>
      <c r="W112" s="35">
        <v>268.10000000000002</v>
      </c>
      <c r="X112" s="4">
        <f t="shared" si="45"/>
        <v>1.1408510638297873</v>
      </c>
      <c r="Y112" s="11">
        <v>25</v>
      </c>
      <c r="Z112" s="35">
        <v>15722</v>
      </c>
      <c r="AA112" s="35">
        <v>14651</v>
      </c>
      <c r="AB112" s="4">
        <f t="shared" si="46"/>
        <v>0.93187889581478178</v>
      </c>
      <c r="AC112" s="11">
        <v>10</v>
      </c>
      <c r="AD112" s="11">
        <v>390</v>
      </c>
      <c r="AE112" s="11">
        <v>376</v>
      </c>
      <c r="AF112" s="4">
        <f t="shared" si="47"/>
        <v>0.96410256410256412</v>
      </c>
      <c r="AG112" s="11">
        <v>20</v>
      </c>
      <c r="AH112" s="5" t="s">
        <v>362</v>
      </c>
      <c r="AI112" s="5" t="s">
        <v>362</v>
      </c>
      <c r="AJ112" s="5" t="s">
        <v>362</v>
      </c>
      <c r="AK112" s="5" t="s">
        <v>362</v>
      </c>
      <c r="AL112" s="5" t="s">
        <v>362</v>
      </c>
      <c r="AM112" s="5" t="s">
        <v>362</v>
      </c>
      <c r="AN112" s="5" t="s">
        <v>362</v>
      </c>
      <c r="AO112" s="5" t="s">
        <v>362</v>
      </c>
      <c r="AP112" s="44">
        <f t="shared" ref="AP112:AP175" si="56">(D112*E112+P112*Q112+T112*U112+X112*Y112+AB112*AC112+AF112*AG112)/(E112+Q112+U112+Y112+AC112+AG112)</f>
        <v>1.0975392413318925</v>
      </c>
      <c r="AQ112" s="45">
        <v>1839</v>
      </c>
      <c r="AR112" s="35">
        <f t="shared" si="48"/>
        <v>501.54545454545456</v>
      </c>
      <c r="AS112" s="35">
        <f t="shared" si="49"/>
        <v>550.5</v>
      </c>
      <c r="AT112" s="35">
        <f t="shared" si="50"/>
        <v>48.954545454545439</v>
      </c>
      <c r="AU112" s="35">
        <v>166.1</v>
      </c>
      <c r="AV112" s="35">
        <v>196.7</v>
      </c>
      <c r="AW112" s="35">
        <f t="shared" si="51"/>
        <v>187.7</v>
      </c>
      <c r="AX112" s="35"/>
      <c r="AY112" s="35">
        <f t="shared" si="52"/>
        <v>187.7</v>
      </c>
      <c r="AZ112" s="35">
        <v>0</v>
      </c>
      <c r="BA112" s="35">
        <f t="shared" si="53"/>
        <v>187.7</v>
      </c>
      <c r="BB112" s="35">
        <f>MIN(BA112,16.6)</f>
        <v>16.600000000000001</v>
      </c>
      <c r="BC112" s="35">
        <f t="shared" si="54"/>
        <v>171.1</v>
      </c>
      <c r="BD112" s="35">
        <v>179.4</v>
      </c>
      <c r="BE112" s="35">
        <f t="shared" si="55"/>
        <v>-8.3000000000000007</v>
      </c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9"/>
      <c r="BU112" s="9"/>
      <c r="BV112" s="9"/>
      <c r="BW112" s="9"/>
      <c r="BX112" s="9"/>
      <c r="BY112" s="9"/>
      <c r="BZ112" s="9"/>
      <c r="CA112" s="9"/>
      <c r="CB112" s="9"/>
      <c r="CC112" s="9"/>
      <c r="CD112" s="9"/>
      <c r="CE112" s="9"/>
      <c r="CF112" s="9"/>
      <c r="CG112" s="9"/>
      <c r="CH112" s="9"/>
      <c r="CI112" s="9"/>
      <c r="CJ112" s="9"/>
      <c r="CK112" s="9"/>
      <c r="CL112" s="9"/>
      <c r="CM112" s="9"/>
      <c r="CN112" s="9"/>
      <c r="CO112" s="9"/>
      <c r="CP112" s="9"/>
      <c r="CQ112" s="10"/>
      <c r="CR112" s="9"/>
      <c r="CS112" s="9"/>
      <c r="CT112" s="9"/>
      <c r="CU112" s="9"/>
      <c r="CV112" s="9"/>
      <c r="CW112" s="9"/>
      <c r="CX112" s="9"/>
      <c r="CY112" s="9"/>
      <c r="CZ112" s="9"/>
      <c r="DA112" s="9"/>
      <c r="DB112" s="9"/>
      <c r="DC112" s="9"/>
      <c r="DD112" s="9"/>
      <c r="DE112" s="9"/>
      <c r="DF112" s="9"/>
      <c r="DG112" s="9"/>
      <c r="DH112" s="9"/>
      <c r="DI112" s="9"/>
      <c r="DJ112" s="9"/>
      <c r="DK112" s="9"/>
      <c r="DL112" s="9"/>
      <c r="DM112" s="9"/>
      <c r="DN112" s="9"/>
      <c r="DO112" s="9"/>
      <c r="DP112" s="9"/>
      <c r="DQ112" s="9"/>
      <c r="DR112" s="9"/>
      <c r="DS112" s="10"/>
      <c r="DT112" s="9"/>
      <c r="DU112" s="9"/>
      <c r="DV112" s="9"/>
      <c r="DW112" s="9"/>
      <c r="DX112" s="9"/>
      <c r="DY112" s="9"/>
      <c r="DZ112" s="9"/>
      <c r="EA112" s="9"/>
      <c r="EB112" s="9"/>
      <c r="EC112" s="9"/>
      <c r="ED112" s="9"/>
      <c r="EE112" s="9"/>
      <c r="EF112" s="9"/>
      <c r="EG112" s="9"/>
      <c r="EH112" s="9"/>
      <c r="EI112" s="9"/>
      <c r="EJ112" s="9"/>
      <c r="EK112" s="9"/>
      <c r="EL112" s="9"/>
      <c r="EM112" s="9"/>
      <c r="EN112" s="9"/>
      <c r="EO112" s="9"/>
      <c r="EP112" s="9"/>
      <c r="EQ112" s="9"/>
      <c r="ER112" s="9"/>
      <c r="ES112" s="9"/>
      <c r="ET112" s="9"/>
      <c r="EU112" s="10"/>
      <c r="EV112" s="9"/>
      <c r="EW112" s="9"/>
      <c r="EX112" s="9"/>
      <c r="EY112" s="9"/>
      <c r="EZ112" s="9"/>
      <c r="FA112" s="9"/>
      <c r="FB112" s="9"/>
      <c r="FC112" s="9"/>
      <c r="FD112" s="9"/>
      <c r="FE112" s="9"/>
      <c r="FF112" s="9"/>
      <c r="FG112" s="9"/>
      <c r="FH112" s="9"/>
      <c r="FI112" s="9"/>
      <c r="FJ112" s="9"/>
      <c r="FK112" s="9"/>
      <c r="FL112" s="9"/>
      <c r="FM112" s="9"/>
      <c r="FN112" s="9"/>
      <c r="FO112" s="9"/>
      <c r="FP112" s="9"/>
      <c r="FQ112" s="9"/>
      <c r="FR112" s="9"/>
      <c r="FS112" s="9"/>
      <c r="FT112" s="9"/>
      <c r="FU112" s="9"/>
      <c r="FV112" s="9"/>
      <c r="FW112" s="10"/>
      <c r="FX112" s="9"/>
      <c r="FY112" s="9"/>
      <c r="FZ112" s="9"/>
      <c r="GA112" s="9"/>
      <c r="GB112" s="9"/>
      <c r="GC112" s="9"/>
      <c r="GD112" s="9"/>
      <c r="GE112" s="9"/>
      <c r="GF112" s="9"/>
      <c r="GG112" s="9"/>
      <c r="GH112" s="9"/>
      <c r="GI112" s="9"/>
      <c r="GJ112" s="9"/>
      <c r="GK112" s="9"/>
      <c r="GL112" s="9"/>
      <c r="GM112" s="9"/>
      <c r="GN112" s="9"/>
      <c r="GO112" s="9"/>
      <c r="GP112" s="9"/>
      <c r="GQ112" s="9"/>
      <c r="GR112" s="9"/>
      <c r="GS112" s="9"/>
      <c r="GT112" s="9"/>
      <c r="GU112" s="9"/>
      <c r="GV112" s="9"/>
      <c r="GW112" s="9"/>
      <c r="GX112" s="9"/>
      <c r="GY112" s="10"/>
      <c r="GZ112" s="9"/>
      <c r="HA112" s="9"/>
    </row>
    <row r="113" spans="1:209" s="2" customFormat="1" ht="17" customHeight="1">
      <c r="A113" s="14" t="s">
        <v>112</v>
      </c>
      <c r="B113" s="35">
        <v>4456</v>
      </c>
      <c r="C113" s="35">
        <v>4114</v>
      </c>
      <c r="D113" s="4">
        <f t="shared" si="42"/>
        <v>0.92324955116696594</v>
      </c>
      <c r="E113" s="11">
        <v>10</v>
      </c>
      <c r="F113" s="5" t="s">
        <v>362</v>
      </c>
      <c r="G113" s="5" t="s">
        <v>362</v>
      </c>
      <c r="H113" s="5" t="s">
        <v>362</v>
      </c>
      <c r="I113" s="5" t="s">
        <v>362</v>
      </c>
      <c r="J113" s="5" t="s">
        <v>362</v>
      </c>
      <c r="K113" s="5" t="s">
        <v>362</v>
      </c>
      <c r="L113" s="5" t="s">
        <v>362</v>
      </c>
      <c r="M113" s="5" t="s">
        <v>362</v>
      </c>
      <c r="N113" s="35">
        <v>2729.2</v>
      </c>
      <c r="O113" s="35">
        <v>1539.5</v>
      </c>
      <c r="P113" s="4">
        <f t="shared" si="43"/>
        <v>0.56408471346914846</v>
      </c>
      <c r="Q113" s="11">
        <v>20</v>
      </c>
      <c r="R113" s="35">
        <v>10</v>
      </c>
      <c r="S113" s="35">
        <v>10.3</v>
      </c>
      <c r="T113" s="4">
        <f t="shared" si="44"/>
        <v>1.03</v>
      </c>
      <c r="U113" s="11">
        <v>20</v>
      </c>
      <c r="V113" s="35">
        <v>9</v>
      </c>
      <c r="W113" s="35">
        <v>22.4</v>
      </c>
      <c r="X113" s="4">
        <f t="shared" si="45"/>
        <v>1.3</v>
      </c>
      <c r="Y113" s="11">
        <v>30</v>
      </c>
      <c r="Z113" s="35">
        <v>12326</v>
      </c>
      <c r="AA113" s="35">
        <v>10988</v>
      </c>
      <c r="AB113" s="4">
        <f t="shared" si="46"/>
        <v>0.89144896965763432</v>
      </c>
      <c r="AC113" s="11">
        <v>10</v>
      </c>
      <c r="AD113" s="11">
        <v>179</v>
      </c>
      <c r="AE113" s="11">
        <v>181</v>
      </c>
      <c r="AF113" s="4">
        <f t="shared" si="47"/>
        <v>1.011173184357542</v>
      </c>
      <c r="AG113" s="11">
        <v>20</v>
      </c>
      <c r="AH113" s="5" t="s">
        <v>362</v>
      </c>
      <c r="AI113" s="5" t="s">
        <v>362</v>
      </c>
      <c r="AJ113" s="5" t="s">
        <v>362</v>
      </c>
      <c r="AK113" s="5" t="s">
        <v>362</v>
      </c>
      <c r="AL113" s="5" t="s">
        <v>362</v>
      </c>
      <c r="AM113" s="5" t="s">
        <v>362</v>
      </c>
      <c r="AN113" s="5" t="s">
        <v>362</v>
      </c>
      <c r="AO113" s="5" t="s">
        <v>362</v>
      </c>
      <c r="AP113" s="44">
        <f t="shared" si="56"/>
        <v>0.99320130149799823</v>
      </c>
      <c r="AQ113" s="45">
        <v>3886</v>
      </c>
      <c r="AR113" s="35">
        <f t="shared" si="48"/>
        <v>1059.8181818181818</v>
      </c>
      <c r="AS113" s="35">
        <f t="shared" si="49"/>
        <v>1052.5999999999999</v>
      </c>
      <c r="AT113" s="35">
        <f t="shared" si="50"/>
        <v>-7.2181818181818471</v>
      </c>
      <c r="AU113" s="35">
        <v>438.3</v>
      </c>
      <c r="AV113" s="35">
        <v>333.3</v>
      </c>
      <c r="AW113" s="35">
        <f t="shared" si="51"/>
        <v>281</v>
      </c>
      <c r="AX113" s="35"/>
      <c r="AY113" s="35">
        <f t="shared" si="52"/>
        <v>281</v>
      </c>
      <c r="AZ113" s="35">
        <v>0</v>
      </c>
      <c r="BA113" s="35">
        <f t="shared" si="53"/>
        <v>281</v>
      </c>
      <c r="BB113" s="35"/>
      <c r="BC113" s="35">
        <f t="shared" si="54"/>
        <v>281</v>
      </c>
      <c r="BD113" s="35">
        <v>291.8</v>
      </c>
      <c r="BE113" s="35">
        <f t="shared" si="55"/>
        <v>-10.8</v>
      </c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9"/>
      <c r="BU113" s="9"/>
      <c r="BV113" s="9"/>
      <c r="BW113" s="9"/>
      <c r="BX113" s="9"/>
      <c r="BY113" s="9"/>
      <c r="BZ113" s="9"/>
      <c r="CA113" s="9"/>
      <c r="CB113" s="9"/>
      <c r="CC113" s="9"/>
      <c r="CD113" s="9"/>
      <c r="CE113" s="9"/>
      <c r="CF113" s="9"/>
      <c r="CG113" s="9"/>
      <c r="CH113" s="9"/>
      <c r="CI113" s="9"/>
      <c r="CJ113" s="9"/>
      <c r="CK113" s="9"/>
      <c r="CL113" s="9"/>
      <c r="CM113" s="9"/>
      <c r="CN113" s="9"/>
      <c r="CO113" s="9"/>
      <c r="CP113" s="9"/>
      <c r="CQ113" s="10"/>
      <c r="CR113" s="9"/>
      <c r="CS113" s="9"/>
      <c r="CT113" s="9"/>
      <c r="CU113" s="9"/>
      <c r="CV113" s="9"/>
      <c r="CW113" s="9"/>
      <c r="CX113" s="9"/>
      <c r="CY113" s="9"/>
      <c r="CZ113" s="9"/>
      <c r="DA113" s="9"/>
      <c r="DB113" s="9"/>
      <c r="DC113" s="9"/>
      <c r="DD113" s="9"/>
      <c r="DE113" s="9"/>
      <c r="DF113" s="9"/>
      <c r="DG113" s="9"/>
      <c r="DH113" s="9"/>
      <c r="DI113" s="9"/>
      <c r="DJ113" s="9"/>
      <c r="DK113" s="9"/>
      <c r="DL113" s="9"/>
      <c r="DM113" s="9"/>
      <c r="DN113" s="9"/>
      <c r="DO113" s="9"/>
      <c r="DP113" s="9"/>
      <c r="DQ113" s="9"/>
      <c r="DR113" s="9"/>
      <c r="DS113" s="10"/>
      <c r="DT113" s="9"/>
      <c r="DU113" s="9"/>
      <c r="DV113" s="9"/>
      <c r="DW113" s="9"/>
      <c r="DX113" s="9"/>
      <c r="DY113" s="9"/>
      <c r="DZ113" s="9"/>
      <c r="EA113" s="9"/>
      <c r="EB113" s="9"/>
      <c r="EC113" s="9"/>
      <c r="ED113" s="9"/>
      <c r="EE113" s="9"/>
      <c r="EF113" s="9"/>
      <c r="EG113" s="9"/>
      <c r="EH113" s="9"/>
      <c r="EI113" s="9"/>
      <c r="EJ113" s="9"/>
      <c r="EK113" s="9"/>
      <c r="EL113" s="9"/>
      <c r="EM113" s="9"/>
      <c r="EN113" s="9"/>
      <c r="EO113" s="9"/>
      <c r="EP113" s="9"/>
      <c r="EQ113" s="9"/>
      <c r="ER113" s="9"/>
      <c r="ES113" s="9"/>
      <c r="ET113" s="9"/>
      <c r="EU113" s="10"/>
      <c r="EV113" s="9"/>
      <c r="EW113" s="9"/>
      <c r="EX113" s="9"/>
      <c r="EY113" s="9"/>
      <c r="EZ113" s="9"/>
      <c r="FA113" s="9"/>
      <c r="FB113" s="9"/>
      <c r="FC113" s="9"/>
      <c r="FD113" s="9"/>
      <c r="FE113" s="9"/>
      <c r="FF113" s="9"/>
      <c r="FG113" s="9"/>
      <c r="FH113" s="9"/>
      <c r="FI113" s="9"/>
      <c r="FJ113" s="9"/>
      <c r="FK113" s="9"/>
      <c r="FL113" s="9"/>
      <c r="FM113" s="9"/>
      <c r="FN113" s="9"/>
      <c r="FO113" s="9"/>
      <c r="FP113" s="9"/>
      <c r="FQ113" s="9"/>
      <c r="FR113" s="9"/>
      <c r="FS113" s="9"/>
      <c r="FT113" s="9"/>
      <c r="FU113" s="9"/>
      <c r="FV113" s="9"/>
      <c r="FW113" s="10"/>
      <c r="FX113" s="9"/>
      <c r="FY113" s="9"/>
      <c r="FZ113" s="9"/>
      <c r="GA113" s="9"/>
      <c r="GB113" s="9"/>
      <c r="GC113" s="9"/>
      <c r="GD113" s="9"/>
      <c r="GE113" s="9"/>
      <c r="GF113" s="9"/>
      <c r="GG113" s="9"/>
      <c r="GH113" s="9"/>
      <c r="GI113" s="9"/>
      <c r="GJ113" s="9"/>
      <c r="GK113" s="9"/>
      <c r="GL113" s="9"/>
      <c r="GM113" s="9"/>
      <c r="GN113" s="9"/>
      <c r="GO113" s="9"/>
      <c r="GP113" s="9"/>
      <c r="GQ113" s="9"/>
      <c r="GR113" s="9"/>
      <c r="GS113" s="9"/>
      <c r="GT113" s="9"/>
      <c r="GU113" s="9"/>
      <c r="GV113" s="9"/>
      <c r="GW113" s="9"/>
      <c r="GX113" s="9"/>
      <c r="GY113" s="10"/>
      <c r="GZ113" s="9"/>
      <c r="HA113" s="9"/>
    </row>
    <row r="114" spans="1:209" s="2" customFormat="1" ht="17" customHeight="1">
      <c r="A114" s="14" t="s">
        <v>113</v>
      </c>
      <c r="B114" s="35">
        <v>1700</v>
      </c>
      <c r="C114" s="35">
        <v>7410.9</v>
      </c>
      <c r="D114" s="4">
        <f t="shared" si="42"/>
        <v>1.3</v>
      </c>
      <c r="E114" s="11">
        <v>10</v>
      </c>
      <c r="F114" s="5" t="s">
        <v>362</v>
      </c>
      <c r="G114" s="5" t="s">
        <v>362</v>
      </c>
      <c r="H114" s="5" t="s">
        <v>362</v>
      </c>
      <c r="I114" s="5" t="s">
        <v>362</v>
      </c>
      <c r="J114" s="5" t="s">
        <v>362</v>
      </c>
      <c r="K114" s="5" t="s">
        <v>362</v>
      </c>
      <c r="L114" s="5" t="s">
        <v>362</v>
      </c>
      <c r="M114" s="5" t="s">
        <v>362</v>
      </c>
      <c r="N114" s="35">
        <v>5105.7</v>
      </c>
      <c r="O114" s="35">
        <v>4164.1000000000004</v>
      </c>
      <c r="P114" s="4">
        <f t="shared" si="43"/>
        <v>0.815578666980042</v>
      </c>
      <c r="Q114" s="11">
        <v>20</v>
      </c>
      <c r="R114" s="35">
        <v>0</v>
      </c>
      <c r="S114" s="35">
        <v>0</v>
      </c>
      <c r="T114" s="4">
        <f t="shared" si="44"/>
        <v>0</v>
      </c>
      <c r="U114" s="11">
        <v>0</v>
      </c>
      <c r="V114" s="35">
        <v>0</v>
      </c>
      <c r="W114" s="35">
        <v>0</v>
      </c>
      <c r="X114" s="4">
        <f t="shared" si="45"/>
        <v>0</v>
      </c>
      <c r="Y114" s="11">
        <v>0</v>
      </c>
      <c r="Z114" s="35">
        <v>12751</v>
      </c>
      <c r="AA114" s="35">
        <v>14651</v>
      </c>
      <c r="AB114" s="4">
        <f t="shared" si="46"/>
        <v>1.1490079209473767</v>
      </c>
      <c r="AC114" s="11">
        <v>10</v>
      </c>
      <c r="AD114" s="11">
        <v>0</v>
      </c>
      <c r="AE114" s="11">
        <v>0</v>
      </c>
      <c r="AF114" s="4">
        <f t="shared" si="47"/>
        <v>0</v>
      </c>
      <c r="AG114" s="11">
        <v>0</v>
      </c>
      <c r="AH114" s="5" t="s">
        <v>362</v>
      </c>
      <c r="AI114" s="5" t="s">
        <v>362</v>
      </c>
      <c r="AJ114" s="5" t="s">
        <v>362</v>
      </c>
      <c r="AK114" s="5" t="s">
        <v>362</v>
      </c>
      <c r="AL114" s="5" t="s">
        <v>362</v>
      </c>
      <c r="AM114" s="5" t="s">
        <v>362</v>
      </c>
      <c r="AN114" s="5" t="s">
        <v>362</v>
      </c>
      <c r="AO114" s="5" t="s">
        <v>362</v>
      </c>
      <c r="AP114" s="44">
        <f t="shared" si="56"/>
        <v>1.0200413137268651</v>
      </c>
      <c r="AQ114" s="45">
        <v>0</v>
      </c>
      <c r="AR114" s="35">
        <f t="shared" si="48"/>
        <v>0</v>
      </c>
      <c r="AS114" s="35">
        <f t="shared" si="49"/>
        <v>0</v>
      </c>
      <c r="AT114" s="35">
        <f t="shared" si="50"/>
        <v>0</v>
      </c>
      <c r="AU114" s="35">
        <v>0</v>
      </c>
      <c r="AV114" s="35">
        <v>0</v>
      </c>
      <c r="AW114" s="35">
        <f t="shared" si="51"/>
        <v>0</v>
      </c>
      <c r="AX114" s="35"/>
      <c r="AY114" s="35">
        <f t="shared" si="52"/>
        <v>0</v>
      </c>
      <c r="AZ114" s="35">
        <v>0</v>
      </c>
      <c r="BA114" s="35">
        <f t="shared" si="53"/>
        <v>0</v>
      </c>
      <c r="BB114" s="35"/>
      <c r="BC114" s="35">
        <f t="shared" si="54"/>
        <v>0</v>
      </c>
      <c r="BD114" s="35">
        <v>0</v>
      </c>
      <c r="BE114" s="35">
        <f t="shared" si="55"/>
        <v>0</v>
      </c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9"/>
      <c r="BU114" s="9"/>
      <c r="BV114" s="9"/>
      <c r="BW114" s="9"/>
      <c r="BX114" s="9"/>
      <c r="BY114" s="9"/>
      <c r="BZ114" s="9"/>
      <c r="CA114" s="9"/>
      <c r="CB114" s="9"/>
      <c r="CC114" s="9"/>
      <c r="CD114" s="9"/>
      <c r="CE114" s="9"/>
      <c r="CF114" s="9"/>
      <c r="CG114" s="9"/>
      <c r="CH114" s="9"/>
      <c r="CI114" s="9"/>
      <c r="CJ114" s="9"/>
      <c r="CK114" s="9"/>
      <c r="CL114" s="9"/>
      <c r="CM114" s="9"/>
      <c r="CN114" s="9"/>
      <c r="CO114" s="9"/>
      <c r="CP114" s="9"/>
      <c r="CQ114" s="10"/>
      <c r="CR114" s="9"/>
      <c r="CS114" s="9"/>
      <c r="CT114" s="9"/>
      <c r="CU114" s="9"/>
      <c r="CV114" s="9"/>
      <c r="CW114" s="9"/>
      <c r="CX114" s="9"/>
      <c r="CY114" s="9"/>
      <c r="CZ114" s="9"/>
      <c r="DA114" s="9"/>
      <c r="DB114" s="9"/>
      <c r="DC114" s="9"/>
      <c r="DD114" s="9"/>
      <c r="DE114" s="9"/>
      <c r="DF114" s="9"/>
      <c r="DG114" s="9"/>
      <c r="DH114" s="9"/>
      <c r="DI114" s="9"/>
      <c r="DJ114" s="9"/>
      <c r="DK114" s="9"/>
      <c r="DL114" s="9"/>
      <c r="DM114" s="9"/>
      <c r="DN114" s="9"/>
      <c r="DO114" s="9"/>
      <c r="DP114" s="9"/>
      <c r="DQ114" s="9"/>
      <c r="DR114" s="9"/>
      <c r="DS114" s="10"/>
      <c r="DT114" s="9"/>
      <c r="DU114" s="9"/>
      <c r="DV114" s="9"/>
      <c r="DW114" s="9"/>
      <c r="DX114" s="9"/>
      <c r="DY114" s="9"/>
      <c r="DZ114" s="9"/>
      <c r="EA114" s="9"/>
      <c r="EB114" s="9"/>
      <c r="EC114" s="9"/>
      <c r="ED114" s="9"/>
      <c r="EE114" s="9"/>
      <c r="EF114" s="9"/>
      <c r="EG114" s="9"/>
      <c r="EH114" s="9"/>
      <c r="EI114" s="9"/>
      <c r="EJ114" s="9"/>
      <c r="EK114" s="9"/>
      <c r="EL114" s="9"/>
      <c r="EM114" s="9"/>
      <c r="EN114" s="9"/>
      <c r="EO114" s="9"/>
      <c r="EP114" s="9"/>
      <c r="EQ114" s="9"/>
      <c r="ER114" s="9"/>
      <c r="ES114" s="9"/>
      <c r="ET114" s="9"/>
      <c r="EU114" s="10"/>
      <c r="EV114" s="9"/>
      <c r="EW114" s="9"/>
      <c r="EX114" s="9"/>
      <c r="EY114" s="9"/>
      <c r="EZ114" s="9"/>
      <c r="FA114" s="9"/>
      <c r="FB114" s="9"/>
      <c r="FC114" s="9"/>
      <c r="FD114" s="9"/>
      <c r="FE114" s="9"/>
      <c r="FF114" s="9"/>
      <c r="FG114" s="9"/>
      <c r="FH114" s="9"/>
      <c r="FI114" s="9"/>
      <c r="FJ114" s="9"/>
      <c r="FK114" s="9"/>
      <c r="FL114" s="9"/>
      <c r="FM114" s="9"/>
      <c r="FN114" s="9"/>
      <c r="FO114" s="9"/>
      <c r="FP114" s="9"/>
      <c r="FQ114" s="9"/>
      <c r="FR114" s="9"/>
      <c r="FS114" s="9"/>
      <c r="FT114" s="9"/>
      <c r="FU114" s="9"/>
      <c r="FV114" s="9"/>
      <c r="FW114" s="10"/>
      <c r="FX114" s="9"/>
      <c r="FY114" s="9"/>
      <c r="FZ114" s="9"/>
      <c r="GA114" s="9"/>
      <c r="GB114" s="9"/>
      <c r="GC114" s="9"/>
      <c r="GD114" s="9"/>
      <c r="GE114" s="9"/>
      <c r="GF114" s="9"/>
      <c r="GG114" s="9"/>
      <c r="GH114" s="9"/>
      <c r="GI114" s="9"/>
      <c r="GJ114" s="9"/>
      <c r="GK114" s="9"/>
      <c r="GL114" s="9"/>
      <c r="GM114" s="9"/>
      <c r="GN114" s="9"/>
      <c r="GO114" s="9"/>
      <c r="GP114" s="9"/>
      <c r="GQ114" s="9"/>
      <c r="GR114" s="9"/>
      <c r="GS114" s="9"/>
      <c r="GT114" s="9"/>
      <c r="GU114" s="9"/>
      <c r="GV114" s="9"/>
      <c r="GW114" s="9"/>
      <c r="GX114" s="9"/>
      <c r="GY114" s="10"/>
      <c r="GZ114" s="9"/>
      <c r="HA114" s="9"/>
    </row>
    <row r="115" spans="1:209" s="2" customFormat="1" ht="17" customHeight="1">
      <c r="A115" s="14" t="s">
        <v>114</v>
      </c>
      <c r="B115" s="35">
        <v>2564230</v>
      </c>
      <c r="C115" s="35">
        <v>2184820.4</v>
      </c>
      <c r="D115" s="4">
        <f t="shared" si="42"/>
        <v>0.85203760973079634</v>
      </c>
      <c r="E115" s="11">
        <v>10</v>
      </c>
      <c r="F115" s="5" t="s">
        <v>362</v>
      </c>
      <c r="G115" s="5" t="s">
        <v>362</v>
      </c>
      <c r="H115" s="5" t="s">
        <v>362</v>
      </c>
      <c r="I115" s="5" t="s">
        <v>362</v>
      </c>
      <c r="J115" s="5" t="s">
        <v>362</v>
      </c>
      <c r="K115" s="5" t="s">
        <v>362</v>
      </c>
      <c r="L115" s="5" t="s">
        <v>362</v>
      </c>
      <c r="M115" s="5" t="s">
        <v>362</v>
      </c>
      <c r="N115" s="35">
        <v>13271.1</v>
      </c>
      <c r="O115" s="35">
        <v>21877.200000000001</v>
      </c>
      <c r="P115" s="4">
        <f t="shared" si="43"/>
        <v>1.2448484300472455</v>
      </c>
      <c r="Q115" s="11">
        <v>20</v>
      </c>
      <c r="R115" s="35">
        <v>20</v>
      </c>
      <c r="S115" s="35">
        <v>21.3</v>
      </c>
      <c r="T115" s="4">
        <f t="shared" si="44"/>
        <v>1.0649999999999999</v>
      </c>
      <c r="U115" s="11">
        <v>30</v>
      </c>
      <c r="V115" s="35">
        <v>6</v>
      </c>
      <c r="W115" s="35">
        <v>5.9</v>
      </c>
      <c r="X115" s="4">
        <f t="shared" si="45"/>
        <v>0.98333333333333339</v>
      </c>
      <c r="Y115" s="11">
        <v>20</v>
      </c>
      <c r="Z115" s="35">
        <v>704747</v>
      </c>
      <c r="AA115" s="35">
        <v>604336</v>
      </c>
      <c r="AB115" s="4">
        <f t="shared" si="46"/>
        <v>0.8575219192135618</v>
      </c>
      <c r="AC115" s="11">
        <v>10</v>
      </c>
      <c r="AD115" s="11">
        <v>75</v>
      </c>
      <c r="AE115" s="11">
        <v>75</v>
      </c>
      <c r="AF115" s="4">
        <f t="shared" si="47"/>
        <v>1</v>
      </c>
      <c r="AG115" s="11">
        <v>20</v>
      </c>
      <c r="AH115" s="5" t="s">
        <v>362</v>
      </c>
      <c r="AI115" s="5" t="s">
        <v>362</v>
      </c>
      <c r="AJ115" s="5" t="s">
        <v>362</v>
      </c>
      <c r="AK115" s="5" t="s">
        <v>362</v>
      </c>
      <c r="AL115" s="5" t="s">
        <v>362</v>
      </c>
      <c r="AM115" s="5" t="s">
        <v>362</v>
      </c>
      <c r="AN115" s="5" t="s">
        <v>362</v>
      </c>
      <c r="AO115" s="5" t="s">
        <v>362</v>
      </c>
      <c r="AP115" s="44">
        <f t="shared" si="56"/>
        <v>1.0328111868823198</v>
      </c>
      <c r="AQ115" s="45">
        <v>2683</v>
      </c>
      <c r="AR115" s="35">
        <f t="shared" si="48"/>
        <v>731.72727272727275</v>
      </c>
      <c r="AS115" s="35">
        <f t="shared" si="49"/>
        <v>755.7</v>
      </c>
      <c r="AT115" s="35">
        <f t="shared" si="50"/>
        <v>23.972727272727298</v>
      </c>
      <c r="AU115" s="35">
        <v>268.89999999999998</v>
      </c>
      <c r="AV115" s="35">
        <v>270.8</v>
      </c>
      <c r="AW115" s="35">
        <f t="shared" si="51"/>
        <v>216</v>
      </c>
      <c r="AX115" s="35"/>
      <c r="AY115" s="35">
        <f t="shared" si="52"/>
        <v>216</v>
      </c>
      <c r="AZ115" s="35">
        <v>0</v>
      </c>
      <c r="BA115" s="35">
        <f t="shared" si="53"/>
        <v>216</v>
      </c>
      <c r="BB115" s="35"/>
      <c r="BC115" s="35">
        <f t="shared" si="54"/>
        <v>216</v>
      </c>
      <c r="BD115" s="35">
        <v>228.9</v>
      </c>
      <c r="BE115" s="35">
        <f t="shared" si="55"/>
        <v>-12.9</v>
      </c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9"/>
      <c r="BU115" s="9"/>
      <c r="BV115" s="9"/>
      <c r="BW115" s="9"/>
      <c r="BX115" s="9"/>
      <c r="BY115" s="9"/>
      <c r="BZ115" s="9"/>
      <c r="CA115" s="9"/>
      <c r="CB115" s="9"/>
      <c r="CC115" s="9"/>
      <c r="CD115" s="9"/>
      <c r="CE115" s="9"/>
      <c r="CF115" s="9"/>
      <c r="CG115" s="9"/>
      <c r="CH115" s="9"/>
      <c r="CI115" s="9"/>
      <c r="CJ115" s="9"/>
      <c r="CK115" s="9"/>
      <c r="CL115" s="9"/>
      <c r="CM115" s="9"/>
      <c r="CN115" s="9"/>
      <c r="CO115" s="9"/>
      <c r="CP115" s="9"/>
      <c r="CQ115" s="10"/>
      <c r="CR115" s="9"/>
      <c r="CS115" s="9"/>
      <c r="CT115" s="9"/>
      <c r="CU115" s="9"/>
      <c r="CV115" s="9"/>
      <c r="CW115" s="9"/>
      <c r="CX115" s="9"/>
      <c r="CY115" s="9"/>
      <c r="CZ115" s="9"/>
      <c r="DA115" s="9"/>
      <c r="DB115" s="9"/>
      <c r="DC115" s="9"/>
      <c r="DD115" s="9"/>
      <c r="DE115" s="9"/>
      <c r="DF115" s="9"/>
      <c r="DG115" s="9"/>
      <c r="DH115" s="9"/>
      <c r="DI115" s="9"/>
      <c r="DJ115" s="9"/>
      <c r="DK115" s="9"/>
      <c r="DL115" s="9"/>
      <c r="DM115" s="9"/>
      <c r="DN115" s="9"/>
      <c r="DO115" s="9"/>
      <c r="DP115" s="9"/>
      <c r="DQ115" s="9"/>
      <c r="DR115" s="9"/>
      <c r="DS115" s="10"/>
      <c r="DT115" s="9"/>
      <c r="DU115" s="9"/>
      <c r="DV115" s="9"/>
      <c r="DW115" s="9"/>
      <c r="DX115" s="9"/>
      <c r="DY115" s="9"/>
      <c r="DZ115" s="9"/>
      <c r="EA115" s="9"/>
      <c r="EB115" s="9"/>
      <c r="EC115" s="9"/>
      <c r="ED115" s="9"/>
      <c r="EE115" s="9"/>
      <c r="EF115" s="9"/>
      <c r="EG115" s="9"/>
      <c r="EH115" s="9"/>
      <c r="EI115" s="9"/>
      <c r="EJ115" s="9"/>
      <c r="EK115" s="9"/>
      <c r="EL115" s="9"/>
      <c r="EM115" s="9"/>
      <c r="EN115" s="9"/>
      <c r="EO115" s="9"/>
      <c r="EP115" s="9"/>
      <c r="EQ115" s="9"/>
      <c r="ER115" s="9"/>
      <c r="ES115" s="9"/>
      <c r="ET115" s="9"/>
      <c r="EU115" s="10"/>
      <c r="EV115" s="9"/>
      <c r="EW115" s="9"/>
      <c r="EX115" s="9"/>
      <c r="EY115" s="9"/>
      <c r="EZ115" s="9"/>
      <c r="FA115" s="9"/>
      <c r="FB115" s="9"/>
      <c r="FC115" s="9"/>
      <c r="FD115" s="9"/>
      <c r="FE115" s="9"/>
      <c r="FF115" s="9"/>
      <c r="FG115" s="9"/>
      <c r="FH115" s="9"/>
      <c r="FI115" s="9"/>
      <c r="FJ115" s="9"/>
      <c r="FK115" s="9"/>
      <c r="FL115" s="9"/>
      <c r="FM115" s="9"/>
      <c r="FN115" s="9"/>
      <c r="FO115" s="9"/>
      <c r="FP115" s="9"/>
      <c r="FQ115" s="9"/>
      <c r="FR115" s="9"/>
      <c r="FS115" s="9"/>
      <c r="FT115" s="9"/>
      <c r="FU115" s="9"/>
      <c r="FV115" s="9"/>
      <c r="FW115" s="10"/>
      <c r="FX115" s="9"/>
      <c r="FY115" s="9"/>
      <c r="FZ115" s="9"/>
      <c r="GA115" s="9"/>
      <c r="GB115" s="9"/>
      <c r="GC115" s="9"/>
      <c r="GD115" s="9"/>
      <c r="GE115" s="9"/>
      <c r="GF115" s="9"/>
      <c r="GG115" s="9"/>
      <c r="GH115" s="9"/>
      <c r="GI115" s="9"/>
      <c r="GJ115" s="9"/>
      <c r="GK115" s="9"/>
      <c r="GL115" s="9"/>
      <c r="GM115" s="9"/>
      <c r="GN115" s="9"/>
      <c r="GO115" s="9"/>
      <c r="GP115" s="9"/>
      <c r="GQ115" s="9"/>
      <c r="GR115" s="9"/>
      <c r="GS115" s="9"/>
      <c r="GT115" s="9"/>
      <c r="GU115" s="9"/>
      <c r="GV115" s="9"/>
      <c r="GW115" s="9"/>
      <c r="GX115" s="9"/>
      <c r="GY115" s="10"/>
      <c r="GZ115" s="9"/>
      <c r="HA115" s="9"/>
    </row>
    <row r="116" spans="1:209" s="2" customFormat="1" ht="17" customHeight="1">
      <c r="A116" s="14" t="s">
        <v>115</v>
      </c>
      <c r="B116" s="35">
        <v>24583</v>
      </c>
      <c r="C116" s="35">
        <v>19336</v>
      </c>
      <c r="D116" s="4">
        <f t="shared" si="42"/>
        <v>0.78655981776024086</v>
      </c>
      <c r="E116" s="11">
        <v>10</v>
      </c>
      <c r="F116" s="5" t="s">
        <v>362</v>
      </c>
      <c r="G116" s="5" t="s">
        <v>362</v>
      </c>
      <c r="H116" s="5" t="s">
        <v>362</v>
      </c>
      <c r="I116" s="5" t="s">
        <v>362</v>
      </c>
      <c r="J116" s="5" t="s">
        <v>362</v>
      </c>
      <c r="K116" s="5" t="s">
        <v>362</v>
      </c>
      <c r="L116" s="5" t="s">
        <v>362</v>
      </c>
      <c r="M116" s="5" t="s">
        <v>362</v>
      </c>
      <c r="N116" s="35">
        <v>993.2</v>
      </c>
      <c r="O116" s="35">
        <v>877.5</v>
      </c>
      <c r="P116" s="4">
        <f t="shared" si="43"/>
        <v>0.88350785340314131</v>
      </c>
      <c r="Q116" s="11">
        <v>20</v>
      </c>
      <c r="R116" s="35">
        <v>5</v>
      </c>
      <c r="S116" s="35">
        <v>3</v>
      </c>
      <c r="T116" s="4">
        <f t="shared" si="44"/>
        <v>0.6</v>
      </c>
      <c r="U116" s="11">
        <v>25</v>
      </c>
      <c r="V116" s="35">
        <v>0.6</v>
      </c>
      <c r="W116" s="35">
        <v>2.1</v>
      </c>
      <c r="X116" s="4">
        <f t="shared" si="45"/>
        <v>1.3</v>
      </c>
      <c r="Y116" s="11">
        <v>25</v>
      </c>
      <c r="Z116" s="35">
        <v>4259</v>
      </c>
      <c r="AA116" s="35">
        <v>5494</v>
      </c>
      <c r="AB116" s="4">
        <f t="shared" si="46"/>
        <v>1.2089974172340925</v>
      </c>
      <c r="AC116" s="11">
        <v>10</v>
      </c>
      <c r="AD116" s="11">
        <v>90</v>
      </c>
      <c r="AE116" s="11">
        <v>95</v>
      </c>
      <c r="AF116" s="4">
        <f t="shared" si="47"/>
        <v>1.0555555555555556</v>
      </c>
      <c r="AG116" s="11">
        <v>20</v>
      </c>
      <c r="AH116" s="5" t="s">
        <v>362</v>
      </c>
      <c r="AI116" s="5" t="s">
        <v>362</v>
      </c>
      <c r="AJ116" s="5" t="s">
        <v>362</v>
      </c>
      <c r="AK116" s="5" t="s">
        <v>362</v>
      </c>
      <c r="AL116" s="5" t="s">
        <v>362</v>
      </c>
      <c r="AM116" s="5" t="s">
        <v>362</v>
      </c>
      <c r="AN116" s="5" t="s">
        <v>362</v>
      </c>
      <c r="AO116" s="5" t="s">
        <v>362</v>
      </c>
      <c r="AP116" s="44">
        <f t="shared" si="56"/>
        <v>0.96578945935561156</v>
      </c>
      <c r="AQ116" s="45">
        <v>2132</v>
      </c>
      <c r="AR116" s="35">
        <f t="shared" si="48"/>
        <v>581.4545454545455</v>
      </c>
      <c r="AS116" s="35">
        <f t="shared" si="49"/>
        <v>561.6</v>
      </c>
      <c r="AT116" s="35">
        <f t="shared" si="50"/>
        <v>-19.854545454545473</v>
      </c>
      <c r="AU116" s="35">
        <v>137.80000000000001</v>
      </c>
      <c r="AV116" s="35">
        <v>69.7</v>
      </c>
      <c r="AW116" s="35">
        <f t="shared" si="51"/>
        <v>354.1</v>
      </c>
      <c r="AX116" s="35"/>
      <c r="AY116" s="35">
        <f t="shared" si="52"/>
        <v>354.1</v>
      </c>
      <c r="AZ116" s="35">
        <v>0</v>
      </c>
      <c r="BA116" s="35">
        <f t="shared" si="53"/>
        <v>354.1</v>
      </c>
      <c r="BB116" s="35">
        <f>MIN(BA116,96.9)</f>
        <v>96.9</v>
      </c>
      <c r="BC116" s="35">
        <f t="shared" si="54"/>
        <v>257.2</v>
      </c>
      <c r="BD116" s="35">
        <v>243</v>
      </c>
      <c r="BE116" s="35">
        <f t="shared" si="55"/>
        <v>14.2</v>
      </c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9"/>
      <c r="BU116" s="9"/>
      <c r="BV116" s="9"/>
      <c r="BW116" s="9"/>
      <c r="BX116" s="9"/>
      <c r="BY116" s="9"/>
      <c r="BZ116" s="9"/>
      <c r="CA116" s="9"/>
      <c r="CB116" s="9"/>
      <c r="CC116" s="9"/>
      <c r="CD116" s="9"/>
      <c r="CE116" s="9"/>
      <c r="CF116" s="9"/>
      <c r="CG116" s="9"/>
      <c r="CH116" s="9"/>
      <c r="CI116" s="9"/>
      <c r="CJ116" s="9"/>
      <c r="CK116" s="9"/>
      <c r="CL116" s="9"/>
      <c r="CM116" s="9"/>
      <c r="CN116" s="9"/>
      <c r="CO116" s="9"/>
      <c r="CP116" s="9"/>
      <c r="CQ116" s="10"/>
      <c r="CR116" s="9"/>
      <c r="CS116" s="9"/>
      <c r="CT116" s="9"/>
      <c r="CU116" s="9"/>
      <c r="CV116" s="9"/>
      <c r="CW116" s="9"/>
      <c r="CX116" s="9"/>
      <c r="CY116" s="9"/>
      <c r="CZ116" s="9"/>
      <c r="DA116" s="9"/>
      <c r="DB116" s="9"/>
      <c r="DC116" s="9"/>
      <c r="DD116" s="9"/>
      <c r="DE116" s="9"/>
      <c r="DF116" s="9"/>
      <c r="DG116" s="9"/>
      <c r="DH116" s="9"/>
      <c r="DI116" s="9"/>
      <c r="DJ116" s="9"/>
      <c r="DK116" s="9"/>
      <c r="DL116" s="9"/>
      <c r="DM116" s="9"/>
      <c r="DN116" s="9"/>
      <c r="DO116" s="9"/>
      <c r="DP116" s="9"/>
      <c r="DQ116" s="9"/>
      <c r="DR116" s="9"/>
      <c r="DS116" s="10"/>
      <c r="DT116" s="9"/>
      <c r="DU116" s="9"/>
      <c r="DV116" s="9"/>
      <c r="DW116" s="9"/>
      <c r="DX116" s="9"/>
      <c r="DY116" s="9"/>
      <c r="DZ116" s="9"/>
      <c r="EA116" s="9"/>
      <c r="EB116" s="9"/>
      <c r="EC116" s="9"/>
      <c r="ED116" s="9"/>
      <c r="EE116" s="9"/>
      <c r="EF116" s="9"/>
      <c r="EG116" s="9"/>
      <c r="EH116" s="9"/>
      <c r="EI116" s="9"/>
      <c r="EJ116" s="9"/>
      <c r="EK116" s="9"/>
      <c r="EL116" s="9"/>
      <c r="EM116" s="9"/>
      <c r="EN116" s="9"/>
      <c r="EO116" s="9"/>
      <c r="EP116" s="9"/>
      <c r="EQ116" s="9"/>
      <c r="ER116" s="9"/>
      <c r="ES116" s="9"/>
      <c r="ET116" s="9"/>
      <c r="EU116" s="10"/>
      <c r="EV116" s="9"/>
      <c r="EW116" s="9"/>
      <c r="EX116" s="9"/>
      <c r="EY116" s="9"/>
      <c r="EZ116" s="9"/>
      <c r="FA116" s="9"/>
      <c r="FB116" s="9"/>
      <c r="FC116" s="9"/>
      <c r="FD116" s="9"/>
      <c r="FE116" s="9"/>
      <c r="FF116" s="9"/>
      <c r="FG116" s="9"/>
      <c r="FH116" s="9"/>
      <c r="FI116" s="9"/>
      <c r="FJ116" s="9"/>
      <c r="FK116" s="9"/>
      <c r="FL116" s="9"/>
      <c r="FM116" s="9"/>
      <c r="FN116" s="9"/>
      <c r="FO116" s="9"/>
      <c r="FP116" s="9"/>
      <c r="FQ116" s="9"/>
      <c r="FR116" s="9"/>
      <c r="FS116" s="9"/>
      <c r="FT116" s="9"/>
      <c r="FU116" s="9"/>
      <c r="FV116" s="9"/>
      <c r="FW116" s="10"/>
      <c r="FX116" s="9"/>
      <c r="FY116" s="9"/>
      <c r="FZ116" s="9"/>
      <c r="GA116" s="9"/>
      <c r="GB116" s="9"/>
      <c r="GC116" s="9"/>
      <c r="GD116" s="9"/>
      <c r="GE116" s="9"/>
      <c r="GF116" s="9"/>
      <c r="GG116" s="9"/>
      <c r="GH116" s="9"/>
      <c r="GI116" s="9"/>
      <c r="GJ116" s="9"/>
      <c r="GK116" s="9"/>
      <c r="GL116" s="9"/>
      <c r="GM116" s="9"/>
      <c r="GN116" s="9"/>
      <c r="GO116" s="9"/>
      <c r="GP116" s="9"/>
      <c r="GQ116" s="9"/>
      <c r="GR116" s="9"/>
      <c r="GS116" s="9"/>
      <c r="GT116" s="9"/>
      <c r="GU116" s="9"/>
      <c r="GV116" s="9"/>
      <c r="GW116" s="9"/>
      <c r="GX116" s="9"/>
      <c r="GY116" s="10"/>
      <c r="GZ116" s="9"/>
      <c r="HA116" s="9"/>
    </row>
    <row r="117" spans="1:209" s="2" customFormat="1" ht="17" customHeight="1">
      <c r="A117" s="14" t="s">
        <v>116</v>
      </c>
      <c r="B117" s="35">
        <v>12133</v>
      </c>
      <c r="C117" s="35">
        <v>11319</v>
      </c>
      <c r="D117" s="4">
        <f t="shared" si="42"/>
        <v>0.93291024478694473</v>
      </c>
      <c r="E117" s="11">
        <v>10</v>
      </c>
      <c r="F117" s="5" t="s">
        <v>362</v>
      </c>
      <c r="G117" s="5" t="s">
        <v>362</v>
      </c>
      <c r="H117" s="5" t="s">
        <v>362</v>
      </c>
      <c r="I117" s="5" t="s">
        <v>362</v>
      </c>
      <c r="J117" s="5" t="s">
        <v>362</v>
      </c>
      <c r="K117" s="5" t="s">
        <v>362</v>
      </c>
      <c r="L117" s="5" t="s">
        <v>362</v>
      </c>
      <c r="M117" s="5" t="s">
        <v>362</v>
      </c>
      <c r="N117" s="35">
        <v>609.70000000000005</v>
      </c>
      <c r="O117" s="35">
        <v>337.9</v>
      </c>
      <c r="P117" s="4">
        <f t="shared" si="43"/>
        <v>0.55420698704280791</v>
      </c>
      <c r="Q117" s="11">
        <v>20</v>
      </c>
      <c r="R117" s="35">
        <v>14</v>
      </c>
      <c r="S117" s="35">
        <v>14.3</v>
      </c>
      <c r="T117" s="4">
        <f t="shared" si="44"/>
        <v>1.0214285714285716</v>
      </c>
      <c r="U117" s="11">
        <v>30</v>
      </c>
      <c r="V117" s="35">
        <v>1.5</v>
      </c>
      <c r="W117" s="35">
        <v>1.5</v>
      </c>
      <c r="X117" s="4">
        <f t="shared" si="45"/>
        <v>1</v>
      </c>
      <c r="Y117" s="11">
        <v>20</v>
      </c>
      <c r="Z117" s="35">
        <v>9778</v>
      </c>
      <c r="AA117" s="35">
        <v>9157</v>
      </c>
      <c r="AB117" s="4">
        <f t="shared" si="46"/>
        <v>0.93649007977091425</v>
      </c>
      <c r="AC117" s="11">
        <v>10</v>
      </c>
      <c r="AD117" s="11">
        <v>327</v>
      </c>
      <c r="AE117" s="11">
        <v>382</v>
      </c>
      <c r="AF117" s="4">
        <f t="shared" si="47"/>
        <v>1.1681957186544343</v>
      </c>
      <c r="AG117" s="11">
        <v>20</v>
      </c>
      <c r="AH117" s="5" t="s">
        <v>362</v>
      </c>
      <c r="AI117" s="5" t="s">
        <v>362</v>
      </c>
      <c r="AJ117" s="5" t="s">
        <v>362</v>
      </c>
      <c r="AK117" s="5" t="s">
        <v>362</v>
      </c>
      <c r="AL117" s="5" t="s">
        <v>362</v>
      </c>
      <c r="AM117" s="5" t="s">
        <v>362</v>
      </c>
      <c r="AN117" s="5" t="s">
        <v>362</v>
      </c>
      <c r="AO117" s="5" t="s">
        <v>362</v>
      </c>
      <c r="AP117" s="44">
        <f t="shared" si="56"/>
        <v>0.94349922274891429</v>
      </c>
      <c r="AQ117" s="45">
        <v>2258</v>
      </c>
      <c r="AR117" s="35">
        <f t="shared" si="48"/>
        <v>615.81818181818187</v>
      </c>
      <c r="AS117" s="35">
        <f t="shared" si="49"/>
        <v>581</v>
      </c>
      <c r="AT117" s="35">
        <f t="shared" si="50"/>
        <v>-34.81818181818187</v>
      </c>
      <c r="AU117" s="35">
        <v>164.9</v>
      </c>
      <c r="AV117" s="35">
        <v>200.2</v>
      </c>
      <c r="AW117" s="35">
        <f t="shared" si="51"/>
        <v>215.9</v>
      </c>
      <c r="AX117" s="35"/>
      <c r="AY117" s="35">
        <f t="shared" si="52"/>
        <v>215.9</v>
      </c>
      <c r="AZ117" s="35">
        <v>0</v>
      </c>
      <c r="BA117" s="35">
        <f t="shared" si="53"/>
        <v>215.9</v>
      </c>
      <c r="BB117" s="35"/>
      <c r="BC117" s="35">
        <f t="shared" si="54"/>
        <v>215.9</v>
      </c>
      <c r="BD117" s="35">
        <v>216.4</v>
      </c>
      <c r="BE117" s="35">
        <f t="shared" si="55"/>
        <v>-0.5</v>
      </c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9"/>
      <c r="BU117" s="9"/>
      <c r="BV117" s="9"/>
      <c r="BW117" s="9"/>
      <c r="BX117" s="9"/>
      <c r="BY117" s="9"/>
      <c r="BZ117" s="9"/>
      <c r="CA117" s="9"/>
      <c r="CB117" s="9"/>
      <c r="CC117" s="9"/>
      <c r="CD117" s="9"/>
      <c r="CE117" s="9"/>
      <c r="CF117" s="9"/>
      <c r="CG117" s="9"/>
      <c r="CH117" s="9"/>
      <c r="CI117" s="9"/>
      <c r="CJ117" s="9"/>
      <c r="CK117" s="9"/>
      <c r="CL117" s="9"/>
      <c r="CM117" s="9"/>
      <c r="CN117" s="9"/>
      <c r="CO117" s="9"/>
      <c r="CP117" s="9"/>
      <c r="CQ117" s="10"/>
      <c r="CR117" s="9"/>
      <c r="CS117" s="9"/>
      <c r="CT117" s="9"/>
      <c r="CU117" s="9"/>
      <c r="CV117" s="9"/>
      <c r="CW117" s="9"/>
      <c r="CX117" s="9"/>
      <c r="CY117" s="9"/>
      <c r="CZ117" s="9"/>
      <c r="DA117" s="9"/>
      <c r="DB117" s="9"/>
      <c r="DC117" s="9"/>
      <c r="DD117" s="9"/>
      <c r="DE117" s="9"/>
      <c r="DF117" s="9"/>
      <c r="DG117" s="9"/>
      <c r="DH117" s="9"/>
      <c r="DI117" s="9"/>
      <c r="DJ117" s="9"/>
      <c r="DK117" s="9"/>
      <c r="DL117" s="9"/>
      <c r="DM117" s="9"/>
      <c r="DN117" s="9"/>
      <c r="DO117" s="9"/>
      <c r="DP117" s="9"/>
      <c r="DQ117" s="9"/>
      <c r="DR117" s="9"/>
      <c r="DS117" s="10"/>
      <c r="DT117" s="9"/>
      <c r="DU117" s="9"/>
      <c r="DV117" s="9"/>
      <c r="DW117" s="9"/>
      <c r="DX117" s="9"/>
      <c r="DY117" s="9"/>
      <c r="DZ117" s="9"/>
      <c r="EA117" s="9"/>
      <c r="EB117" s="9"/>
      <c r="EC117" s="9"/>
      <c r="ED117" s="9"/>
      <c r="EE117" s="9"/>
      <c r="EF117" s="9"/>
      <c r="EG117" s="9"/>
      <c r="EH117" s="9"/>
      <c r="EI117" s="9"/>
      <c r="EJ117" s="9"/>
      <c r="EK117" s="9"/>
      <c r="EL117" s="9"/>
      <c r="EM117" s="9"/>
      <c r="EN117" s="9"/>
      <c r="EO117" s="9"/>
      <c r="EP117" s="9"/>
      <c r="EQ117" s="9"/>
      <c r="ER117" s="9"/>
      <c r="ES117" s="9"/>
      <c r="ET117" s="9"/>
      <c r="EU117" s="10"/>
      <c r="EV117" s="9"/>
      <c r="EW117" s="9"/>
      <c r="EX117" s="9"/>
      <c r="EY117" s="9"/>
      <c r="EZ117" s="9"/>
      <c r="FA117" s="9"/>
      <c r="FB117" s="9"/>
      <c r="FC117" s="9"/>
      <c r="FD117" s="9"/>
      <c r="FE117" s="9"/>
      <c r="FF117" s="9"/>
      <c r="FG117" s="9"/>
      <c r="FH117" s="9"/>
      <c r="FI117" s="9"/>
      <c r="FJ117" s="9"/>
      <c r="FK117" s="9"/>
      <c r="FL117" s="9"/>
      <c r="FM117" s="9"/>
      <c r="FN117" s="9"/>
      <c r="FO117" s="9"/>
      <c r="FP117" s="9"/>
      <c r="FQ117" s="9"/>
      <c r="FR117" s="9"/>
      <c r="FS117" s="9"/>
      <c r="FT117" s="9"/>
      <c r="FU117" s="9"/>
      <c r="FV117" s="9"/>
      <c r="FW117" s="10"/>
      <c r="FX117" s="9"/>
      <c r="FY117" s="9"/>
      <c r="FZ117" s="9"/>
      <c r="GA117" s="9"/>
      <c r="GB117" s="9"/>
      <c r="GC117" s="9"/>
      <c r="GD117" s="9"/>
      <c r="GE117" s="9"/>
      <c r="GF117" s="9"/>
      <c r="GG117" s="9"/>
      <c r="GH117" s="9"/>
      <c r="GI117" s="9"/>
      <c r="GJ117" s="9"/>
      <c r="GK117" s="9"/>
      <c r="GL117" s="9"/>
      <c r="GM117" s="9"/>
      <c r="GN117" s="9"/>
      <c r="GO117" s="9"/>
      <c r="GP117" s="9"/>
      <c r="GQ117" s="9"/>
      <c r="GR117" s="9"/>
      <c r="GS117" s="9"/>
      <c r="GT117" s="9"/>
      <c r="GU117" s="9"/>
      <c r="GV117" s="9"/>
      <c r="GW117" s="9"/>
      <c r="GX117" s="9"/>
      <c r="GY117" s="10"/>
      <c r="GZ117" s="9"/>
      <c r="HA117" s="9"/>
    </row>
    <row r="118" spans="1:209" s="2" customFormat="1" ht="17" customHeight="1">
      <c r="A118" s="14" t="s">
        <v>117</v>
      </c>
      <c r="B118" s="35">
        <v>0</v>
      </c>
      <c r="C118" s="35">
        <v>0</v>
      </c>
      <c r="D118" s="4">
        <f t="shared" si="42"/>
        <v>0</v>
      </c>
      <c r="E118" s="11">
        <v>0</v>
      </c>
      <c r="F118" s="5" t="s">
        <v>362</v>
      </c>
      <c r="G118" s="5" t="s">
        <v>362</v>
      </c>
      <c r="H118" s="5" t="s">
        <v>362</v>
      </c>
      <c r="I118" s="5" t="s">
        <v>362</v>
      </c>
      <c r="J118" s="5" t="s">
        <v>362</v>
      </c>
      <c r="K118" s="5" t="s">
        <v>362</v>
      </c>
      <c r="L118" s="5" t="s">
        <v>362</v>
      </c>
      <c r="M118" s="5" t="s">
        <v>362</v>
      </c>
      <c r="N118" s="35">
        <v>2261.1999999999998</v>
      </c>
      <c r="O118" s="35">
        <v>0</v>
      </c>
      <c r="P118" s="4">
        <f t="shared" si="43"/>
        <v>0</v>
      </c>
      <c r="Q118" s="11">
        <v>20</v>
      </c>
      <c r="R118" s="35">
        <v>4.5</v>
      </c>
      <c r="S118" s="35">
        <v>4.9000000000000004</v>
      </c>
      <c r="T118" s="4">
        <f t="shared" si="44"/>
        <v>1.088888888888889</v>
      </c>
      <c r="U118" s="11">
        <v>30</v>
      </c>
      <c r="V118" s="35">
        <v>15</v>
      </c>
      <c r="W118" s="35">
        <v>16</v>
      </c>
      <c r="X118" s="4">
        <f t="shared" si="45"/>
        <v>1.0666666666666667</v>
      </c>
      <c r="Y118" s="11">
        <v>20</v>
      </c>
      <c r="Z118" s="35">
        <v>31854</v>
      </c>
      <c r="AA118" s="35">
        <v>18313</v>
      </c>
      <c r="AB118" s="4">
        <f t="shared" si="46"/>
        <v>0.57490425064356121</v>
      </c>
      <c r="AC118" s="11">
        <v>10</v>
      </c>
      <c r="AD118" s="11">
        <v>160</v>
      </c>
      <c r="AE118" s="11">
        <v>238</v>
      </c>
      <c r="AF118" s="4">
        <f t="shared" si="47"/>
        <v>1.22875</v>
      </c>
      <c r="AG118" s="11">
        <v>20</v>
      </c>
      <c r="AH118" s="5" t="s">
        <v>362</v>
      </c>
      <c r="AI118" s="5" t="s">
        <v>362</v>
      </c>
      <c r="AJ118" s="5" t="s">
        <v>362</v>
      </c>
      <c r="AK118" s="5" t="s">
        <v>362</v>
      </c>
      <c r="AL118" s="5" t="s">
        <v>362</v>
      </c>
      <c r="AM118" s="5" t="s">
        <v>362</v>
      </c>
      <c r="AN118" s="5" t="s">
        <v>362</v>
      </c>
      <c r="AO118" s="5" t="s">
        <v>362</v>
      </c>
      <c r="AP118" s="44">
        <f t="shared" si="56"/>
        <v>0.84324042506435615</v>
      </c>
      <c r="AQ118" s="45">
        <v>1475</v>
      </c>
      <c r="AR118" s="35">
        <f t="shared" si="48"/>
        <v>402.27272727272725</v>
      </c>
      <c r="AS118" s="35">
        <f t="shared" si="49"/>
        <v>339.2</v>
      </c>
      <c r="AT118" s="35">
        <f t="shared" si="50"/>
        <v>-63.072727272727263</v>
      </c>
      <c r="AU118" s="35">
        <v>134.5</v>
      </c>
      <c r="AV118" s="35">
        <v>102.7</v>
      </c>
      <c r="AW118" s="35">
        <f t="shared" si="51"/>
        <v>102</v>
      </c>
      <c r="AX118" s="35"/>
      <c r="AY118" s="35">
        <f t="shared" si="52"/>
        <v>102</v>
      </c>
      <c r="AZ118" s="35">
        <v>0</v>
      </c>
      <c r="BA118" s="35">
        <f t="shared" si="53"/>
        <v>102</v>
      </c>
      <c r="BB118" s="35">
        <f>MIN(BA118,67)</f>
        <v>67</v>
      </c>
      <c r="BC118" s="35">
        <f t="shared" si="54"/>
        <v>35</v>
      </c>
      <c r="BD118" s="35">
        <v>47</v>
      </c>
      <c r="BE118" s="35">
        <f t="shared" si="55"/>
        <v>-12</v>
      </c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9"/>
      <c r="BU118" s="9"/>
      <c r="BV118" s="9"/>
      <c r="BW118" s="9"/>
      <c r="BX118" s="9"/>
      <c r="BY118" s="9"/>
      <c r="BZ118" s="9"/>
      <c r="CA118" s="9"/>
      <c r="CB118" s="9"/>
      <c r="CC118" s="9"/>
      <c r="CD118" s="9"/>
      <c r="CE118" s="9"/>
      <c r="CF118" s="9"/>
      <c r="CG118" s="9"/>
      <c r="CH118" s="9"/>
      <c r="CI118" s="9"/>
      <c r="CJ118" s="9"/>
      <c r="CK118" s="9"/>
      <c r="CL118" s="9"/>
      <c r="CM118" s="9"/>
      <c r="CN118" s="9"/>
      <c r="CO118" s="9"/>
      <c r="CP118" s="9"/>
      <c r="CQ118" s="10"/>
      <c r="CR118" s="9"/>
      <c r="CS118" s="9"/>
      <c r="CT118" s="9"/>
      <c r="CU118" s="9"/>
      <c r="CV118" s="9"/>
      <c r="CW118" s="9"/>
      <c r="CX118" s="9"/>
      <c r="CY118" s="9"/>
      <c r="CZ118" s="9"/>
      <c r="DA118" s="9"/>
      <c r="DB118" s="9"/>
      <c r="DC118" s="9"/>
      <c r="DD118" s="9"/>
      <c r="DE118" s="9"/>
      <c r="DF118" s="9"/>
      <c r="DG118" s="9"/>
      <c r="DH118" s="9"/>
      <c r="DI118" s="9"/>
      <c r="DJ118" s="9"/>
      <c r="DK118" s="9"/>
      <c r="DL118" s="9"/>
      <c r="DM118" s="9"/>
      <c r="DN118" s="9"/>
      <c r="DO118" s="9"/>
      <c r="DP118" s="9"/>
      <c r="DQ118" s="9"/>
      <c r="DR118" s="9"/>
      <c r="DS118" s="10"/>
      <c r="DT118" s="9"/>
      <c r="DU118" s="9"/>
      <c r="DV118" s="9"/>
      <c r="DW118" s="9"/>
      <c r="DX118" s="9"/>
      <c r="DY118" s="9"/>
      <c r="DZ118" s="9"/>
      <c r="EA118" s="9"/>
      <c r="EB118" s="9"/>
      <c r="EC118" s="9"/>
      <c r="ED118" s="9"/>
      <c r="EE118" s="9"/>
      <c r="EF118" s="9"/>
      <c r="EG118" s="9"/>
      <c r="EH118" s="9"/>
      <c r="EI118" s="9"/>
      <c r="EJ118" s="9"/>
      <c r="EK118" s="9"/>
      <c r="EL118" s="9"/>
      <c r="EM118" s="9"/>
      <c r="EN118" s="9"/>
      <c r="EO118" s="9"/>
      <c r="EP118" s="9"/>
      <c r="EQ118" s="9"/>
      <c r="ER118" s="9"/>
      <c r="ES118" s="9"/>
      <c r="ET118" s="9"/>
      <c r="EU118" s="10"/>
      <c r="EV118" s="9"/>
      <c r="EW118" s="9"/>
      <c r="EX118" s="9"/>
      <c r="EY118" s="9"/>
      <c r="EZ118" s="9"/>
      <c r="FA118" s="9"/>
      <c r="FB118" s="9"/>
      <c r="FC118" s="9"/>
      <c r="FD118" s="9"/>
      <c r="FE118" s="9"/>
      <c r="FF118" s="9"/>
      <c r="FG118" s="9"/>
      <c r="FH118" s="9"/>
      <c r="FI118" s="9"/>
      <c r="FJ118" s="9"/>
      <c r="FK118" s="9"/>
      <c r="FL118" s="9"/>
      <c r="FM118" s="9"/>
      <c r="FN118" s="9"/>
      <c r="FO118" s="9"/>
      <c r="FP118" s="9"/>
      <c r="FQ118" s="9"/>
      <c r="FR118" s="9"/>
      <c r="FS118" s="9"/>
      <c r="FT118" s="9"/>
      <c r="FU118" s="9"/>
      <c r="FV118" s="9"/>
      <c r="FW118" s="10"/>
      <c r="FX118" s="9"/>
      <c r="FY118" s="9"/>
      <c r="FZ118" s="9"/>
      <c r="GA118" s="9"/>
      <c r="GB118" s="9"/>
      <c r="GC118" s="9"/>
      <c r="GD118" s="9"/>
      <c r="GE118" s="9"/>
      <c r="GF118" s="9"/>
      <c r="GG118" s="9"/>
      <c r="GH118" s="9"/>
      <c r="GI118" s="9"/>
      <c r="GJ118" s="9"/>
      <c r="GK118" s="9"/>
      <c r="GL118" s="9"/>
      <c r="GM118" s="9"/>
      <c r="GN118" s="9"/>
      <c r="GO118" s="9"/>
      <c r="GP118" s="9"/>
      <c r="GQ118" s="9"/>
      <c r="GR118" s="9"/>
      <c r="GS118" s="9"/>
      <c r="GT118" s="9"/>
      <c r="GU118" s="9"/>
      <c r="GV118" s="9"/>
      <c r="GW118" s="9"/>
      <c r="GX118" s="9"/>
      <c r="GY118" s="10"/>
      <c r="GZ118" s="9"/>
      <c r="HA118" s="9"/>
    </row>
    <row r="119" spans="1:209" s="2" customFormat="1" ht="17" customHeight="1">
      <c r="A119" s="14" t="s">
        <v>118</v>
      </c>
      <c r="B119" s="35">
        <v>4950</v>
      </c>
      <c r="C119" s="35">
        <v>957192</v>
      </c>
      <c r="D119" s="4">
        <f t="shared" si="42"/>
        <v>1.3</v>
      </c>
      <c r="E119" s="11">
        <v>10</v>
      </c>
      <c r="F119" s="5" t="s">
        <v>362</v>
      </c>
      <c r="G119" s="5" t="s">
        <v>362</v>
      </c>
      <c r="H119" s="5" t="s">
        <v>362</v>
      </c>
      <c r="I119" s="5" t="s">
        <v>362</v>
      </c>
      <c r="J119" s="5" t="s">
        <v>362</v>
      </c>
      <c r="K119" s="5" t="s">
        <v>362</v>
      </c>
      <c r="L119" s="5" t="s">
        <v>362</v>
      </c>
      <c r="M119" s="5" t="s">
        <v>362</v>
      </c>
      <c r="N119" s="35">
        <v>6967.4</v>
      </c>
      <c r="O119" s="35">
        <v>3772.5</v>
      </c>
      <c r="P119" s="4">
        <f t="shared" si="43"/>
        <v>0.54145018227746367</v>
      </c>
      <c r="Q119" s="11">
        <v>20</v>
      </c>
      <c r="R119" s="35">
        <v>110</v>
      </c>
      <c r="S119" s="35">
        <v>106.6</v>
      </c>
      <c r="T119" s="4">
        <f t="shared" si="44"/>
        <v>0.969090909090909</v>
      </c>
      <c r="U119" s="11">
        <v>5</v>
      </c>
      <c r="V119" s="35">
        <v>21</v>
      </c>
      <c r="W119" s="35">
        <v>14.7</v>
      </c>
      <c r="X119" s="4">
        <f t="shared" si="45"/>
        <v>0.7</v>
      </c>
      <c r="Y119" s="11">
        <v>45</v>
      </c>
      <c r="Z119" s="35">
        <v>13811</v>
      </c>
      <c r="AA119" s="35">
        <v>9157</v>
      </c>
      <c r="AB119" s="4">
        <f t="shared" si="46"/>
        <v>0.66302222865831584</v>
      </c>
      <c r="AC119" s="11">
        <v>10</v>
      </c>
      <c r="AD119" s="11">
        <v>310</v>
      </c>
      <c r="AE119" s="11">
        <v>313</v>
      </c>
      <c r="AF119" s="4">
        <f t="shared" si="47"/>
        <v>1.0096774193548388</v>
      </c>
      <c r="AG119" s="11">
        <v>20</v>
      </c>
      <c r="AH119" s="5" t="s">
        <v>362</v>
      </c>
      <c r="AI119" s="5" t="s">
        <v>362</v>
      </c>
      <c r="AJ119" s="5" t="s">
        <v>362</v>
      </c>
      <c r="AK119" s="5" t="s">
        <v>362</v>
      </c>
      <c r="AL119" s="5" t="s">
        <v>362</v>
      </c>
      <c r="AM119" s="5" t="s">
        <v>362</v>
      </c>
      <c r="AN119" s="5" t="s">
        <v>362</v>
      </c>
      <c r="AO119" s="5" t="s">
        <v>362</v>
      </c>
      <c r="AP119" s="44">
        <f t="shared" si="56"/>
        <v>0.79089298967894306</v>
      </c>
      <c r="AQ119" s="45">
        <v>2422</v>
      </c>
      <c r="AR119" s="35">
        <f t="shared" si="48"/>
        <v>660.5454545454545</v>
      </c>
      <c r="AS119" s="35">
        <f t="shared" si="49"/>
        <v>522.4</v>
      </c>
      <c r="AT119" s="35">
        <f t="shared" si="50"/>
        <v>-138.14545454545453</v>
      </c>
      <c r="AU119" s="35">
        <v>191.4</v>
      </c>
      <c r="AV119" s="35">
        <v>170.8</v>
      </c>
      <c r="AW119" s="35">
        <f t="shared" si="51"/>
        <v>160.19999999999999</v>
      </c>
      <c r="AX119" s="35"/>
      <c r="AY119" s="35">
        <f t="shared" si="52"/>
        <v>160.19999999999999</v>
      </c>
      <c r="AZ119" s="35">
        <v>0</v>
      </c>
      <c r="BA119" s="35">
        <f t="shared" si="53"/>
        <v>160.19999999999999</v>
      </c>
      <c r="BB119" s="35"/>
      <c r="BC119" s="35">
        <f t="shared" si="54"/>
        <v>160.19999999999999</v>
      </c>
      <c r="BD119" s="35">
        <v>168.7</v>
      </c>
      <c r="BE119" s="35">
        <f t="shared" si="55"/>
        <v>-8.5</v>
      </c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9"/>
      <c r="BU119" s="9"/>
      <c r="BV119" s="9"/>
      <c r="BW119" s="9"/>
      <c r="BX119" s="9"/>
      <c r="BY119" s="9"/>
      <c r="BZ119" s="9"/>
      <c r="CA119" s="9"/>
      <c r="CB119" s="9"/>
      <c r="CC119" s="9"/>
      <c r="CD119" s="9"/>
      <c r="CE119" s="9"/>
      <c r="CF119" s="9"/>
      <c r="CG119" s="9"/>
      <c r="CH119" s="9"/>
      <c r="CI119" s="9"/>
      <c r="CJ119" s="9"/>
      <c r="CK119" s="9"/>
      <c r="CL119" s="9"/>
      <c r="CM119" s="9"/>
      <c r="CN119" s="9"/>
      <c r="CO119" s="9"/>
      <c r="CP119" s="9"/>
      <c r="CQ119" s="10"/>
      <c r="CR119" s="9"/>
      <c r="CS119" s="9"/>
      <c r="CT119" s="9"/>
      <c r="CU119" s="9"/>
      <c r="CV119" s="9"/>
      <c r="CW119" s="9"/>
      <c r="CX119" s="9"/>
      <c r="CY119" s="9"/>
      <c r="CZ119" s="9"/>
      <c r="DA119" s="9"/>
      <c r="DB119" s="9"/>
      <c r="DC119" s="9"/>
      <c r="DD119" s="9"/>
      <c r="DE119" s="9"/>
      <c r="DF119" s="9"/>
      <c r="DG119" s="9"/>
      <c r="DH119" s="9"/>
      <c r="DI119" s="9"/>
      <c r="DJ119" s="9"/>
      <c r="DK119" s="9"/>
      <c r="DL119" s="9"/>
      <c r="DM119" s="9"/>
      <c r="DN119" s="9"/>
      <c r="DO119" s="9"/>
      <c r="DP119" s="9"/>
      <c r="DQ119" s="9"/>
      <c r="DR119" s="9"/>
      <c r="DS119" s="10"/>
      <c r="DT119" s="9"/>
      <c r="DU119" s="9"/>
      <c r="DV119" s="9"/>
      <c r="DW119" s="9"/>
      <c r="DX119" s="9"/>
      <c r="DY119" s="9"/>
      <c r="DZ119" s="9"/>
      <c r="EA119" s="9"/>
      <c r="EB119" s="9"/>
      <c r="EC119" s="9"/>
      <c r="ED119" s="9"/>
      <c r="EE119" s="9"/>
      <c r="EF119" s="9"/>
      <c r="EG119" s="9"/>
      <c r="EH119" s="9"/>
      <c r="EI119" s="9"/>
      <c r="EJ119" s="9"/>
      <c r="EK119" s="9"/>
      <c r="EL119" s="9"/>
      <c r="EM119" s="9"/>
      <c r="EN119" s="9"/>
      <c r="EO119" s="9"/>
      <c r="EP119" s="9"/>
      <c r="EQ119" s="9"/>
      <c r="ER119" s="9"/>
      <c r="ES119" s="9"/>
      <c r="ET119" s="9"/>
      <c r="EU119" s="10"/>
      <c r="EV119" s="9"/>
      <c r="EW119" s="9"/>
      <c r="EX119" s="9"/>
      <c r="EY119" s="9"/>
      <c r="EZ119" s="9"/>
      <c r="FA119" s="9"/>
      <c r="FB119" s="9"/>
      <c r="FC119" s="9"/>
      <c r="FD119" s="9"/>
      <c r="FE119" s="9"/>
      <c r="FF119" s="9"/>
      <c r="FG119" s="9"/>
      <c r="FH119" s="9"/>
      <c r="FI119" s="9"/>
      <c r="FJ119" s="9"/>
      <c r="FK119" s="9"/>
      <c r="FL119" s="9"/>
      <c r="FM119" s="9"/>
      <c r="FN119" s="9"/>
      <c r="FO119" s="9"/>
      <c r="FP119" s="9"/>
      <c r="FQ119" s="9"/>
      <c r="FR119" s="9"/>
      <c r="FS119" s="9"/>
      <c r="FT119" s="9"/>
      <c r="FU119" s="9"/>
      <c r="FV119" s="9"/>
      <c r="FW119" s="10"/>
      <c r="FX119" s="9"/>
      <c r="FY119" s="9"/>
      <c r="FZ119" s="9"/>
      <c r="GA119" s="9"/>
      <c r="GB119" s="9"/>
      <c r="GC119" s="9"/>
      <c r="GD119" s="9"/>
      <c r="GE119" s="9"/>
      <c r="GF119" s="9"/>
      <c r="GG119" s="9"/>
      <c r="GH119" s="9"/>
      <c r="GI119" s="9"/>
      <c r="GJ119" s="9"/>
      <c r="GK119" s="9"/>
      <c r="GL119" s="9"/>
      <c r="GM119" s="9"/>
      <c r="GN119" s="9"/>
      <c r="GO119" s="9"/>
      <c r="GP119" s="9"/>
      <c r="GQ119" s="9"/>
      <c r="GR119" s="9"/>
      <c r="GS119" s="9"/>
      <c r="GT119" s="9"/>
      <c r="GU119" s="9"/>
      <c r="GV119" s="9"/>
      <c r="GW119" s="9"/>
      <c r="GX119" s="9"/>
      <c r="GY119" s="10"/>
      <c r="GZ119" s="9"/>
      <c r="HA119" s="9"/>
    </row>
    <row r="120" spans="1:209" s="2" customFormat="1" ht="17" customHeight="1">
      <c r="A120" s="18" t="s">
        <v>119</v>
      </c>
      <c r="B120" s="6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35"/>
      <c r="AA120" s="35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1"/>
      <c r="AY120" s="11"/>
      <c r="AZ120" s="11"/>
      <c r="BA120" s="11"/>
      <c r="BB120" s="11"/>
      <c r="BC120" s="35"/>
      <c r="BD120" s="35"/>
      <c r="BE120" s="35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9"/>
      <c r="BU120" s="9"/>
      <c r="BV120" s="9"/>
      <c r="BW120" s="9"/>
      <c r="BX120" s="9"/>
      <c r="BY120" s="9"/>
      <c r="BZ120" s="9"/>
      <c r="CA120" s="9"/>
      <c r="CB120" s="9"/>
      <c r="CC120" s="9"/>
      <c r="CD120" s="9"/>
      <c r="CE120" s="9"/>
      <c r="CF120" s="9"/>
      <c r="CG120" s="9"/>
      <c r="CH120" s="9"/>
      <c r="CI120" s="9"/>
      <c r="CJ120" s="9"/>
      <c r="CK120" s="9"/>
      <c r="CL120" s="9"/>
      <c r="CM120" s="9"/>
      <c r="CN120" s="9"/>
      <c r="CO120" s="9"/>
      <c r="CP120" s="9"/>
      <c r="CQ120" s="10"/>
      <c r="CR120" s="9"/>
      <c r="CS120" s="9"/>
      <c r="CT120" s="9"/>
      <c r="CU120" s="9"/>
      <c r="CV120" s="9"/>
      <c r="CW120" s="9"/>
      <c r="CX120" s="9"/>
      <c r="CY120" s="9"/>
      <c r="CZ120" s="9"/>
      <c r="DA120" s="9"/>
      <c r="DB120" s="9"/>
      <c r="DC120" s="9"/>
      <c r="DD120" s="9"/>
      <c r="DE120" s="9"/>
      <c r="DF120" s="9"/>
      <c r="DG120" s="9"/>
      <c r="DH120" s="9"/>
      <c r="DI120" s="9"/>
      <c r="DJ120" s="9"/>
      <c r="DK120" s="9"/>
      <c r="DL120" s="9"/>
      <c r="DM120" s="9"/>
      <c r="DN120" s="9"/>
      <c r="DO120" s="9"/>
      <c r="DP120" s="9"/>
      <c r="DQ120" s="9"/>
      <c r="DR120" s="9"/>
      <c r="DS120" s="10"/>
      <c r="DT120" s="9"/>
      <c r="DU120" s="9"/>
      <c r="DV120" s="9"/>
      <c r="DW120" s="9"/>
      <c r="DX120" s="9"/>
      <c r="DY120" s="9"/>
      <c r="DZ120" s="9"/>
      <c r="EA120" s="9"/>
      <c r="EB120" s="9"/>
      <c r="EC120" s="9"/>
      <c r="ED120" s="9"/>
      <c r="EE120" s="9"/>
      <c r="EF120" s="9"/>
      <c r="EG120" s="9"/>
      <c r="EH120" s="9"/>
      <c r="EI120" s="9"/>
      <c r="EJ120" s="9"/>
      <c r="EK120" s="9"/>
      <c r="EL120" s="9"/>
      <c r="EM120" s="9"/>
      <c r="EN120" s="9"/>
      <c r="EO120" s="9"/>
      <c r="EP120" s="9"/>
      <c r="EQ120" s="9"/>
      <c r="ER120" s="9"/>
      <c r="ES120" s="9"/>
      <c r="ET120" s="9"/>
      <c r="EU120" s="10"/>
      <c r="EV120" s="9"/>
      <c r="EW120" s="9"/>
      <c r="EX120" s="9"/>
      <c r="EY120" s="9"/>
      <c r="EZ120" s="9"/>
      <c r="FA120" s="9"/>
      <c r="FB120" s="9"/>
      <c r="FC120" s="9"/>
      <c r="FD120" s="9"/>
      <c r="FE120" s="9"/>
      <c r="FF120" s="9"/>
      <c r="FG120" s="9"/>
      <c r="FH120" s="9"/>
      <c r="FI120" s="9"/>
      <c r="FJ120" s="9"/>
      <c r="FK120" s="9"/>
      <c r="FL120" s="9"/>
      <c r="FM120" s="9"/>
      <c r="FN120" s="9"/>
      <c r="FO120" s="9"/>
      <c r="FP120" s="9"/>
      <c r="FQ120" s="9"/>
      <c r="FR120" s="9"/>
      <c r="FS120" s="9"/>
      <c r="FT120" s="9"/>
      <c r="FU120" s="9"/>
      <c r="FV120" s="9"/>
      <c r="FW120" s="10"/>
      <c r="FX120" s="9"/>
      <c r="FY120" s="9"/>
      <c r="FZ120" s="9"/>
      <c r="GA120" s="9"/>
      <c r="GB120" s="9"/>
      <c r="GC120" s="9"/>
      <c r="GD120" s="9"/>
      <c r="GE120" s="9"/>
      <c r="GF120" s="9"/>
      <c r="GG120" s="9"/>
      <c r="GH120" s="9"/>
      <c r="GI120" s="9"/>
      <c r="GJ120" s="9"/>
      <c r="GK120" s="9"/>
      <c r="GL120" s="9"/>
      <c r="GM120" s="9"/>
      <c r="GN120" s="9"/>
      <c r="GO120" s="9"/>
      <c r="GP120" s="9"/>
      <c r="GQ120" s="9"/>
      <c r="GR120" s="9"/>
      <c r="GS120" s="9"/>
      <c r="GT120" s="9"/>
      <c r="GU120" s="9"/>
      <c r="GV120" s="9"/>
      <c r="GW120" s="9"/>
      <c r="GX120" s="9"/>
      <c r="GY120" s="10"/>
      <c r="GZ120" s="9"/>
      <c r="HA120" s="9"/>
    </row>
    <row r="121" spans="1:209" s="2" customFormat="1" ht="17" customHeight="1">
      <c r="A121" s="14" t="s">
        <v>120</v>
      </c>
      <c r="B121" s="35">
        <v>1077</v>
      </c>
      <c r="C121" s="35">
        <v>1051.0999999999999</v>
      </c>
      <c r="D121" s="4">
        <f t="shared" si="42"/>
        <v>0.97595171773444744</v>
      </c>
      <c r="E121" s="11">
        <v>10</v>
      </c>
      <c r="F121" s="5" t="s">
        <v>362</v>
      </c>
      <c r="G121" s="5" t="s">
        <v>362</v>
      </c>
      <c r="H121" s="5" t="s">
        <v>362</v>
      </c>
      <c r="I121" s="5" t="s">
        <v>362</v>
      </c>
      <c r="J121" s="5" t="s">
        <v>362</v>
      </c>
      <c r="K121" s="5" t="s">
        <v>362</v>
      </c>
      <c r="L121" s="5" t="s">
        <v>362</v>
      </c>
      <c r="M121" s="5" t="s">
        <v>362</v>
      </c>
      <c r="N121" s="35">
        <v>107.6</v>
      </c>
      <c r="O121" s="35">
        <v>269.2</v>
      </c>
      <c r="P121" s="4">
        <f t="shared" si="43"/>
        <v>1.3</v>
      </c>
      <c r="Q121" s="11">
        <v>20</v>
      </c>
      <c r="R121" s="35">
        <v>7</v>
      </c>
      <c r="S121" s="35">
        <v>9.1999999999999993</v>
      </c>
      <c r="T121" s="4">
        <f t="shared" si="44"/>
        <v>1.2114285714285713</v>
      </c>
      <c r="U121" s="11">
        <v>25</v>
      </c>
      <c r="V121" s="35">
        <v>5</v>
      </c>
      <c r="W121" s="35">
        <v>5.7</v>
      </c>
      <c r="X121" s="4">
        <f t="shared" si="45"/>
        <v>1.1400000000000001</v>
      </c>
      <c r="Y121" s="11">
        <v>25</v>
      </c>
      <c r="Z121" s="35">
        <v>4031</v>
      </c>
      <c r="AA121" s="35">
        <v>3466</v>
      </c>
      <c r="AB121" s="4">
        <f t="shared" si="46"/>
        <v>0.85983626891590181</v>
      </c>
      <c r="AC121" s="11">
        <v>5</v>
      </c>
      <c r="AD121" s="11">
        <v>280</v>
      </c>
      <c r="AE121" s="11">
        <v>112</v>
      </c>
      <c r="AF121" s="4">
        <f t="shared" si="47"/>
        <v>0.4</v>
      </c>
      <c r="AG121" s="11">
        <v>20</v>
      </c>
      <c r="AH121" s="5" t="s">
        <v>362</v>
      </c>
      <c r="AI121" s="5" t="s">
        <v>362</v>
      </c>
      <c r="AJ121" s="5" t="s">
        <v>362</v>
      </c>
      <c r="AK121" s="5" t="s">
        <v>362</v>
      </c>
      <c r="AL121" s="5" t="s">
        <v>362</v>
      </c>
      <c r="AM121" s="5" t="s">
        <v>362</v>
      </c>
      <c r="AN121" s="5" t="s">
        <v>362</v>
      </c>
      <c r="AO121" s="5" t="s">
        <v>362</v>
      </c>
      <c r="AP121" s="44">
        <f t="shared" si="56"/>
        <v>1.0175658362632216</v>
      </c>
      <c r="AQ121" s="45">
        <v>699</v>
      </c>
      <c r="AR121" s="35">
        <f t="shared" si="48"/>
        <v>190.63636363636363</v>
      </c>
      <c r="AS121" s="35">
        <f t="shared" si="49"/>
        <v>194</v>
      </c>
      <c r="AT121" s="35">
        <f t="shared" si="50"/>
        <v>3.363636363636374</v>
      </c>
      <c r="AU121" s="35">
        <v>52.1</v>
      </c>
      <c r="AV121" s="35">
        <v>57.7</v>
      </c>
      <c r="AW121" s="35">
        <f t="shared" si="51"/>
        <v>84.2</v>
      </c>
      <c r="AX121" s="35"/>
      <c r="AY121" s="35">
        <f t="shared" si="52"/>
        <v>84.2</v>
      </c>
      <c r="AZ121" s="35">
        <v>0</v>
      </c>
      <c r="BA121" s="35">
        <f t="shared" si="53"/>
        <v>84.2</v>
      </c>
      <c r="BB121" s="35"/>
      <c r="BC121" s="35">
        <f t="shared" si="54"/>
        <v>84.2</v>
      </c>
      <c r="BD121" s="35">
        <v>85.7</v>
      </c>
      <c r="BE121" s="35">
        <f t="shared" si="55"/>
        <v>-1.5</v>
      </c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9"/>
      <c r="BU121" s="9"/>
      <c r="BV121" s="9"/>
      <c r="BW121" s="9"/>
      <c r="BX121" s="9"/>
      <c r="BY121" s="9"/>
      <c r="BZ121" s="9"/>
      <c r="CA121" s="9"/>
      <c r="CB121" s="9"/>
      <c r="CC121" s="9"/>
      <c r="CD121" s="9"/>
      <c r="CE121" s="9"/>
      <c r="CF121" s="9"/>
      <c r="CG121" s="9"/>
      <c r="CH121" s="9"/>
      <c r="CI121" s="9"/>
      <c r="CJ121" s="9"/>
      <c r="CK121" s="9"/>
      <c r="CL121" s="9"/>
      <c r="CM121" s="9"/>
      <c r="CN121" s="9"/>
      <c r="CO121" s="9"/>
      <c r="CP121" s="9"/>
      <c r="CQ121" s="10"/>
      <c r="CR121" s="9"/>
      <c r="CS121" s="9"/>
      <c r="CT121" s="9"/>
      <c r="CU121" s="9"/>
      <c r="CV121" s="9"/>
      <c r="CW121" s="9"/>
      <c r="CX121" s="9"/>
      <c r="CY121" s="9"/>
      <c r="CZ121" s="9"/>
      <c r="DA121" s="9"/>
      <c r="DB121" s="9"/>
      <c r="DC121" s="9"/>
      <c r="DD121" s="9"/>
      <c r="DE121" s="9"/>
      <c r="DF121" s="9"/>
      <c r="DG121" s="9"/>
      <c r="DH121" s="9"/>
      <c r="DI121" s="9"/>
      <c r="DJ121" s="9"/>
      <c r="DK121" s="9"/>
      <c r="DL121" s="9"/>
      <c r="DM121" s="9"/>
      <c r="DN121" s="9"/>
      <c r="DO121" s="9"/>
      <c r="DP121" s="9"/>
      <c r="DQ121" s="9"/>
      <c r="DR121" s="9"/>
      <c r="DS121" s="10"/>
      <c r="DT121" s="9"/>
      <c r="DU121" s="9"/>
      <c r="DV121" s="9"/>
      <c r="DW121" s="9"/>
      <c r="DX121" s="9"/>
      <c r="DY121" s="9"/>
      <c r="DZ121" s="9"/>
      <c r="EA121" s="9"/>
      <c r="EB121" s="9"/>
      <c r="EC121" s="9"/>
      <c r="ED121" s="9"/>
      <c r="EE121" s="9"/>
      <c r="EF121" s="9"/>
      <c r="EG121" s="9"/>
      <c r="EH121" s="9"/>
      <c r="EI121" s="9"/>
      <c r="EJ121" s="9"/>
      <c r="EK121" s="9"/>
      <c r="EL121" s="9"/>
      <c r="EM121" s="9"/>
      <c r="EN121" s="9"/>
      <c r="EO121" s="9"/>
      <c r="EP121" s="9"/>
      <c r="EQ121" s="9"/>
      <c r="ER121" s="9"/>
      <c r="ES121" s="9"/>
      <c r="ET121" s="9"/>
      <c r="EU121" s="10"/>
      <c r="EV121" s="9"/>
      <c r="EW121" s="9"/>
      <c r="EX121" s="9"/>
      <c r="EY121" s="9"/>
      <c r="EZ121" s="9"/>
      <c r="FA121" s="9"/>
      <c r="FB121" s="9"/>
      <c r="FC121" s="9"/>
      <c r="FD121" s="9"/>
      <c r="FE121" s="9"/>
      <c r="FF121" s="9"/>
      <c r="FG121" s="9"/>
      <c r="FH121" s="9"/>
      <c r="FI121" s="9"/>
      <c r="FJ121" s="9"/>
      <c r="FK121" s="9"/>
      <c r="FL121" s="9"/>
      <c r="FM121" s="9"/>
      <c r="FN121" s="9"/>
      <c r="FO121" s="9"/>
      <c r="FP121" s="9"/>
      <c r="FQ121" s="9"/>
      <c r="FR121" s="9"/>
      <c r="FS121" s="9"/>
      <c r="FT121" s="9"/>
      <c r="FU121" s="9"/>
      <c r="FV121" s="9"/>
      <c r="FW121" s="10"/>
      <c r="FX121" s="9"/>
      <c r="FY121" s="9"/>
      <c r="FZ121" s="9"/>
      <c r="GA121" s="9"/>
      <c r="GB121" s="9"/>
      <c r="GC121" s="9"/>
      <c r="GD121" s="9"/>
      <c r="GE121" s="9"/>
      <c r="GF121" s="9"/>
      <c r="GG121" s="9"/>
      <c r="GH121" s="9"/>
      <c r="GI121" s="9"/>
      <c r="GJ121" s="9"/>
      <c r="GK121" s="9"/>
      <c r="GL121" s="9"/>
      <c r="GM121" s="9"/>
      <c r="GN121" s="9"/>
      <c r="GO121" s="9"/>
      <c r="GP121" s="9"/>
      <c r="GQ121" s="9"/>
      <c r="GR121" s="9"/>
      <c r="GS121" s="9"/>
      <c r="GT121" s="9"/>
      <c r="GU121" s="9"/>
      <c r="GV121" s="9"/>
      <c r="GW121" s="9"/>
      <c r="GX121" s="9"/>
      <c r="GY121" s="10"/>
      <c r="GZ121" s="9"/>
      <c r="HA121" s="9"/>
    </row>
    <row r="122" spans="1:209" s="2" customFormat="1" ht="17" customHeight="1">
      <c r="A122" s="14" t="s">
        <v>121</v>
      </c>
      <c r="B122" s="35">
        <v>38694</v>
      </c>
      <c r="C122" s="35">
        <v>45238</v>
      </c>
      <c r="D122" s="4">
        <f t="shared" si="42"/>
        <v>1.1691218276735411</v>
      </c>
      <c r="E122" s="11">
        <v>10</v>
      </c>
      <c r="F122" s="5" t="s">
        <v>362</v>
      </c>
      <c r="G122" s="5" t="s">
        <v>362</v>
      </c>
      <c r="H122" s="5" t="s">
        <v>362</v>
      </c>
      <c r="I122" s="5" t="s">
        <v>362</v>
      </c>
      <c r="J122" s="5" t="s">
        <v>362</v>
      </c>
      <c r="K122" s="5" t="s">
        <v>362</v>
      </c>
      <c r="L122" s="5" t="s">
        <v>362</v>
      </c>
      <c r="M122" s="5" t="s">
        <v>362</v>
      </c>
      <c r="N122" s="35">
        <v>2086.4</v>
      </c>
      <c r="O122" s="35">
        <v>1392.7</v>
      </c>
      <c r="P122" s="4">
        <f t="shared" si="43"/>
        <v>0.66751342024539873</v>
      </c>
      <c r="Q122" s="11">
        <v>20</v>
      </c>
      <c r="R122" s="35">
        <v>6</v>
      </c>
      <c r="S122" s="35">
        <v>6.7</v>
      </c>
      <c r="T122" s="4">
        <f t="shared" si="44"/>
        <v>1.1166666666666667</v>
      </c>
      <c r="U122" s="11">
        <v>30</v>
      </c>
      <c r="V122" s="35">
        <v>7</v>
      </c>
      <c r="W122" s="35">
        <v>6.9</v>
      </c>
      <c r="X122" s="4">
        <f t="shared" si="45"/>
        <v>0.98571428571428577</v>
      </c>
      <c r="Y122" s="11">
        <v>20</v>
      </c>
      <c r="Z122" s="35">
        <v>54105</v>
      </c>
      <c r="AA122" s="35">
        <v>46895</v>
      </c>
      <c r="AB122" s="4">
        <f t="shared" si="46"/>
        <v>0.86674059698733941</v>
      </c>
      <c r="AC122" s="11">
        <v>5</v>
      </c>
      <c r="AD122" s="11">
        <v>136</v>
      </c>
      <c r="AE122" s="11">
        <v>142</v>
      </c>
      <c r="AF122" s="4">
        <f t="shared" si="47"/>
        <v>1.0441176470588236</v>
      </c>
      <c r="AG122" s="11">
        <v>20</v>
      </c>
      <c r="AH122" s="5" t="s">
        <v>362</v>
      </c>
      <c r="AI122" s="5" t="s">
        <v>362</v>
      </c>
      <c r="AJ122" s="5" t="s">
        <v>362</v>
      </c>
      <c r="AK122" s="5" t="s">
        <v>362</v>
      </c>
      <c r="AL122" s="5" t="s">
        <v>362</v>
      </c>
      <c r="AM122" s="5" t="s">
        <v>362</v>
      </c>
      <c r="AN122" s="5" t="s">
        <v>362</v>
      </c>
      <c r="AO122" s="5" t="s">
        <v>362</v>
      </c>
      <c r="AP122" s="44">
        <f t="shared" si="56"/>
        <v>0.98544598401945005</v>
      </c>
      <c r="AQ122" s="45">
        <v>761</v>
      </c>
      <c r="AR122" s="35">
        <f t="shared" si="48"/>
        <v>207.54545454545456</v>
      </c>
      <c r="AS122" s="35">
        <f t="shared" si="49"/>
        <v>204.5</v>
      </c>
      <c r="AT122" s="35">
        <f t="shared" si="50"/>
        <v>-3.045454545454561</v>
      </c>
      <c r="AU122" s="35">
        <v>63.8</v>
      </c>
      <c r="AV122" s="35">
        <v>71.5</v>
      </c>
      <c r="AW122" s="35">
        <f t="shared" si="51"/>
        <v>69.2</v>
      </c>
      <c r="AX122" s="35"/>
      <c r="AY122" s="35">
        <f t="shared" si="52"/>
        <v>69.2</v>
      </c>
      <c r="AZ122" s="35">
        <v>0</v>
      </c>
      <c r="BA122" s="35">
        <f t="shared" si="53"/>
        <v>69.2</v>
      </c>
      <c r="BB122" s="35"/>
      <c r="BC122" s="35">
        <f t="shared" si="54"/>
        <v>69.2</v>
      </c>
      <c r="BD122" s="35">
        <v>70.5</v>
      </c>
      <c r="BE122" s="35">
        <f t="shared" si="55"/>
        <v>-1.3</v>
      </c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9"/>
      <c r="BU122" s="9"/>
      <c r="BV122" s="9"/>
      <c r="BW122" s="9"/>
      <c r="BX122" s="9"/>
      <c r="BY122" s="9"/>
      <c r="BZ122" s="9"/>
      <c r="CA122" s="9"/>
      <c r="CB122" s="9"/>
      <c r="CC122" s="9"/>
      <c r="CD122" s="9"/>
      <c r="CE122" s="9"/>
      <c r="CF122" s="9"/>
      <c r="CG122" s="9"/>
      <c r="CH122" s="9"/>
      <c r="CI122" s="9"/>
      <c r="CJ122" s="9"/>
      <c r="CK122" s="9"/>
      <c r="CL122" s="9"/>
      <c r="CM122" s="9"/>
      <c r="CN122" s="9"/>
      <c r="CO122" s="9"/>
      <c r="CP122" s="9"/>
      <c r="CQ122" s="10"/>
      <c r="CR122" s="9"/>
      <c r="CS122" s="9"/>
      <c r="CT122" s="9"/>
      <c r="CU122" s="9"/>
      <c r="CV122" s="9"/>
      <c r="CW122" s="9"/>
      <c r="CX122" s="9"/>
      <c r="CY122" s="9"/>
      <c r="CZ122" s="9"/>
      <c r="DA122" s="9"/>
      <c r="DB122" s="9"/>
      <c r="DC122" s="9"/>
      <c r="DD122" s="9"/>
      <c r="DE122" s="9"/>
      <c r="DF122" s="9"/>
      <c r="DG122" s="9"/>
      <c r="DH122" s="9"/>
      <c r="DI122" s="9"/>
      <c r="DJ122" s="9"/>
      <c r="DK122" s="9"/>
      <c r="DL122" s="9"/>
      <c r="DM122" s="9"/>
      <c r="DN122" s="9"/>
      <c r="DO122" s="9"/>
      <c r="DP122" s="9"/>
      <c r="DQ122" s="9"/>
      <c r="DR122" s="9"/>
      <c r="DS122" s="10"/>
      <c r="DT122" s="9"/>
      <c r="DU122" s="9"/>
      <c r="DV122" s="9"/>
      <c r="DW122" s="9"/>
      <c r="DX122" s="9"/>
      <c r="DY122" s="9"/>
      <c r="DZ122" s="9"/>
      <c r="EA122" s="9"/>
      <c r="EB122" s="9"/>
      <c r="EC122" s="9"/>
      <c r="ED122" s="9"/>
      <c r="EE122" s="9"/>
      <c r="EF122" s="9"/>
      <c r="EG122" s="9"/>
      <c r="EH122" s="9"/>
      <c r="EI122" s="9"/>
      <c r="EJ122" s="9"/>
      <c r="EK122" s="9"/>
      <c r="EL122" s="9"/>
      <c r="EM122" s="9"/>
      <c r="EN122" s="9"/>
      <c r="EO122" s="9"/>
      <c r="EP122" s="9"/>
      <c r="EQ122" s="9"/>
      <c r="ER122" s="9"/>
      <c r="ES122" s="9"/>
      <c r="ET122" s="9"/>
      <c r="EU122" s="10"/>
      <c r="EV122" s="9"/>
      <c r="EW122" s="9"/>
      <c r="EX122" s="9"/>
      <c r="EY122" s="9"/>
      <c r="EZ122" s="9"/>
      <c r="FA122" s="9"/>
      <c r="FB122" s="9"/>
      <c r="FC122" s="9"/>
      <c r="FD122" s="9"/>
      <c r="FE122" s="9"/>
      <c r="FF122" s="9"/>
      <c r="FG122" s="9"/>
      <c r="FH122" s="9"/>
      <c r="FI122" s="9"/>
      <c r="FJ122" s="9"/>
      <c r="FK122" s="9"/>
      <c r="FL122" s="9"/>
      <c r="FM122" s="9"/>
      <c r="FN122" s="9"/>
      <c r="FO122" s="9"/>
      <c r="FP122" s="9"/>
      <c r="FQ122" s="9"/>
      <c r="FR122" s="9"/>
      <c r="FS122" s="9"/>
      <c r="FT122" s="9"/>
      <c r="FU122" s="9"/>
      <c r="FV122" s="9"/>
      <c r="FW122" s="10"/>
      <c r="FX122" s="9"/>
      <c r="FY122" s="9"/>
      <c r="FZ122" s="9"/>
      <c r="GA122" s="9"/>
      <c r="GB122" s="9"/>
      <c r="GC122" s="9"/>
      <c r="GD122" s="9"/>
      <c r="GE122" s="9"/>
      <c r="GF122" s="9"/>
      <c r="GG122" s="9"/>
      <c r="GH122" s="9"/>
      <c r="GI122" s="9"/>
      <c r="GJ122" s="9"/>
      <c r="GK122" s="9"/>
      <c r="GL122" s="9"/>
      <c r="GM122" s="9"/>
      <c r="GN122" s="9"/>
      <c r="GO122" s="9"/>
      <c r="GP122" s="9"/>
      <c r="GQ122" s="9"/>
      <c r="GR122" s="9"/>
      <c r="GS122" s="9"/>
      <c r="GT122" s="9"/>
      <c r="GU122" s="9"/>
      <c r="GV122" s="9"/>
      <c r="GW122" s="9"/>
      <c r="GX122" s="9"/>
      <c r="GY122" s="10"/>
      <c r="GZ122" s="9"/>
      <c r="HA122" s="9"/>
    </row>
    <row r="123" spans="1:209" s="2" customFormat="1" ht="17" customHeight="1">
      <c r="A123" s="14" t="s">
        <v>122</v>
      </c>
      <c r="B123" s="35">
        <v>147</v>
      </c>
      <c r="C123" s="35">
        <v>91</v>
      </c>
      <c r="D123" s="4">
        <f t="shared" si="42"/>
        <v>0.61904761904761907</v>
      </c>
      <c r="E123" s="11">
        <v>10</v>
      </c>
      <c r="F123" s="5" t="s">
        <v>362</v>
      </c>
      <c r="G123" s="5" t="s">
        <v>362</v>
      </c>
      <c r="H123" s="5" t="s">
        <v>362</v>
      </c>
      <c r="I123" s="5" t="s">
        <v>362</v>
      </c>
      <c r="J123" s="5" t="s">
        <v>362</v>
      </c>
      <c r="K123" s="5" t="s">
        <v>362</v>
      </c>
      <c r="L123" s="5" t="s">
        <v>362</v>
      </c>
      <c r="M123" s="5" t="s">
        <v>362</v>
      </c>
      <c r="N123" s="35">
        <v>217.6</v>
      </c>
      <c r="O123" s="35">
        <v>160.69999999999999</v>
      </c>
      <c r="P123" s="4">
        <f t="shared" si="43"/>
        <v>0.73851102941176472</v>
      </c>
      <c r="Q123" s="11">
        <v>20</v>
      </c>
      <c r="R123" s="35">
        <v>36</v>
      </c>
      <c r="S123" s="35">
        <v>48.9</v>
      </c>
      <c r="T123" s="4">
        <f t="shared" si="44"/>
        <v>1.2158333333333333</v>
      </c>
      <c r="U123" s="11">
        <v>15</v>
      </c>
      <c r="V123" s="35">
        <v>6</v>
      </c>
      <c r="W123" s="35">
        <v>6.8</v>
      </c>
      <c r="X123" s="4">
        <f t="shared" si="45"/>
        <v>1.1333333333333333</v>
      </c>
      <c r="Y123" s="11">
        <v>35</v>
      </c>
      <c r="Z123" s="35">
        <v>5375</v>
      </c>
      <c r="AA123" s="35">
        <v>4851</v>
      </c>
      <c r="AB123" s="4">
        <f t="shared" si="46"/>
        <v>0.9025116279069767</v>
      </c>
      <c r="AC123" s="11">
        <v>5</v>
      </c>
      <c r="AD123" s="11">
        <v>98</v>
      </c>
      <c r="AE123" s="11">
        <v>100</v>
      </c>
      <c r="AF123" s="4">
        <f t="shared" si="47"/>
        <v>1.0204081632653061</v>
      </c>
      <c r="AG123" s="11">
        <v>20</v>
      </c>
      <c r="AH123" s="5" t="s">
        <v>362</v>
      </c>
      <c r="AI123" s="5" t="s">
        <v>362</v>
      </c>
      <c r="AJ123" s="5" t="s">
        <v>362</v>
      </c>
      <c r="AK123" s="5" t="s">
        <v>362</v>
      </c>
      <c r="AL123" s="5" t="s">
        <v>362</v>
      </c>
      <c r="AM123" s="5" t="s">
        <v>362</v>
      </c>
      <c r="AN123" s="5" t="s">
        <v>362</v>
      </c>
      <c r="AO123" s="5" t="s">
        <v>362</v>
      </c>
      <c r="AP123" s="44">
        <f t="shared" si="56"/>
        <v>0.98843414143065855</v>
      </c>
      <c r="AQ123" s="45">
        <v>859</v>
      </c>
      <c r="AR123" s="35">
        <f t="shared" si="48"/>
        <v>234.27272727272728</v>
      </c>
      <c r="AS123" s="35">
        <f t="shared" si="49"/>
        <v>231.6</v>
      </c>
      <c r="AT123" s="35">
        <f t="shared" si="50"/>
        <v>-2.6727272727272862</v>
      </c>
      <c r="AU123" s="35">
        <v>62.6</v>
      </c>
      <c r="AV123" s="35">
        <v>81.2</v>
      </c>
      <c r="AW123" s="35">
        <f t="shared" si="51"/>
        <v>87.8</v>
      </c>
      <c r="AX123" s="35"/>
      <c r="AY123" s="35">
        <f t="shared" si="52"/>
        <v>87.8</v>
      </c>
      <c r="AZ123" s="35">
        <v>0</v>
      </c>
      <c r="BA123" s="35">
        <f t="shared" si="53"/>
        <v>87.8</v>
      </c>
      <c r="BB123" s="35"/>
      <c r="BC123" s="35">
        <f t="shared" si="54"/>
        <v>87.8</v>
      </c>
      <c r="BD123" s="35">
        <v>88.8</v>
      </c>
      <c r="BE123" s="35">
        <f t="shared" si="55"/>
        <v>-1</v>
      </c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9"/>
      <c r="BU123" s="9"/>
      <c r="BV123" s="9"/>
      <c r="BW123" s="9"/>
      <c r="BX123" s="9"/>
      <c r="BY123" s="9"/>
      <c r="BZ123" s="9"/>
      <c r="CA123" s="9"/>
      <c r="CB123" s="9"/>
      <c r="CC123" s="9"/>
      <c r="CD123" s="9"/>
      <c r="CE123" s="9"/>
      <c r="CF123" s="9"/>
      <c r="CG123" s="9"/>
      <c r="CH123" s="9"/>
      <c r="CI123" s="9"/>
      <c r="CJ123" s="9"/>
      <c r="CK123" s="9"/>
      <c r="CL123" s="9"/>
      <c r="CM123" s="9"/>
      <c r="CN123" s="9"/>
      <c r="CO123" s="9"/>
      <c r="CP123" s="9"/>
      <c r="CQ123" s="10"/>
      <c r="CR123" s="9"/>
      <c r="CS123" s="9"/>
      <c r="CT123" s="9"/>
      <c r="CU123" s="9"/>
      <c r="CV123" s="9"/>
      <c r="CW123" s="9"/>
      <c r="CX123" s="9"/>
      <c r="CY123" s="9"/>
      <c r="CZ123" s="9"/>
      <c r="DA123" s="9"/>
      <c r="DB123" s="9"/>
      <c r="DC123" s="9"/>
      <c r="DD123" s="9"/>
      <c r="DE123" s="9"/>
      <c r="DF123" s="9"/>
      <c r="DG123" s="9"/>
      <c r="DH123" s="9"/>
      <c r="DI123" s="9"/>
      <c r="DJ123" s="9"/>
      <c r="DK123" s="9"/>
      <c r="DL123" s="9"/>
      <c r="DM123" s="9"/>
      <c r="DN123" s="9"/>
      <c r="DO123" s="9"/>
      <c r="DP123" s="9"/>
      <c r="DQ123" s="9"/>
      <c r="DR123" s="9"/>
      <c r="DS123" s="10"/>
      <c r="DT123" s="9"/>
      <c r="DU123" s="9"/>
      <c r="DV123" s="9"/>
      <c r="DW123" s="9"/>
      <c r="DX123" s="9"/>
      <c r="DY123" s="9"/>
      <c r="DZ123" s="9"/>
      <c r="EA123" s="9"/>
      <c r="EB123" s="9"/>
      <c r="EC123" s="9"/>
      <c r="ED123" s="9"/>
      <c r="EE123" s="9"/>
      <c r="EF123" s="9"/>
      <c r="EG123" s="9"/>
      <c r="EH123" s="9"/>
      <c r="EI123" s="9"/>
      <c r="EJ123" s="9"/>
      <c r="EK123" s="9"/>
      <c r="EL123" s="9"/>
      <c r="EM123" s="9"/>
      <c r="EN123" s="9"/>
      <c r="EO123" s="9"/>
      <c r="EP123" s="9"/>
      <c r="EQ123" s="9"/>
      <c r="ER123" s="9"/>
      <c r="ES123" s="9"/>
      <c r="ET123" s="9"/>
      <c r="EU123" s="10"/>
      <c r="EV123" s="9"/>
      <c r="EW123" s="9"/>
      <c r="EX123" s="9"/>
      <c r="EY123" s="9"/>
      <c r="EZ123" s="9"/>
      <c r="FA123" s="9"/>
      <c r="FB123" s="9"/>
      <c r="FC123" s="9"/>
      <c r="FD123" s="9"/>
      <c r="FE123" s="9"/>
      <c r="FF123" s="9"/>
      <c r="FG123" s="9"/>
      <c r="FH123" s="9"/>
      <c r="FI123" s="9"/>
      <c r="FJ123" s="9"/>
      <c r="FK123" s="9"/>
      <c r="FL123" s="9"/>
      <c r="FM123" s="9"/>
      <c r="FN123" s="9"/>
      <c r="FO123" s="9"/>
      <c r="FP123" s="9"/>
      <c r="FQ123" s="9"/>
      <c r="FR123" s="9"/>
      <c r="FS123" s="9"/>
      <c r="FT123" s="9"/>
      <c r="FU123" s="9"/>
      <c r="FV123" s="9"/>
      <c r="FW123" s="10"/>
      <c r="FX123" s="9"/>
      <c r="FY123" s="9"/>
      <c r="FZ123" s="9"/>
      <c r="GA123" s="9"/>
      <c r="GB123" s="9"/>
      <c r="GC123" s="9"/>
      <c r="GD123" s="9"/>
      <c r="GE123" s="9"/>
      <c r="GF123" s="9"/>
      <c r="GG123" s="9"/>
      <c r="GH123" s="9"/>
      <c r="GI123" s="9"/>
      <c r="GJ123" s="9"/>
      <c r="GK123" s="9"/>
      <c r="GL123" s="9"/>
      <c r="GM123" s="9"/>
      <c r="GN123" s="9"/>
      <c r="GO123" s="9"/>
      <c r="GP123" s="9"/>
      <c r="GQ123" s="9"/>
      <c r="GR123" s="9"/>
      <c r="GS123" s="9"/>
      <c r="GT123" s="9"/>
      <c r="GU123" s="9"/>
      <c r="GV123" s="9"/>
      <c r="GW123" s="9"/>
      <c r="GX123" s="9"/>
      <c r="GY123" s="10"/>
      <c r="GZ123" s="9"/>
      <c r="HA123" s="9"/>
    </row>
    <row r="124" spans="1:209" s="2" customFormat="1" ht="17" customHeight="1">
      <c r="A124" s="14" t="s">
        <v>123</v>
      </c>
      <c r="B124" s="35">
        <v>1013</v>
      </c>
      <c r="C124" s="35">
        <v>969.6</v>
      </c>
      <c r="D124" s="4">
        <f t="shared" si="42"/>
        <v>0.95715695952615998</v>
      </c>
      <c r="E124" s="11">
        <v>10</v>
      </c>
      <c r="F124" s="5" t="s">
        <v>362</v>
      </c>
      <c r="G124" s="5" t="s">
        <v>362</v>
      </c>
      <c r="H124" s="5" t="s">
        <v>362</v>
      </c>
      <c r="I124" s="5" t="s">
        <v>362</v>
      </c>
      <c r="J124" s="5" t="s">
        <v>362</v>
      </c>
      <c r="K124" s="5" t="s">
        <v>362</v>
      </c>
      <c r="L124" s="5" t="s">
        <v>362</v>
      </c>
      <c r="M124" s="5" t="s">
        <v>362</v>
      </c>
      <c r="N124" s="35">
        <v>372.1</v>
      </c>
      <c r="O124" s="35">
        <v>119.7</v>
      </c>
      <c r="P124" s="4">
        <f t="shared" si="43"/>
        <v>0.32168771835528082</v>
      </c>
      <c r="Q124" s="11">
        <v>20</v>
      </c>
      <c r="R124" s="35">
        <v>171</v>
      </c>
      <c r="S124" s="35">
        <v>189.4</v>
      </c>
      <c r="T124" s="4">
        <f t="shared" si="44"/>
        <v>1.1076023391812866</v>
      </c>
      <c r="U124" s="11">
        <v>30</v>
      </c>
      <c r="V124" s="35">
        <v>4</v>
      </c>
      <c r="W124" s="35">
        <v>4.5</v>
      </c>
      <c r="X124" s="4">
        <f t="shared" si="45"/>
        <v>1.125</v>
      </c>
      <c r="Y124" s="11">
        <v>20</v>
      </c>
      <c r="Z124" s="35">
        <v>6270</v>
      </c>
      <c r="AA124" s="35">
        <v>5159</v>
      </c>
      <c r="AB124" s="4">
        <f t="shared" si="46"/>
        <v>0.82280701754385965</v>
      </c>
      <c r="AC124" s="11">
        <v>5</v>
      </c>
      <c r="AD124" s="11">
        <v>310</v>
      </c>
      <c r="AE124" s="11">
        <v>332</v>
      </c>
      <c r="AF124" s="4">
        <f t="shared" si="47"/>
        <v>1.0709677419354839</v>
      </c>
      <c r="AG124" s="11">
        <v>20</v>
      </c>
      <c r="AH124" s="5" t="s">
        <v>362</v>
      </c>
      <c r="AI124" s="5" t="s">
        <v>362</v>
      </c>
      <c r="AJ124" s="5" t="s">
        <v>362</v>
      </c>
      <c r="AK124" s="5" t="s">
        <v>362</v>
      </c>
      <c r="AL124" s="5" t="s">
        <v>362</v>
      </c>
      <c r="AM124" s="5" t="s">
        <v>362</v>
      </c>
      <c r="AN124" s="5" t="s">
        <v>362</v>
      </c>
      <c r="AO124" s="5" t="s">
        <v>362</v>
      </c>
      <c r="AP124" s="44">
        <f t="shared" si="56"/>
        <v>0.92635032442128384</v>
      </c>
      <c r="AQ124" s="45">
        <v>888</v>
      </c>
      <c r="AR124" s="35">
        <f t="shared" si="48"/>
        <v>242.18181818181819</v>
      </c>
      <c r="AS124" s="35">
        <f t="shared" si="49"/>
        <v>224.3</v>
      </c>
      <c r="AT124" s="35">
        <f t="shared" si="50"/>
        <v>-17.881818181818176</v>
      </c>
      <c r="AU124" s="35">
        <v>85.2</v>
      </c>
      <c r="AV124" s="35">
        <v>66.900000000000006</v>
      </c>
      <c r="AW124" s="35">
        <f t="shared" si="51"/>
        <v>72.2</v>
      </c>
      <c r="AX124" s="35"/>
      <c r="AY124" s="35">
        <f t="shared" si="52"/>
        <v>72.2</v>
      </c>
      <c r="AZ124" s="35">
        <v>0</v>
      </c>
      <c r="BA124" s="35">
        <f t="shared" si="53"/>
        <v>72.2</v>
      </c>
      <c r="BB124" s="35"/>
      <c r="BC124" s="35">
        <f t="shared" si="54"/>
        <v>72.2</v>
      </c>
      <c r="BD124" s="35">
        <v>73.5</v>
      </c>
      <c r="BE124" s="35">
        <f t="shared" si="55"/>
        <v>-1.3</v>
      </c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9"/>
      <c r="BU124" s="9"/>
      <c r="BV124" s="9"/>
      <c r="BW124" s="9"/>
      <c r="BX124" s="9"/>
      <c r="BY124" s="9"/>
      <c r="BZ124" s="9"/>
      <c r="CA124" s="9"/>
      <c r="CB124" s="9"/>
      <c r="CC124" s="9"/>
      <c r="CD124" s="9"/>
      <c r="CE124" s="9"/>
      <c r="CF124" s="9"/>
      <c r="CG124" s="9"/>
      <c r="CH124" s="9"/>
      <c r="CI124" s="9"/>
      <c r="CJ124" s="9"/>
      <c r="CK124" s="9"/>
      <c r="CL124" s="9"/>
      <c r="CM124" s="9"/>
      <c r="CN124" s="9"/>
      <c r="CO124" s="9"/>
      <c r="CP124" s="9"/>
      <c r="CQ124" s="10"/>
      <c r="CR124" s="9"/>
      <c r="CS124" s="9"/>
      <c r="CT124" s="9"/>
      <c r="CU124" s="9"/>
      <c r="CV124" s="9"/>
      <c r="CW124" s="9"/>
      <c r="CX124" s="9"/>
      <c r="CY124" s="9"/>
      <c r="CZ124" s="9"/>
      <c r="DA124" s="9"/>
      <c r="DB124" s="9"/>
      <c r="DC124" s="9"/>
      <c r="DD124" s="9"/>
      <c r="DE124" s="9"/>
      <c r="DF124" s="9"/>
      <c r="DG124" s="9"/>
      <c r="DH124" s="9"/>
      <c r="DI124" s="9"/>
      <c r="DJ124" s="9"/>
      <c r="DK124" s="9"/>
      <c r="DL124" s="9"/>
      <c r="DM124" s="9"/>
      <c r="DN124" s="9"/>
      <c r="DO124" s="9"/>
      <c r="DP124" s="9"/>
      <c r="DQ124" s="9"/>
      <c r="DR124" s="9"/>
      <c r="DS124" s="10"/>
      <c r="DT124" s="9"/>
      <c r="DU124" s="9"/>
      <c r="DV124" s="9"/>
      <c r="DW124" s="9"/>
      <c r="DX124" s="9"/>
      <c r="DY124" s="9"/>
      <c r="DZ124" s="9"/>
      <c r="EA124" s="9"/>
      <c r="EB124" s="9"/>
      <c r="EC124" s="9"/>
      <c r="ED124" s="9"/>
      <c r="EE124" s="9"/>
      <c r="EF124" s="9"/>
      <c r="EG124" s="9"/>
      <c r="EH124" s="9"/>
      <c r="EI124" s="9"/>
      <c r="EJ124" s="9"/>
      <c r="EK124" s="9"/>
      <c r="EL124" s="9"/>
      <c r="EM124" s="9"/>
      <c r="EN124" s="9"/>
      <c r="EO124" s="9"/>
      <c r="EP124" s="9"/>
      <c r="EQ124" s="9"/>
      <c r="ER124" s="9"/>
      <c r="ES124" s="9"/>
      <c r="ET124" s="9"/>
      <c r="EU124" s="10"/>
      <c r="EV124" s="9"/>
      <c r="EW124" s="9"/>
      <c r="EX124" s="9"/>
      <c r="EY124" s="9"/>
      <c r="EZ124" s="9"/>
      <c r="FA124" s="9"/>
      <c r="FB124" s="9"/>
      <c r="FC124" s="9"/>
      <c r="FD124" s="9"/>
      <c r="FE124" s="9"/>
      <c r="FF124" s="9"/>
      <c r="FG124" s="9"/>
      <c r="FH124" s="9"/>
      <c r="FI124" s="9"/>
      <c r="FJ124" s="9"/>
      <c r="FK124" s="9"/>
      <c r="FL124" s="9"/>
      <c r="FM124" s="9"/>
      <c r="FN124" s="9"/>
      <c r="FO124" s="9"/>
      <c r="FP124" s="9"/>
      <c r="FQ124" s="9"/>
      <c r="FR124" s="9"/>
      <c r="FS124" s="9"/>
      <c r="FT124" s="9"/>
      <c r="FU124" s="9"/>
      <c r="FV124" s="9"/>
      <c r="FW124" s="10"/>
      <c r="FX124" s="9"/>
      <c r="FY124" s="9"/>
      <c r="FZ124" s="9"/>
      <c r="GA124" s="9"/>
      <c r="GB124" s="9"/>
      <c r="GC124" s="9"/>
      <c r="GD124" s="9"/>
      <c r="GE124" s="9"/>
      <c r="GF124" s="9"/>
      <c r="GG124" s="9"/>
      <c r="GH124" s="9"/>
      <c r="GI124" s="9"/>
      <c r="GJ124" s="9"/>
      <c r="GK124" s="9"/>
      <c r="GL124" s="9"/>
      <c r="GM124" s="9"/>
      <c r="GN124" s="9"/>
      <c r="GO124" s="9"/>
      <c r="GP124" s="9"/>
      <c r="GQ124" s="9"/>
      <c r="GR124" s="9"/>
      <c r="GS124" s="9"/>
      <c r="GT124" s="9"/>
      <c r="GU124" s="9"/>
      <c r="GV124" s="9"/>
      <c r="GW124" s="9"/>
      <c r="GX124" s="9"/>
      <c r="GY124" s="10"/>
      <c r="GZ124" s="9"/>
      <c r="HA124" s="9"/>
    </row>
    <row r="125" spans="1:209" s="2" customFormat="1" ht="17" customHeight="1">
      <c r="A125" s="14" t="s">
        <v>124</v>
      </c>
      <c r="B125" s="35">
        <v>854</v>
      </c>
      <c r="C125" s="35">
        <v>1567.8</v>
      </c>
      <c r="D125" s="4">
        <f t="shared" si="42"/>
        <v>1.263583138173302</v>
      </c>
      <c r="E125" s="11">
        <v>10</v>
      </c>
      <c r="F125" s="5" t="s">
        <v>362</v>
      </c>
      <c r="G125" s="5" t="s">
        <v>362</v>
      </c>
      <c r="H125" s="5" t="s">
        <v>362</v>
      </c>
      <c r="I125" s="5" t="s">
        <v>362</v>
      </c>
      <c r="J125" s="5" t="s">
        <v>362</v>
      </c>
      <c r="K125" s="5" t="s">
        <v>362</v>
      </c>
      <c r="L125" s="5" t="s">
        <v>362</v>
      </c>
      <c r="M125" s="5" t="s">
        <v>362</v>
      </c>
      <c r="N125" s="35">
        <v>467.6</v>
      </c>
      <c r="O125" s="35">
        <v>307.60000000000002</v>
      </c>
      <c r="P125" s="4">
        <f t="shared" si="43"/>
        <v>0.65782720273738238</v>
      </c>
      <c r="Q125" s="11">
        <v>20</v>
      </c>
      <c r="R125" s="35">
        <v>14</v>
      </c>
      <c r="S125" s="35">
        <v>15.2</v>
      </c>
      <c r="T125" s="4">
        <f t="shared" si="44"/>
        <v>1.0857142857142856</v>
      </c>
      <c r="U125" s="11">
        <v>30</v>
      </c>
      <c r="V125" s="35">
        <v>7</v>
      </c>
      <c r="W125" s="35">
        <v>8</v>
      </c>
      <c r="X125" s="4">
        <f t="shared" si="45"/>
        <v>1.1428571428571428</v>
      </c>
      <c r="Y125" s="11">
        <v>20</v>
      </c>
      <c r="Z125" s="35">
        <v>6987</v>
      </c>
      <c r="AA125" s="35">
        <v>3465</v>
      </c>
      <c r="AB125" s="4">
        <f t="shared" si="46"/>
        <v>0.49592099613568053</v>
      </c>
      <c r="AC125" s="11">
        <v>5</v>
      </c>
      <c r="AD125" s="11">
        <v>171</v>
      </c>
      <c r="AE125" s="11">
        <v>167</v>
      </c>
      <c r="AF125" s="4">
        <f t="shared" si="47"/>
        <v>0.97660818713450293</v>
      </c>
      <c r="AG125" s="11">
        <v>20</v>
      </c>
      <c r="AH125" s="5" t="s">
        <v>362</v>
      </c>
      <c r="AI125" s="5" t="s">
        <v>362</v>
      </c>
      <c r="AJ125" s="5" t="s">
        <v>362</v>
      </c>
      <c r="AK125" s="5" t="s">
        <v>362</v>
      </c>
      <c r="AL125" s="5" t="s">
        <v>362</v>
      </c>
      <c r="AM125" s="5" t="s">
        <v>362</v>
      </c>
      <c r="AN125" s="5" t="s">
        <v>362</v>
      </c>
      <c r="AO125" s="5" t="s">
        <v>362</v>
      </c>
      <c r="AP125" s="44">
        <f t="shared" si="56"/>
        <v>0.98316871988971966</v>
      </c>
      <c r="AQ125" s="45">
        <v>636</v>
      </c>
      <c r="AR125" s="35">
        <f t="shared" si="48"/>
        <v>173.45454545454547</v>
      </c>
      <c r="AS125" s="35">
        <f t="shared" si="49"/>
        <v>170.5</v>
      </c>
      <c r="AT125" s="35">
        <f t="shared" si="50"/>
        <v>-2.9545454545454675</v>
      </c>
      <c r="AU125" s="35">
        <v>57.7</v>
      </c>
      <c r="AV125" s="35">
        <v>53.1</v>
      </c>
      <c r="AW125" s="35">
        <f t="shared" si="51"/>
        <v>59.7</v>
      </c>
      <c r="AX125" s="35"/>
      <c r="AY125" s="35">
        <f t="shared" si="52"/>
        <v>59.7</v>
      </c>
      <c r="AZ125" s="35">
        <v>0</v>
      </c>
      <c r="BA125" s="35">
        <f t="shared" si="53"/>
        <v>59.7</v>
      </c>
      <c r="BB125" s="35"/>
      <c r="BC125" s="35">
        <f t="shared" si="54"/>
        <v>59.7</v>
      </c>
      <c r="BD125" s="35">
        <v>64</v>
      </c>
      <c r="BE125" s="35">
        <f t="shared" si="55"/>
        <v>-4.3</v>
      </c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9"/>
      <c r="BU125" s="9"/>
      <c r="BV125" s="9"/>
      <c r="BW125" s="9"/>
      <c r="BX125" s="9"/>
      <c r="BY125" s="9"/>
      <c r="BZ125" s="9"/>
      <c r="CA125" s="9"/>
      <c r="CB125" s="9"/>
      <c r="CC125" s="9"/>
      <c r="CD125" s="9"/>
      <c r="CE125" s="9"/>
      <c r="CF125" s="9"/>
      <c r="CG125" s="9"/>
      <c r="CH125" s="9"/>
      <c r="CI125" s="9"/>
      <c r="CJ125" s="9"/>
      <c r="CK125" s="9"/>
      <c r="CL125" s="9"/>
      <c r="CM125" s="9"/>
      <c r="CN125" s="9"/>
      <c r="CO125" s="9"/>
      <c r="CP125" s="9"/>
      <c r="CQ125" s="10"/>
      <c r="CR125" s="9"/>
      <c r="CS125" s="9"/>
      <c r="CT125" s="9"/>
      <c r="CU125" s="9"/>
      <c r="CV125" s="9"/>
      <c r="CW125" s="9"/>
      <c r="CX125" s="9"/>
      <c r="CY125" s="9"/>
      <c r="CZ125" s="9"/>
      <c r="DA125" s="9"/>
      <c r="DB125" s="9"/>
      <c r="DC125" s="9"/>
      <c r="DD125" s="9"/>
      <c r="DE125" s="9"/>
      <c r="DF125" s="9"/>
      <c r="DG125" s="9"/>
      <c r="DH125" s="9"/>
      <c r="DI125" s="9"/>
      <c r="DJ125" s="9"/>
      <c r="DK125" s="9"/>
      <c r="DL125" s="9"/>
      <c r="DM125" s="9"/>
      <c r="DN125" s="9"/>
      <c r="DO125" s="9"/>
      <c r="DP125" s="9"/>
      <c r="DQ125" s="9"/>
      <c r="DR125" s="9"/>
      <c r="DS125" s="10"/>
      <c r="DT125" s="9"/>
      <c r="DU125" s="9"/>
      <c r="DV125" s="9"/>
      <c r="DW125" s="9"/>
      <c r="DX125" s="9"/>
      <c r="DY125" s="9"/>
      <c r="DZ125" s="9"/>
      <c r="EA125" s="9"/>
      <c r="EB125" s="9"/>
      <c r="EC125" s="9"/>
      <c r="ED125" s="9"/>
      <c r="EE125" s="9"/>
      <c r="EF125" s="9"/>
      <c r="EG125" s="9"/>
      <c r="EH125" s="9"/>
      <c r="EI125" s="9"/>
      <c r="EJ125" s="9"/>
      <c r="EK125" s="9"/>
      <c r="EL125" s="9"/>
      <c r="EM125" s="9"/>
      <c r="EN125" s="9"/>
      <c r="EO125" s="9"/>
      <c r="EP125" s="9"/>
      <c r="EQ125" s="9"/>
      <c r="ER125" s="9"/>
      <c r="ES125" s="9"/>
      <c r="ET125" s="9"/>
      <c r="EU125" s="10"/>
      <c r="EV125" s="9"/>
      <c r="EW125" s="9"/>
      <c r="EX125" s="9"/>
      <c r="EY125" s="9"/>
      <c r="EZ125" s="9"/>
      <c r="FA125" s="9"/>
      <c r="FB125" s="9"/>
      <c r="FC125" s="9"/>
      <c r="FD125" s="9"/>
      <c r="FE125" s="9"/>
      <c r="FF125" s="9"/>
      <c r="FG125" s="9"/>
      <c r="FH125" s="9"/>
      <c r="FI125" s="9"/>
      <c r="FJ125" s="9"/>
      <c r="FK125" s="9"/>
      <c r="FL125" s="9"/>
      <c r="FM125" s="9"/>
      <c r="FN125" s="9"/>
      <c r="FO125" s="9"/>
      <c r="FP125" s="9"/>
      <c r="FQ125" s="9"/>
      <c r="FR125" s="9"/>
      <c r="FS125" s="9"/>
      <c r="FT125" s="9"/>
      <c r="FU125" s="9"/>
      <c r="FV125" s="9"/>
      <c r="FW125" s="10"/>
      <c r="FX125" s="9"/>
      <c r="FY125" s="9"/>
      <c r="FZ125" s="9"/>
      <c r="GA125" s="9"/>
      <c r="GB125" s="9"/>
      <c r="GC125" s="9"/>
      <c r="GD125" s="9"/>
      <c r="GE125" s="9"/>
      <c r="GF125" s="9"/>
      <c r="GG125" s="9"/>
      <c r="GH125" s="9"/>
      <c r="GI125" s="9"/>
      <c r="GJ125" s="9"/>
      <c r="GK125" s="9"/>
      <c r="GL125" s="9"/>
      <c r="GM125" s="9"/>
      <c r="GN125" s="9"/>
      <c r="GO125" s="9"/>
      <c r="GP125" s="9"/>
      <c r="GQ125" s="9"/>
      <c r="GR125" s="9"/>
      <c r="GS125" s="9"/>
      <c r="GT125" s="9"/>
      <c r="GU125" s="9"/>
      <c r="GV125" s="9"/>
      <c r="GW125" s="9"/>
      <c r="GX125" s="9"/>
      <c r="GY125" s="10"/>
      <c r="GZ125" s="9"/>
      <c r="HA125" s="9"/>
    </row>
    <row r="126" spans="1:209" s="2" customFormat="1" ht="17" customHeight="1">
      <c r="A126" s="14" t="s">
        <v>125</v>
      </c>
      <c r="B126" s="35">
        <v>252</v>
      </c>
      <c r="C126" s="35">
        <v>197.2</v>
      </c>
      <c r="D126" s="4">
        <f t="shared" si="42"/>
        <v>0.78253968253968254</v>
      </c>
      <c r="E126" s="11">
        <v>10</v>
      </c>
      <c r="F126" s="5" t="s">
        <v>362</v>
      </c>
      <c r="G126" s="5" t="s">
        <v>362</v>
      </c>
      <c r="H126" s="5" t="s">
        <v>362</v>
      </c>
      <c r="I126" s="5" t="s">
        <v>362</v>
      </c>
      <c r="J126" s="5" t="s">
        <v>362</v>
      </c>
      <c r="K126" s="5" t="s">
        <v>362</v>
      </c>
      <c r="L126" s="5" t="s">
        <v>362</v>
      </c>
      <c r="M126" s="5" t="s">
        <v>362</v>
      </c>
      <c r="N126" s="35">
        <v>190.7</v>
      </c>
      <c r="O126" s="35">
        <v>142.5</v>
      </c>
      <c r="P126" s="4">
        <f t="shared" si="43"/>
        <v>0.74724698479286844</v>
      </c>
      <c r="Q126" s="11">
        <v>20</v>
      </c>
      <c r="R126" s="35">
        <v>43</v>
      </c>
      <c r="S126" s="35">
        <v>45.9</v>
      </c>
      <c r="T126" s="4">
        <f t="shared" si="44"/>
        <v>1.0674418604651164</v>
      </c>
      <c r="U126" s="11">
        <v>30</v>
      </c>
      <c r="V126" s="35">
        <v>4</v>
      </c>
      <c r="W126" s="35">
        <v>4.5</v>
      </c>
      <c r="X126" s="4">
        <f t="shared" si="45"/>
        <v>1.125</v>
      </c>
      <c r="Y126" s="11">
        <v>20</v>
      </c>
      <c r="Z126" s="35">
        <v>3762</v>
      </c>
      <c r="AA126" s="35">
        <v>3465</v>
      </c>
      <c r="AB126" s="4">
        <f t="shared" si="46"/>
        <v>0.92105263157894735</v>
      </c>
      <c r="AC126" s="11">
        <v>5</v>
      </c>
      <c r="AD126" s="11">
        <v>315</v>
      </c>
      <c r="AE126" s="11">
        <v>317</v>
      </c>
      <c r="AF126" s="4">
        <f t="shared" si="47"/>
        <v>1.0063492063492063</v>
      </c>
      <c r="AG126" s="11">
        <v>20</v>
      </c>
      <c r="AH126" s="5" t="s">
        <v>362</v>
      </c>
      <c r="AI126" s="5" t="s">
        <v>362</v>
      </c>
      <c r="AJ126" s="5" t="s">
        <v>362</v>
      </c>
      <c r="AK126" s="5" t="s">
        <v>362</v>
      </c>
      <c r="AL126" s="5" t="s">
        <v>362</v>
      </c>
      <c r="AM126" s="5" t="s">
        <v>362</v>
      </c>
      <c r="AN126" s="5" t="s">
        <v>362</v>
      </c>
      <c r="AO126" s="5" t="s">
        <v>362</v>
      </c>
      <c r="AP126" s="44">
        <f t="shared" si="56"/>
        <v>0.9716746630484433</v>
      </c>
      <c r="AQ126" s="45">
        <v>965</v>
      </c>
      <c r="AR126" s="35">
        <f t="shared" si="48"/>
        <v>263.18181818181819</v>
      </c>
      <c r="AS126" s="35">
        <f t="shared" si="49"/>
        <v>255.7</v>
      </c>
      <c r="AT126" s="35">
        <f t="shared" si="50"/>
        <v>-7.4818181818181984</v>
      </c>
      <c r="AU126" s="35">
        <v>97.6</v>
      </c>
      <c r="AV126" s="35">
        <v>79.5</v>
      </c>
      <c r="AW126" s="35">
        <f t="shared" si="51"/>
        <v>78.599999999999994</v>
      </c>
      <c r="AX126" s="35"/>
      <c r="AY126" s="35">
        <f t="shared" si="52"/>
        <v>78.599999999999994</v>
      </c>
      <c r="AZ126" s="35">
        <v>0</v>
      </c>
      <c r="BA126" s="35">
        <f t="shared" si="53"/>
        <v>78.599999999999994</v>
      </c>
      <c r="BB126" s="35"/>
      <c r="BC126" s="35">
        <f t="shared" si="54"/>
        <v>78.599999999999994</v>
      </c>
      <c r="BD126" s="35">
        <v>79.3</v>
      </c>
      <c r="BE126" s="35">
        <f t="shared" si="55"/>
        <v>-0.7</v>
      </c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9"/>
      <c r="BU126" s="9"/>
      <c r="BV126" s="9"/>
      <c r="BW126" s="9"/>
      <c r="BX126" s="9"/>
      <c r="BY126" s="9"/>
      <c r="BZ126" s="9"/>
      <c r="CA126" s="9"/>
      <c r="CB126" s="9"/>
      <c r="CC126" s="9"/>
      <c r="CD126" s="9"/>
      <c r="CE126" s="9"/>
      <c r="CF126" s="9"/>
      <c r="CG126" s="9"/>
      <c r="CH126" s="9"/>
      <c r="CI126" s="9"/>
      <c r="CJ126" s="9"/>
      <c r="CK126" s="9"/>
      <c r="CL126" s="9"/>
      <c r="CM126" s="9"/>
      <c r="CN126" s="9"/>
      <c r="CO126" s="9"/>
      <c r="CP126" s="9"/>
      <c r="CQ126" s="10"/>
      <c r="CR126" s="9"/>
      <c r="CS126" s="9"/>
      <c r="CT126" s="9"/>
      <c r="CU126" s="9"/>
      <c r="CV126" s="9"/>
      <c r="CW126" s="9"/>
      <c r="CX126" s="9"/>
      <c r="CY126" s="9"/>
      <c r="CZ126" s="9"/>
      <c r="DA126" s="9"/>
      <c r="DB126" s="9"/>
      <c r="DC126" s="9"/>
      <c r="DD126" s="9"/>
      <c r="DE126" s="9"/>
      <c r="DF126" s="9"/>
      <c r="DG126" s="9"/>
      <c r="DH126" s="9"/>
      <c r="DI126" s="9"/>
      <c r="DJ126" s="9"/>
      <c r="DK126" s="9"/>
      <c r="DL126" s="9"/>
      <c r="DM126" s="9"/>
      <c r="DN126" s="9"/>
      <c r="DO126" s="9"/>
      <c r="DP126" s="9"/>
      <c r="DQ126" s="9"/>
      <c r="DR126" s="9"/>
      <c r="DS126" s="10"/>
      <c r="DT126" s="9"/>
      <c r="DU126" s="9"/>
      <c r="DV126" s="9"/>
      <c r="DW126" s="9"/>
      <c r="DX126" s="9"/>
      <c r="DY126" s="9"/>
      <c r="DZ126" s="9"/>
      <c r="EA126" s="9"/>
      <c r="EB126" s="9"/>
      <c r="EC126" s="9"/>
      <c r="ED126" s="9"/>
      <c r="EE126" s="9"/>
      <c r="EF126" s="9"/>
      <c r="EG126" s="9"/>
      <c r="EH126" s="9"/>
      <c r="EI126" s="9"/>
      <c r="EJ126" s="9"/>
      <c r="EK126" s="9"/>
      <c r="EL126" s="9"/>
      <c r="EM126" s="9"/>
      <c r="EN126" s="9"/>
      <c r="EO126" s="9"/>
      <c r="EP126" s="9"/>
      <c r="EQ126" s="9"/>
      <c r="ER126" s="9"/>
      <c r="ES126" s="9"/>
      <c r="ET126" s="9"/>
      <c r="EU126" s="10"/>
      <c r="EV126" s="9"/>
      <c r="EW126" s="9"/>
      <c r="EX126" s="9"/>
      <c r="EY126" s="9"/>
      <c r="EZ126" s="9"/>
      <c r="FA126" s="9"/>
      <c r="FB126" s="9"/>
      <c r="FC126" s="9"/>
      <c r="FD126" s="9"/>
      <c r="FE126" s="9"/>
      <c r="FF126" s="9"/>
      <c r="FG126" s="9"/>
      <c r="FH126" s="9"/>
      <c r="FI126" s="9"/>
      <c r="FJ126" s="9"/>
      <c r="FK126" s="9"/>
      <c r="FL126" s="9"/>
      <c r="FM126" s="9"/>
      <c r="FN126" s="9"/>
      <c r="FO126" s="9"/>
      <c r="FP126" s="9"/>
      <c r="FQ126" s="9"/>
      <c r="FR126" s="9"/>
      <c r="FS126" s="9"/>
      <c r="FT126" s="9"/>
      <c r="FU126" s="9"/>
      <c r="FV126" s="9"/>
      <c r="FW126" s="10"/>
      <c r="FX126" s="9"/>
      <c r="FY126" s="9"/>
      <c r="FZ126" s="9"/>
      <c r="GA126" s="9"/>
      <c r="GB126" s="9"/>
      <c r="GC126" s="9"/>
      <c r="GD126" s="9"/>
      <c r="GE126" s="9"/>
      <c r="GF126" s="9"/>
      <c r="GG126" s="9"/>
      <c r="GH126" s="9"/>
      <c r="GI126" s="9"/>
      <c r="GJ126" s="9"/>
      <c r="GK126" s="9"/>
      <c r="GL126" s="9"/>
      <c r="GM126" s="9"/>
      <c r="GN126" s="9"/>
      <c r="GO126" s="9"/>
      <c r="GP126" s="9"/>
      <c r="GQ126" s="9"/>
      <c r="GR126" s="9"/>
      <c r="GS126" s="9"/>
      <c r="GT126" s="9"/>
      <c r="GU126" s="9"/>
      <c r="GV126" s="9"/>
      <c r="GW126" s="9"/>
      <c r="GX126" s="9"/>
      <c r="GY126" s="10"/>
      <c r="GZ126" s="9"/>
      <c r="HA126" s="9"/>
    </row>
    <row r="127" spans="1:209" s="2" customFormat="1" ht="17" customHeight="1">
      <c r="A127" s="14" t="s">
        <v>126</v>
      </c>
      <c r="B127" s="35">
        <v>351</v>
      </c>
      <c r="C127" s="35">
        <v>308.39999999999998</v>
      </c>
      <c r="D127" s="4">
        <f t="shared" si="42"/>
        <v>0.87863247863247862</v>
      </c>
      <c r="E127" s="11">
        <v>10</v>
      </c>
      <c r="F127" s="5" t="s">
        <v>362</v>
      </c>
      <c r="G127" s="5" t="s">
        <v>362</v>
      </c>
      <c r="H127" s="5" t="s">
        <v>362</v>
      </c>
      <c r="I127" s="5" t="s">
        <v>362</v>
      </c>
      <c r="J127" s="5" t="s">
        <v>362</v>
      </c>
      <c r="K127" s="5" t="s">
        <v>362</v>
      </c>
      <c r="L127" s="5" t="s">
        <v>362</v>
      </c>
      <c r="M127" s="5" t="s">
        <v>362</v>
      </c>
      <c r="N127" s="35">
        <v>235.9</v>
      </c>
      <c r="O127" s="35">
        <v>178.5</v>
      </c>
      <c r="P127" s="4">
        <f t="shared" si="43"/>
        <v>0.75667655786350152</v>
      </c>
      <c r="Q127" s="11">
        <v>20</v>
      </c>
      <c r="R127" s="35">
        <v>25</v>
      </c>
      <c r="S127" s="35">
        <v>34.6</v>
      </c>
      <c r="T127" s="4">
        <f t="shared" si="44"/>
        <v>1.2183999999999999</v>
      </c>
      <c r="U127" s="11">
        <v>35</v>
      </c>
      <c r="V127" s="35">
        <v>6</v>
      </c>
      <c r="W127" s="35">
        <v>6.6</v>
      </c>
      <c r="X127" s="4">
        <f t="shared" si="45"/>
        <v>1.0999999999999999</v>
      </c>
      <c r="Y127" s="11">
        <v>15</v>
      </c>
      <c r="Z127" s="35">
        <v>9047</v>
      </c>
      <c r="AA127" s="35">
        <v>9702</v>
      </c>
      <c r="AB127" s="4">
        <f t="shared" si="46"/>
        <v>1.0723996905051398</v>
      </c>
      <c r="AC127" s="11">
        <v>5</v>
      </c>
      <c r="AD127" s="11">
        <v>187</v>
      </c>
      <c r="AE127" s="11">
        <v>187</v>
      </c>
      <c r="AF127" s="4">
        <f t="shared" si="47"/>
        <v>1</v>
      </c>
      <c r="AG127" s="11">
        <v>20</v>
      </c>
      <c r="AH127" s="5" t="s">
        <v>362</v>
      </c>
      <c r="AI127" s="5" t="s">
        <v>362</v>
      </c>
      <c r="AJ127" s="5" t="s">
        <v>362</v>
      </c>
      <c r="AK127" s="5" t="s">
        <v>362</v>
      </c>
      <c r="AL127" s="5" t="s">
        <v>362</v>
      </c>
      <c r="AM127" s="5" t="s">
        <v>362</v>
      </c>
      <c r="AN127" s="5" t="s">
        <v>362</v>
      </c>
      <c r="AO127" s="5" t="s">
        <v>362</v>
      </c>
      <c r="AP127" s="44">
        <f t="shared" si="56"/>
        <v>1.0326271847249573</v>
      </c>
      <c r="AQ127" s="45">
        <v>690</v>
      </c>
      <c r="AR127" s="35">
        <f t="shared" si="48"/>
        <v>188.18181818181819</v>
      </c>
      <c r="AS127" s="35">
        <f t="shared" si="49"/>
        <v>194.3</v>
      </c>
      <c r="AT127" s="35">
        <f t="shared" si="50"/>
        <v>6.1181818181818244</v>
      </c>
      <c r="AU127" s="35">
        <v>66.099999999999994</v>
      </c>
      <c r="AV127" s="35">
        <v>59.9</v>
      </c>
      <c r="AW127" s="35">
        <f t="shared" si="51"/>
        <v>68.3</v>
      </c>
      <c r="AX127" s="35"/>
      <c r="AY127" s="35">
        <f t="shared" si="52"/>
        <v>68.3</v>
      </c>
      <c r="AZ127" s="35">
        <v>0</v>
      </c>
      <c r="BA127" s="35">
        <f t="shared" si="53"/>
        <v>68.3</v>
      </c>
      <c r="BB127" s="35"/>
      <c r="BC127" s="35">
        <f t="shared" si="54"/>
        <v>68.3</v>
      </c>
      <c r="BD127" s="35">
        <v>67.900000000000006</v>
      </c>
      <c r="BE127" s="35">
        <f t="shared" si="55"/>
        <v>0.4</v>
      </c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9"/>
      <c r="BU127" s="9"/>
      <c r="BV127" s="9"/>
      <c r="BW127" s="9"/>
      <c r="BX127" s="9"/>
      <c r="BY127" s="9"/>
      <c r="BZ127" s="9"/>
      <c r="CA127" s="9"/>
      <c r="CB127" s="9"/>
      <c r="CC127" s="9"/>
      <c r="CD127" s="9"/>
      <c r="CE127" s="9"/>
      <c r="CF127" s="9"/>
      <c r="CG127" s="9"/>
      <c r="CH127" s="9"/>
      <c r="CI127" s="9"/>
      <c r="CJ127" s="9"/>
      <c r="CK127" s="9"/>
      <c r="CL127" s="9"/>
      <c r="CM127" s="9"/>
      <c r="CN127" s="9"/>
      <c r="CO127" s="9"/>
      <c r="CP127" s="9"/>
      <c r="CQ127" s="10"/>
      <c r="CR127" s="9"/>
      <c r="CS127" s="9"/>
      <c r="CT127" s="9"/>
      <c r="CU127" s="9"/>
      <c r="CV127" s="9"/>
      <c r="CW127" s="9"/>
      <c r="CX127" s="9"/>
      <c r="CY127" s="9"/>
      <c r="CZ127" s="9"/>
      <c r="DA127" s="9"/>
      <c r="DB127" s="9"/>
      <c r="DC127" s="9"/>
      <c r="DD127" s="9"/>
      <c r="DE127" s="9"/>
      <c r="DF127" s="9"/>
      <c r="DG127" s="9"/>
      <c r="DH127" s="9"/>
      <c r="DI127" s="9"/>
      <c r="DJ127" s="9"/>
      <c r="DK127" s="9"/>
      <c r="DL127" s="9"/>
      <c r="DM127" s="9"/>
      <c r="DN127" s="9"/>
      <c r="DO127" s="9"/>
      <c r="DP127" s="9"/>
      <c r="DQ127" s="9"/>
      <c r="DR127" s="9"/>
      <c r="DS127" s="10"/>
      <c r="DT127" s="9"/>
      <c r="DU127" s="9"/>
      <c r="DV127" s="9"/>
      <c r="DW127" s="9"/>
      <c r="DX127" s="9"/>
      <c r="DY127" s="9"/>
      <c r="DZ127" s="9"/>
      <c r="EA127" s="9"/>
      <c r="EB127" s="9"/>
      <c r="EC127" s="9"/>
      <c r="ED127" s="9"/>
      <c r="EE127" s="9"/>
      <c r="EF127" s="9"/>
      <c r="EG127" s="9"/>
      <c r="EH127" s="9"/>
      <c r="EI127" s="9"/>
      <c r="EJ127" s="9"/>
      <c r="EK127" s="9"/>
      <c r="EL127" s="9"/>
      <c r="EM127" s="9"/>
      <c r="EN127" s="9"/>
      <c r="EO127" s="9"/>
      <c r="EP127" s="9"/>
      <c r="EQ127" s="9"/>
      <c r="ER127" s="9"/>
      <c r="ES127" s="9"/>
      <c r="ET127" s="9"/>
      <c r="EU127" s="10"/>
      <c r="EV127" s="9"/>
      <c r="EW127" s="9"/>
      <c r="EX127" s="9"/>
      <c r="EY127" s="9"/>
      <c r="EZ127" s="9"/>
      <c r="FA127" s="9"/>
      <c r="FB127" s="9"/>
      <c r="FC127" s="9"/>
      <c r="FD127" s="9"/>
      <c r="FE127" s="9"/>
      <c r="FF127" s="9"/>
      <c r="FG127" s="9"/>
      <c r="FH127" s="9"/>
      <c r="FI127" s="9"/>
      <c r="FJ127" s="9"/>
      <c r="FK127" s="9"/>
      <c r="FL127" s="9"/>
      <c r="FM127" s="9"/>
      <c r="FN127" s="9"/>
      <c r="FO127" s="9"/>
      <c r="FP127" s="9"/>
      <c r="FQ127" s="9"/>
      <c r="FR127" s="9"/>
      <c r="FS127" s="9"/>
      <c r="FT127" s="9"/>
      <c r="FU127" s="9"/>
      <c r="FV127" s="9"/>
      <c r="FW127" s="10"/>
      <c r="FX127" s="9"/>
      <c r="FY127" s="9"/>
      <c r="FZ127" s="9"/>
      <c r="GA127" s="9"/>
      <c r="GB127" s="9"/>
      <c r="GC127" s="9"/>
      <c r="GD127" s="9"/>
      <c r="GE127" s="9"/>
      <c r="GF127" s="9"/>
      <c r="GG127" s="9"/>
      <c r="GH127" s="9"/>
      <c r="GI127" s="9"/>
      <c r="GJ127" s="9"/>
      <c r="GK127" s="9"/>
      <c r="GL127" s="9"/>
      <c r="GM127" s="9"/>
      <c r="GN127" s="9"/>
      <c r="GO127" s="9"/>
      <c r="GP127" s="9"/>
      <c r="GQ127" s="9"/>
      <c r="GR127" s="9"/>
      <c r="GS127" s="9"/>
      <c r="GT127" s="9"/>
      <c r="GU127" s="9"/>
      <c r="GV127" s="9"/>
      <c r="GW127" s="9"/>
      <c r="GX127" s="9"/>
      <c r="GY127" s="10"/>
      <c r="GZ127" s="9"/>
      <c r="HA127" s="9"/>
    </row>
    <row r="128" spans="1:209" s="2" customFormat="1" ht="17" customHeight="1">
      <c r="A128" s="18" t="s">
        <v>127</v>
      </c>
      <c r="B128" s="6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35"/>
      <c r="AA128" s="35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1"/>
      <c r="AY128" s="11"/>
      <c r="AZ128" s="11"/>
      <c r="BA128" s="11"/>
      <c r="BB128" s="11"/>
      <c r="BC128" s="35"/>
      <c r="BD128" s="35"/>
      <c r="BE128" s="35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9"/>
      <c r="BU128" s="9"/>
      <c r="BV128" s="9"/>
      <c r="BW128" s="9"/>
      <c r="BX128" s="9"/>
      <c r="BY128" s="9"/>
      <c r="BZ128" s="9"/>
      <c r="CA128" s="9"/>
      <c r="CB128" s="9"/>
      <c r="CC128" s="9"/>
      <c r="CD128" s="9"/>
      <c r="CE128" s="9"/>
      <c r="CF128" s="9"/>
      <c r="CG128" s="9"/>
      <c r="CH128" s="9"/>
      <c r="CI128" s="9"/>
      <c r="CJ128" s="9"/>
      <c r="CK128" s="9"/>
      <c r="CL128" s="9"/>
      <c r="CM128" s="9"/>
      <c r="CN128" s="9"/>
      <c r="CO128" s="9"/>
      <c r="CP128" s="9"/>
      <c r="CQ128" s="10"/>
      <c r="CR128" s="9"/>
      <c r="CS128" s="9"/>
      <c r="CT128" s="9"/>
      <c r="CU128" s="9"/>
      <c r="CV128" s="9"/>
      <c r="CW128" s="9"/>
      <c r="CX128" s="9"/>
      <c r="CY128" s="9"/>
      <c r="CZ128" s="9"/>
      <c r="DA128" s="9"/>
      <c r="DB128" s="9"/>
      <c r="DC128" s="9"/>
      <c r="DD128" s="9"/>
      <c r="DE128" s="9"/>
      <c r="DF128" s="9"/>
      <c r="DG128" s="9"/>
      <c r="DH128" s="9"/>
      <c r="DI128" s="9"/>
      <c r="DJ128" s="9"/>
      <c r="DK128" s="9"/>
      <c r="DL128" s="9"/>
      <c r="DM128" s="9"/>
      <c r="DN128" s="9"/>
      <c r="DO128" s="9"/>
      <c r="DP128" s="9"/>
      <c r="DQ128" s="9"/>
      <c r="DR128" s="9"/>
      <c r="DS128" s="10"/>
      <c r="DT128" s="9"/>
      <c r="DU128" s="9"/>
      <c r="DV128" s="9"/>
      <c r="DW128" s="9"/>
      <c r="DX128" s="9"/>
      <c r="DY128" s="9"/>
      <c r="DZ128" s="9"/>
      <c r="EA128" s="9"/>
      <c r="EB128" s="9"/>
      <c r="EC128" s="9"/>
      <c r="ED128" s="9"/>
      <c r="EE128" s="9"/>
      <c r="EF128" s="9"/>
      <c r="EG128" s="9"/>
      <c r="EH128" s="9"/>
      <c r="EI128" s="9"/>
      <c r="EJ128" s="9"/>
      <c r="EK128" s="9"/>
      <c r="EL128" s="9"/>
      <c r="EM128" s="9"/>
      <c r="EN128" s="9"/>
      <c r="EO128" s="9"/>
      <c r="EP128" s="9"/>
      <c r="EQ128" s="9"/>
      <c r="ER128" s="9"/>
      <c r="ES128" s="9"/>
      <c r="ET128" s="9"/>
      <c r="EU128" s="10"/>
      <c r="EV128" s="9"/>
      <c r="EW128" s="9"/>
      <c r="EX128" s="9"/>
      <c r="EY128" s="9"/>
      <c r="EZ128" s="9"/>
      <c r="FA128" s="9"/>
      <c r="FB128" s="9"/>
      <c r="FC128" s="9"/>
      <c r="FD128" s="9"/>
      <c r="FE128" s="9"/>
      <c r="FF128" s="9"/>
      <c r="FG128" s="9"/>
      <c r="FH128" s="9"/>
      <c r="FI128" s="9"/>
      <c r="FJ128" s="9"/>
      <c r="FK128" s="9"/>
      <c r="FL128" s="9"/>
      <c r="FM128" s="9"/>
      <c r="FN128" s="9"/>
      <c r="FO128" s="9"/>
      <c r="FP128" s="9"/>
      <c r="FQ128" s="9"/>
      <c r="FR128" s="9"/>
      <c r="FS128" s="9"/>
      <c r="FT128" s="9"/>
      <c r="FU128" s="9"/>
      <c r="FV128" s="9"/>
      <c r="FW128" s="10"/>
      <c r="FX128" s="9"/>
      <c r="FY128" s="9"/>
      <c r="FZ128" s="9"/>
      <c r="GA128" s="9"/>
      <c r="GB128" s="9"/>
      <c r="GC128" s="9"/>
      <c r="GD128" s="9"/>
      <c r="GE128" s="9"/>
      <c r="GF128" s="9"/>
      <c r="GG128" s="9"/>
      <c r="GH128" s="9"/>
      <c r="GI128" s="9"/>
      <c r="GJ128" s="9"/>
      <c r="GK128" s="9"/>
      <c r="GL128" s="9"/>
      <c r="GM128" s="9"/>
      <c r="GN128" s="9"/>
      <c r="GO128" s="9"/>
      <c r="GP128" s="9"/>
      <c r="GQ128" s="9"/>
      <c r="GR128" s="9"/>
      <c r="GS128" s="9"/>
      <c r="GT128" s="9"/>
      <c r="GU128" s="9"/>
      <c r="GV128" s="9"/>
      <c r="GW128" s="9"/>
      <c r="GX128" s="9"/>
      <c r="GY128" s="10"/>
      <c r="GZ128" s="9"/>
      <c r="HA128" s="9"/>
    </row>
    <row r="129" spans="1:209" s="2" customFormat="1" ht="17" customHeight="1">
      <c r="A129" s="14" t="s">
        <v>128</v>
      </c>
      <c r="B129" s="35">
        <v>6658</v>
      </c>
      <c r="C129" s="35">
        <v>5893</v>
      </c>
      <c r="D129" s="4">
        <f t="shared" si="42"/>
        <v>0.88510063082006607</v>
      </c>
      <c r="E129" s="11">
        <v>10</v>
      </c>
      <c r="F129" s="5" t="s">
        <v>362</v>
      </c>
      <c r="G129" s="5" t="s">
        <v>362</v>
      </c>
      <c r="H129" s="5" t="s">
        <v>362</v>
      </c>
      <c r="I129" s="5" t="s">
        <v>362</v>
      </c>
      <c r="J129" s="5" t="s">
        <v>362</v>
      </c>
      <c r="K129" s="5" t="s">
        <v>362</v>
      </c>
      <c r="L129" s="5" t="s">
        <v>362</v>
      </c>
      <c r="M129" s="5" t="s">
        <v>362</v>
      </c>
      <c r="N129" s="35">
        <v>1054.3</v>
      </c>
      <c r="O129" s="35">
        <v>543.79999999999995</v>
      </c>
      <c r="P129" s="4">
        <f t="shared" si="43"/>
        <v>0.51579246893673525</v>
      </c>
      <c r="Q129" s="11">
        <v>20</v>
      </c>
      <c r="R129" s="35">
        <v>734</v>
      </c>
      <c r="S129" s="35">
        <v>694.3</v>
      </c>
      <c r="T129" s="4">
        <f t="shared" si="44"/>
        <v>0.94591280653950949</v>
      </c>
      <c r="U129" s="11">
        <v>30</v>
      </c>
      <c r="V129" s="35">
        <v>41</v>
      </c>
      <c r="W129" s="35">
        <v>24.8</v>
      </c>
      <c r="X129" s="4">
        <f t="shared" si="45"/>
        <v>0.60487804878048779</v>
      </c>
      <c r="Y129" s="11">
        <v>20</v>
      </c>
      <c r="Z129" s="35">
        <v>8037</v>
      </c>
      <c r="AA129" s="35">
        <v>8346</v>
      </c>
      <c r="AB129" s="4">
        <f t="shared" si="46"/>
        <v>1.0384471817842478</v>
      </c>
      <c r="AC129" s="11">
        <v>5</v>
      </c>
      <c r="AD129" s="11">
        <v>977</v>
      </c>
      <c r="AE129" s="11">
        <v>978</v>
      </c>
      <c r="AF129" s="4">
        <f t="shared" si="47"/>
        <v>1.0010235414534288</v>
      </c>
      <c r="AG129" s="11">
        <v>20</v>
      </c>
      <c r="AH129" s="5" t="s">
        <v>362</v>
      </c>
      <c r="AI129" s="5" t="s">
        <v>362</v>
      </c>
      <c r="AJ129" s="5" t="s">
        <v>362</v>
      </c>
      <c r="AK129" s="5" t="s">
        <v>362</v>
      </c>
      <c r="AL129" s="5" t="s">
        <v>362</v>
      </c>
      <c r="AM129" s="5" t="s">
        <v>362</v>
      </c>
      <c r="AN129" s="5" t="s">
        <v>362</v>
      </c>
      <c r="AO129" s="5" t="s">
        <v>362</v>
      </c>
      <c r="AP129" s="44">
        <f t="shared" si="56"/>
        <v>0.80813816758781154</v>
      </c>
      <c r="AQ129" s="45">
        <v>780</v>
      </c>
      <c r="AR129" s="35">
        <f t="shared" si="48"/>
        <v>212.72727272727272</v>
      </c>
      <c r="AS129" s="35">
        <f t="shared" si="49"/>
        <v>171.9</v>
      </c>
      <c r="AT129" s="35">
        <f t="shared" si="50"/>
        <v>-40.827272727272714</v>
      </c>
      <c r="AU129" s="35">
        <v>47.5</v>
      </c>
      <c r="AV129" s="35">
        <v>62.5</v>
      </c>
      <c r="AW129" s="35">
        <f t="shared" si="51"/>
        <v>61.9</v>
      </c>
      <c r="AX129" s="35"/>
      <c r="AY129" s="35">
        <f t="shared" si="52"/>
        <v>61.9</v>
      </c>
      <c r="AZ129" s="35">
        <v>0</v>
      </c>
      <c r="BA129" s="35">
        <f t="shared" si="53"/>
        <v>61.9</v>
      </c>
      <c r="BB129" s="35">
        <f>MIN(BA129,23.3)</f>
        <v>23.3</v>
      </c>
      <c r="BC129" s="35">
        <f t="shared" si="54"/>
        <v>38.6</v>
      </c>
      <c r="BD129" s="35">
        <v>36.200000000000003</v>
      </c>
      <c r="BE129" s="35">
        <f t="shared" si="55"/>
        <v>2.4</v>
      </c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9"/>
      <c r="BU129" s="9"/>
      <c r="BV129" s="9"/>
      <c r="BW129" s="9"/>
      <c r="BX129" s="9"/>
      <c r="BY129" s="9"/>
      <c r="BZ129" s="9"/>
      <c r="CA129" s="9"/>
      <c r="CB129" s="9"/>
      <c r="CC129" s="9"/>
      <c r="CD129" s="9"/>
      <c r="CE129" s="9"/>
      <c r="CF129" s="9"/>
      <c r="CG129" s="9"/>
      <c r="CH129" s="9"/>
      <c r="CI129" s="9"/>
      <c r="CJ129" s="9"/>
      <c r="CK129" s="9"/>
      <c r="CL129" s="9"/>
      <c r="CM129" s="9"/>
      <c r="CN129" s="9"/>
      <c r="CO129" s="9"/>
      <c r="CP129" s="9"/>
      <c r="CQ129" s="10"/>
      <c r="CR129" s="9"/>
      <c r="CS129" s="9"/>
      <c r="CT129" s="9"/>
      <c r="CU129" s="9"/>
      <c r="CV129" s="9"/>
      <c r="CW129" s="9"/>
      <c r="CX129" s="9"/>
      <c r="CY129" s="9"/>
      <c r="CZ129" s="9"/>
      <c r="DA129" s="9"/>
      <c r="DB129" s="9"/>
      <c r="DC129" s="9"/>
      <c r="DD129" s="9"/>
      <c r="DE129" s="9"/>
      <c r="DF129" s="9"/>
      <c r="DG129" s="9"/>
      <c r="DH129" s="9"/>
      <c r="DI129" s="9"/>
      <c r="DJ129" s="9"/>
      <c r="DK129" s="9"/>
      <c r="DL129" s="9"/>
      <c r="DM129" s="9"/>
      <c r="DN129" s="9"/>
      <c r="DO129" s="9"/>
      <c r="DP129" s="9"/>
      <c r="DQ129" s="9"/>
      <c r="DR129" s="9"/>
      <c r="DS129" s="10"/>
      <c r="DT129" s="9"/>
      <c r="DU129" s="9"/>
      <c r="DV129" s="9"/>
      <c r="DW129" s="9"/>
      <c r="DX129" s="9"/>
      <c r="DY129" s="9"/>
      <c r="DZ129" s="9"/>
      <c r="EA129" s="9"/>
      <c r="EB129" s="9"/>
      <c r="EC129" s="9"/>
      <c r="ED129" s="9"/>
      <c r="EE129" s="9"/>
      <c r="EF129" s="9"/>
      <c r="EG129" s="9"/>
      <c r="EH129" s="9"/>
      <c r="EI129" s="9"/>
      <c r="EJ129" s="9"/>
      <c r="EK129" s="9"/>
      <c r="EL129" s="9"/>
      <c r="EM129" s="9"/>
      <c r="EN129" s="9"/>
      <c r="EO129" s="9"/>
      <c r="EP129" s="9"/>
      <c r="EQ129" s="9"/>
      <c r="ER129" s="9"/>
      <c r="ES129" s="9"/>
      <c r="ET129" s="9"/>
      <c r="EU129" s="10"/>
      <c r="EV129" s="9"/>
      <c r="EW129" s="9"/>
      <c r="EX129" s="9"/>
      <c r="EY129" s="9"/>
      <c r="EZ129" s="9"/>
      <c r="FA129" s="9"/>
      <c r="FB129" s="9"/>
      <c r="FC129" s="9"/>
      <c r="FD129" s="9"/>
      <c r="FE129" s="9"/>
      <c r="FF129" s="9"/>
      <c r="FG129" s="9"/>
      <c r="FH129" s="9"/>
      <c r="FI129" s="9"/>
      <c r="FJ129" s="9"/>
      <c r="FK129" s="9"/>
      <c r="FL129" s="9"/>
      <c r="FM129" s="9"/>
      <c r="FN129" s="9"/>
      <c r="FO129" s="9"/>
      <c r="FP129" s="9"/>
      <c r="FQ129" s="9"/>
      <c r="FR129" s="9"/>
      <c r="FS129" s="9"/>
      <c r="FT129" s="9"/>
      <c r="FU129" s="9"/>
      <c r="FV129" s="9"/>
      <c r="FW129" s="10"/>
      <c r="FX129" s="9"/>
      <c r="FY129" s="9"/>
      <c r="FZ129" s="9"/>
      <c r="GA129" s="9"/>
      <c r="GB129" s="9"/>
      <c r="GC129" s="9"/>
      <c r="GD129" s="9"/>
      <c r="GE129" s="9"/>
      <c r="GF129" s="9"/>
      <c r="GG129" s="9"/>
      <c r="GH129" s="9"/>
      <c r="GI129" s="9"/>
      <c r="GJ129" s="9"/>
      <c r="GK129" s="9"/>
      <c r="GL129" s="9"/>
      <c r="GM129" s="9"/>
      <c r="GN129" s="9"/>
      <c r="GO129" s="9"/>
      <c r="GP129" s="9"/>
      <c r="GQ129" s="9"/>
      <c r="GR129" s="9"/>
      <c r="GS129" s="9"/>
      <c r="GT129" s="9"/>
      <c r="GU129" s="9"/>
      <c r="GV129" s="9"/>
      <c r="GW129" s="9"/>
      <c r="GX129" s="9"/>
      <c r="GY129" s="10"/>
      <c r="GZ129" s="9"/>
      <c r="HA129" s="9"/>
    </row>
    <row r="130" spans="1:209" s="2" customFormat="1" ht="17" customHeight="1">
      <c r="A130" s="14" t="s">
        <v>129</v>
      </c>
      <c r="B130" s="35">
        <v>0</v>
      </c>
      <c r="C130" s="35">
        <v>0</v>
      </c>
      <c r="D130" s="4">
        <f t="shared" si="42"/>
        <v>0</v>
      </c>
      <c r="E130" s="11">
        <v>0</v>
      </c>
      <c r="F130" s="5" t="s">
        <v>362</v>
      </c>
      <c r="G130" s="5" t="s">
        <v>362</v>
      </c>
      <c r="H130" s="5" t="s">
        <v>362</v>
      </c>
      <c r="I130" s="5" t="s">
        <v>362</v>
      </c>
      <c r="J130" s="5" t="s">
        <v>362</v>
      </c>
      <c r="K130" s="5" t="s">
        <v>362</v>
      </c>
      <c r="L130" s="5" t="s">
        <v>362</v>
      </c>
      <c r="M130" s="5" t="s">
        <v>362</v>
      </c>
      <c r="N130" s="35">
        <v>330.8</v>
      </c>
      <c r="O130" s="35">
        <v>95.4</v>
      </c>
      <c r="P130" s="4">
        <f t="shared" si="43"/>
        <v>0.28839177750906891</v>
      </c>
      <c r="Q130" s="11">
        <v>20</v>
      </c>
      <c r="R130" s="35">
        <v>352</v>
      </c>
      <c r="S130" s="35">
        <v>368.3</v>
      </c>
      <c r="T130" s="4">
        <f t="shared" si="44"/>
        <v>1.0463068181818183</v>
      </c>
      <c r="U130" s="11">
        <v>40</v>
      </c>
      <c r="V130" s="35">
        <v>14</v>
      </c>
      <c r="W130" s="35">
        <v>14.3</v>
      </c>
      <c r="X130" s="4">
        <f t="shared" si="45"/>
        <v>1.0214285714285716</v>
      </c>
      <c r="Y130" s="11">
        <v>10</v>
      </c>
      <c r="Z130" s="35">
        <v>3562</v>
      </c>
      <c r="AA130" s="35">
        <v>3832</v>
      </c>
      <c r="AB130" s="4">
        <f t="shared" si="46"/>
        <v>1.0758001122964627</v>
      </c>
      <c r="AC130" s="11">
        <v>5</v>
      </c>
      <c r="AD130" s="11">
        <v>494</v>
      </c>
      <c r="AE130" s="11">
        <v>494</v>
      </c>
      <c r="AF130" s="4">
        <f t="shared" si="47"/>
        <v>1</v>
      </c>
      <c r="AG130" s="11">
        <v>20</v>
      </c>
      <c r="AH130" s="5" t="s">
        <v>362</v>
      </c>
      <c r="AI130" s="5" t="s">
        <v>362</v>
      </c>
      <c r="AJ130" s="5" t="s">
        <v>362</v>
      </c>
      <c r="AK130" s="5" t="s">
        <v>362</v>
      </c>
      <c r="AL130" s="5" t="s">
        <v>362</v>
      </c>
      <c r="AM130" s="5" t="s">
        <v>362</v>
      </c>
      <c r="AN130" s="5" t="s">
        <v>362</v>
      </c>
      <c r="AO130" s="5" t="s">
        <v>362</v>
      </c>
      <c r="AP130" s="44">
        <f t="shared" si="56"/>
        <v>0.87593046898128568</v>
      </c>
      <c r="AQ130" s="45">
        <v>1284</v>
      </c>
      <c r="AR130" s="35">
        <f t="shared" si="48"/>
        <v>350.18181818181819</v>
      </c>
      <c r="AS130" s="35">
        <f t="shared" si="49"/>
        <v>306.7</v>
      </c>
      <c r="AT130" s="35">
        <f t="shared" si="50"/>
        <v>-43.481818181818198</v>
      </c>
      <c r="AU130" s="35">
        <v>113.5</v>
      </c>
      <c r="AV130" s="35">
        <v>101.9</v>
      </c>
      <c r="AW130" s="35">
        <f t="shared" si="51"/>
        <v>91.3</v>
      </c>
      <c r="AX130" s="35"/>
      <c r="AY130" s="35">
        <f t="shared" si="52"/>
        <v>91.3</v>
      </c>
      <c r="AZ130" s="35">
        <v>0</v>
      </c>
      <c r="BA130" s="35">
        <f t="shared" si="53"/>
        <v>91.3</v>
      </c>
      <c r="BB130" s="35"/>
      <c r="BC130" s="35">
        <f t="shared" si="54"/>
        <v>91.3</v>
      </c>
      <c r="BD130" s="35">
        <v>87.4</v>
      </c>
      <c r="BE130" s="35">
        <f t="shared" si="55"/>
        <v>3.9</v>
      </c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9"/>
      <c r="BU130" s="9"/>
      <c r="BV130" s="9"/>
      <c r="BW130" s="9"/>
      <c r="BX130" s="9"/>
      <c r="BY130" s="9"/>
      <c r="BZ130" s="9"/>
      <c r="CA130" s="9"/>
      <c r="CB130" s="9"/>
      <c r="CC130" s="9"/>
      <c r="CD130" s="9"/>
      <c r="CE130" s="9"/>
      <c r="CF130" s="9"/>
      <c r="CG130" s="9"/>
      <c r="CH130" s="9"/>
      <c r="CI130" s="9"/>
      <c r="CJ130" s="9"/>
      <c r="CK130" s="9"/>
      <c r="CL130" s="9"/>
      <c r="CM130" s="9"/>
      <c r="CN130" s="9"/>
      <c r="CO130" s="9"/>
      <c r="CP130" s="9"/>
      <c r="CQ130" s="10"/>
      <c r="CR130" s="9"/>
      <c r="CS130" s="9"/>
      <c r="CT130" s="9"/>
      <c r="CU130" s="9"/>
      <c r="CV130" s="9"/>
      <c r="CW130" s="9"/>
      <c r="CX130" s="9"/>
      <c r="CY130" s="9"/>
      <c r="CZ130" s="9"/>
      <c r="DA130" s="9"/>
      <c r="DB130" s="9"/>
      <c r="DC130" s="9"/>
      <c r="DD130" s="9"/>
      <c r="DE130" s="9"/>
      <c r="DF130" s="9"/>
      <c r="DG130" s="9"/>
      <c r="DH130" s="9"/>
      <c r="DI130" s="9"/>
      <c r="DJ130" s="9"/>
      <c r="DK130" s="9"/>
      <c r="DL130" s="9"/>
      <c r="DM130" s="9"/>
      <c r="DN130" s="9"/>
      <c r="DO130" s="9"/>
      <c r="DP130" s="9"/>
      <c r="DQ130" s="9"/>
      <c r="DR130" s="9"/>
      <c r="DS130" s="10"/>
      <c r="DT130" s="9"/>
      <c r="DU130" s="9"/>
      <c r="DV130" s="9"/>
      <c r="DW130" s="9"/>
      <c r="DX130" s="9"/>
      <c r="DY130" s="9"/>
      <c r="DZ130" s="9"/>
      <c r="EA130" s="9"/>
      <c r="EB130" s="9"/>
      <c r="EC130" s="9"/>
      <c r="ED130" s="9"/>
      <c r="EE130" s="9"/>
      <c r="EF130" s="9"/>
      <c r="EG130" s="9"/>
      <c r="EH130" s="9"/>
      <c r="EI130" s="9"/>
      <c r="EJ130" s="9"/>
      <c r="EK130" s="9"/>
      <c r="EL130" s="9"/>
      <c r="EM130" s="9"/>
      <c r="EN130" s="9"/>
      <c r="EO130" s="9"/>
      <c r="EP130" s="9"/>
      <c r="EQ130" s="9"/>
      <c r="ER130" s="9"/>
      <c r="ES130" s="9"/>
      <c r="ET130" s="9"/>
      <c r="EU130" s="10"/>
      <c r="EV130" s="9"/>
      <c r="EW130" s="9"/>
      <c r="EX130" s="9"/>
      <c r="EY130" s="9"/>
      <c r="EZ130" s="9"/>
      <c r="FA130" s="9"/>
      <c r="FB130" s="9"/>
      <c r="FC130" s="9"/>
      <c r="FD130" s="9"/>
      <c r="FE130" s="9"/>
      <c r="FF130" s="9"/>
      <c r="FG130" s="9"/>
      <c r="FH130" s="9"/>
      <c r="FI130" s="9"/>
      <c r="FJ130" s="9"/>
      <c r="FK130" s="9"/>
      <c r="FL130" s="9"/>
      <c r="FM130" s="9"/>
      <c r="FN130" s="9"/>
      <c r="FO130" s="9"/>
      <c r="FP130" s="9"/>
      <c r="FQ130" s="9"/>
      <c r="FR130" s="9"/>
      <c r="FS130" s="9"/>
      <c r="FT130" s="9"/>
      <c r="FU130" s="9"/>
      <c r="FV130" s="9"/>
      <c r="FW130" s="10"/>
      <c r="FX130" s="9"/>
      <c r="FY130" s="9"/>
      <c r="FZ130" s="9"/>
      <c r="GA130" s="9"/>
      <c r="GB130" s="9"/>
      <c r="GC130" s="9"/>
      <c r="GD130" s="9"/>
      <c r="GE130" s="9"/>
      <c r="GF130" s="9"/>
      <c r="GG130" s="9"/>
      <c r="GH130" s="9"/>
      <c r="GI130" s="9"/>
      <c r="GJ130" s="9"/>
      <c r="GK130" s="9"/>
      <c r="GL130" s="9"/>
      <c r="GM130" s="9"/>
      <c r="GN130" s="9"/>
      <c r="GO130" s="9"/>
      <c r="GP130" s="9"/>
      <c r="GQ130" s="9"/>
      <c r="GR130" s="9"/>
      <c r="GS130" s="9"/>
      <c r="GT130" s="9"/>
      <c r="GU130" s="9"/>
      <c r="GV130" s="9"/>
      <c r="GW130" s="9"/>
      <c r="GX130" s="9"/>
      <c r="GY130" s="10"/>
      <c r="GZ130" s="9"/>
      <c r="HA130" s="9"/>
    </row>
    <row r="131" spans="1:209" s="2" customFormat="1" ht="17" customHeight="1">
      <c r="A131" s="14" t="s">
        <v>130</v>
      </c>
      <c r="B131" s="35">
        <v>14225</v>
      </c>
      <c r="C131" s="35">
        <v>15164.3</v>
      </c>
      <c r="D131" s="4">
        <f t="shared" si="42"/>
        <v>1.0660316344463971</v>
      </c>
      <c r="E131" s="11">
        <v>10</v>
      </c>
      <c r="F131" s="5" t="s">
        <v>362</v>
      </c>
      <c r="G131" s="5" t="s">
        <v>362</v>
      </c>
      <c r="H131" s="5" t="s">
        <v>362</v>
      </c>
      <c r="I131" s="5" t="s">
        <v>362</v>
      </c>
      <c r="J131" s="5" t="s">
        <v>362</v>
      </c>
      <c r="K131" s="5" t="s">
        <v>362</v>
      </c>
      <c r="L131" s="5" t="s">
        <v>362</v>
      </c>
      <c r="M131" s="5" t="s">
        <v>362</v>
      </c>
      <c r="N131" s="35">
        <v>1642.2</v>
      </c>
      <c r="O131" s="35">
        <v>1365.4</v>
      </c>
      <c r="P131" s="4">
        <f t="shared" si="43"/>
        <v>0.83144562172695169</v>
      </c>
      <c r="Q131" s="11">
        <v>20</v>
      </c>
      <c r="R131" s="35">
        <v>196</v>
      </c>
      <c r="S131" s="35">
        <v>233.9</v>
      </c>
      <c r="T131" s="4">
        <f t="shared" si="44"/>
        <v>1.1933673469387756</v>
      </c>
      <c r="U131" s="11">
        <v>20</v>
      </c>
      <c r="V131" s="35">
        <v>18</v>
      </c>
      <c r="W131" s="35">
        <v>18.8</v>
      </c>
      <c r="X131" s="4">
        <f t="shared" si="45"/>
        <v>1.0444444444444445</v>
      </c>
      <c r="Y131" s="11">
        <v>30</v>
      </c>
      <c r="Z131" s="35">
        <v>91306</v>
      </c>
      <c r="AA131" s="35">
        <v>92566</v>
      </c>
      <c r="AB131" s="4">
        <f t="shared" si="46"/>
        <v>1.0137997502902329</v>
      </c>
      <c r="AC131" s="11">
        <v>5</v>
      </c>
      <c r="AD131" s="11">
        <v>528</v>
      </c>
      <c r="AE131" s="11">
        <v>541</v>
      </c>
      <c r="AF131" s="4">
        <f t="shared" si="47"/>
        <v>1.0246212121212122</v>
      </c>
      <c r="AG131" s="11">
        <v>20</v>
      </c>
      <c r="AH131" s="5" t="s">
        <v>362</v>
      </c>
      <c r="AI131" s="5" t="s">
        <v>362</v>
      </c>
      <c r="AJ131" s="5" t="s">
        <v>362</v>
      </c>
      <c r="AK131" s="5" t="s">
        <v>362</v>
      </c>
      <c r="AL131" s="5" t="s">
        <v>362</v>
      </c>
      <c r="AM131" s="5" t="s">
        <v>362</v>
      </c>
      <c r="AN131" s="5" t="s">
        <v>362</v>
      </c>
      <c r="AO131" s="5" t="s">
        <v>362</v>
      </c>
      <c r="AP131" s="44">
        <f t="shared" si="56"/>
        <v>1.0290603051903549</v>
      </c>
      <c r="AQ131" s="45">
        <v>1440</v>
      </c>
      <c r="AR131" s="35">
        <f t="shared" si="48"/>
        <v>392.72727272727275</v>
      </c>
      <c r="AS131" s="35">
        <f t="shared" si="49"/>
        <v>404.1</v>
      </c>
      <c r="AT131" s="35">
        <f t="shared" si="50"/>
        <v>11.372727272727275</v>
      </c>
      <c r="AU131" s="35">
        <v>129.80000000000001</v>
      </c>
      <c r="AV131" s="35">
        <v>131</v>
      </c>
      <c r="AW131" s="35">
        <f t="shared" si="51"/>
        <v>143.30000000000001</v>
      </c>
      <c r="AX131" s="35"/>
      <c r="AY131" s="35">
        <f t="shared" si="52"/>
        <v>143.30000000000001</v>
      </c>
      <c r="AZ131" s="35">
        <v>0</v>
      </c>
      <c r="BA131" s="35">
        <f t="shared" si="53"/>
        <v>143.30000000000001</v>
      </c>
      <c r="BB131" s="35"/>
      <c r="BC131" s="35">
        <f t="shared" si="54"/>
        <v>143.30000000000001</v>
      </c>
      <c r="BD131" s="35">
        <v>143.6</v>
      </c>
      <c r="BE131" s="35">
        <f t="shared" si="55"/>
        <v>-0.3</v>
      </c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9"/>
      <c r="BU131" s="9"/>
      <c r="BV131" s="9"/>
      <c r="BW131" s="9"/>
      <c r="BX131" s="9"/>
      <c r="BY131" s="9"/>
      <c r="BZ131" s="9"/>
      <c r="CA131" s="9"/>
      <c r="CB131" s="9"/>
      <c r="CC131" s="9"/>
      <c r="CD131" s="9"/>
      <c r="CE131" s="9"/>
      <c r="CF131" s="9"/>
      <c r="CG131" s="9"/>
      <c r="CH131" s="9"/>
      <c r="CI131" s="9"/>
      <c r="CJ131" s="9"/>
      <c r="CK131" s="9"/>
      <c r="CL131" s="9"/>
      <c r="CM131" s="9"/>
      <c r="CN131" s="9"/>
      <c r="CO131" s="9"/>
      <c r="CP131" s="9"/>
      <c r="CQ131" s="10"/>
      <c r="CR131" s="9"/>
      <c r="CS131" s="9"/>
      <c r="CT131" s="9"/>
      <c r="CU131" s="9"/>
      <c r="CV131" s="9"/>
      <c r="CW131" s="9"/>
      <c r="CX131" s="9"/>
      <c r="CY131" s="9"/>
      <c r="CZ131" s="9"/>
      <c r="DA131" s="9"/>
      <c r="DB131" s="9"/>
      <c r="DC131" s="9"/>
      <c r="DD131" s="9"/>
      <c r="DE131" s="9"/>
      <c r="DF131" s="9"/>
      <c r="DG131" s="9"/>
      <c r="DH131" s="9"/>
      <c r="DI131" s="9"/>
      <c r="DJ131" s="9"/>
      <c r="DK131" s="9"/>
      <c r="DL131" s="9"/>
      <c r="DM131" s="9"/>
      <c r="DN131" s="9"/>
      <c r="DO131" s="9"/>
      <c r="DP131" s="9"/>
      <c r="DQ131" s="9"/>
      <c r="DR131" s="9"/>
      <c r="DS131" s="10"/>
      <c r="DT131" s="9"/>
      <c r="DU131" s="9"/>
      <c r="DV131" s="9"/>
      <c r="DW131" s="9"/>
      <c r="DX131" s="9"/>
      <c r="DY131" s="9"/>
      <c r="DZ131" s="9"/>
      <c r="EA131" s="9"/>
      <c r="EB131" s="9"/>
      <c r="EC131" s="9"/>
      <c r="ED131" s="9"/>
      <c r="EE131" s="9"/>
      <c r="EF131" s="9"/>
      <c r="EG131" s="9"/>
      <c r="EH131" s="9"/>
      <c r="EI131" s="9"/>
      <c r="EJ131" s="9"/>
      <c r="EK131" s="9"/>
      <c r="EL131" s="9"/>
      <c r="EM131" s="9"/>
      <c r="EN131" s="9"/>
      <c r="EO131" s="9"/>
      <c r="EP131" s="9"/>
      <c r="EQ131" s="9"/>
      <c r="ER131" s="9"/>
      <c r="ES131" s="9"/>
      <c r="ET131" s="9"/>
      <c r="EU131" s="10"/>
      <c r="EV131" s="9"/>
      <c r="EW131" s="9"/>
      <c r="EX131" s="9"/>
      <c r="EY131" s="9"/>
      <c r="EZ131" s="9"/>
      <c r="FA131" s="9"/>
      <c r="FB131" s="9"/>
      <c r="FC131" s="9"/>
      <c r="FD131" s="9"/>
      <c r="FE131" s="9"/>
      <c r="FF131" s="9"/>
      <c r="FG131" s="9"/>
      <c r="FH131" s="9"/>
      <c r="FI131" s="9"/>
      <c r="FJ131" s="9"/>
      <c r="FK131" s="9"/>
      <c r="FL131" s="9"/>
      <c r="FM131" s="9"/>
      <c r="FN131" s="9"/>
      <c r="FO131" s="9"/>
      <c r="FP131" s="9"/>
      <c r="FQ131" s="9"/>
      <c r="FR131" s="9"/>
      <c r="FS131" s="9"/>
      <c r="FT131" s="9"/>
      <c r="FU131" s="9"/>
      <c r="FV131" s="9"/>
      <c r="FW131" s="10"/>
      <c r="FX131" s="9"/>
      <c r="FY131" s="9"/>
      <c r="FZ131" s="9"/>
      <c r="GA131" s="9"/>
      <c r="GB131" s="9"/>
      <c r="GC131" s="9"/>
      <c r="GD131" s="9"/>
      <c r="GE131" s="9"/>
      <c r="GF131" s="9"/>
      <c r="GG131" s="9"/>
      <c r="GH131" s="9"/>
      <c r="GI131" s="9"/>
      <c r="GJ131" s="9"/>
      <c r="GK131" s="9"/>
      <c r="GL131" s="9"/>
      <c r="GM131" s="9"/>
      <c r="GN131" s="9"/>
      <c r="GO131" s="9"/>
      <c r="GP131" s="9"/>
      <c r="GQ131" s="9"/>
      <c r="GR131" s="9"/>
      <c r="GS131" s="9"/>
      <c r="GT131" s="9"/>
      <c r="GU131" s="9"/>
      <c r="GV131" s="9"/>
      <c r="GW131" s="9"/>
      <c r="GX131" s="9"/>
      <c r="GY131" s="10"/>
      <c r="GZ131" s="9"/>
      <c r="HA131" s="9"/>
    </row>
    <row r="132" spans="1:209" s="2" customFormat="1" ht="17" customHeight="1">
      <c r="A132" s="14" t="s">
        <v>131</v>
      </c>
      <c r="B132" s="35">
        <v>0</v>
      </c>
      <c r="C132" s="35">
        <v>0</v>
      </c>
      <c r="D132" s="4">
        <f t="shared" si="42"/>
        <v>0</v>
      </c>
      <c r="E132" s="11">
        <v>0</v>
      </c>
      <c r="F132" s="5" t="s">
        <v>362</v>
      </c>
      <c r="G132" s="5" t="s">
        <v>362</v>
      </c>
      <c r="H132" s="5" t="s">
        <v>362</v>
      </c>
      <c r="I132" s="5" t="s">
        <v>362</v>
      </c>
      <c r="J132" s="5" t="s">
        <v>362</v>
      </c>
      <c r="K132" s="5" t="s">
        <v>362</v>
      </c>
      <c r="L132" s="5" t="s">
        <v>362</v>
      </c>
      <c r="M132" s="5" t="s">
        <v>362</v>
      </c>
      <c r="N132" s="35">
        <v>956.6</v>
      </c>
      <c r="O132" s="35">
        <v>600.6</v>
      </c>
      <c r="P132" s="4">
        <f t="shared" si="43"/>
        <v>0.62784863056659002</v>
      </c>
      <c r="Q132" s="11">
        <v>20</v>
      </c>
      <c r="R132" s="35">
        <v>215</v>
      </c>
      <c r="S132" s="35">
        <v>212.3</v>
      </c>
      <c r="T132" s="4">
        <f t="shared" si="44"/>
        <v>0.98744186046511628</v>
      </c>
      <c r="U132" s="11">
        <v>20</v>
      </c>
      <c r="V132" s="35">
        <v>24</v>
      </c>
      <c r="W132" s="35">
        <v>17.5</v>
      </c>
      <c r="X132" s="4">
        <f t="shared" si="45"/>
        <v>0.72916666666666663</v>
      </c>
      <c r="Y132" s="11">
        <v>10</v>
      </c>
      <c r="Z132" s="35">
        <v>2227</v>
      </c>
      <c r="AA132" s="35">
        <v>2440</v>
      </c>
      <c r="AB132" s="4">
        <f t="shared" si="46"/>
        <v>1.0956443646160754</v>
      </c>
      <c r="AC132" s="11">
        <v>5</v>
      </c>
      <c r="AD132" s="11">
        <v>399</v>
      </c>
      <c r="AE132" s="11">
        <v>399</v>
      </c>
      <c r="AF132" s="4">
        <f t="shared" si="47"/>
        <v>1</v>
      </c>
      <c r="AG132" s="11">
        <v>20</v>
      </c>
      <c r="AH132" s="5" t="s">
        <v>362</v>
      </c>
      <c r="AI132" s="5" t="s">
        <v>362</v>
      </c>
      <c r="AJ132" s="5" t="s">
        <v>362</v>
      </c>
      <c r="AK132" s="5" t="s">
        <v>362</v>
      </c>
      <c r="AL132" s="5" t="s">
        <v>362</v>
      </c>
      <c r="AM132" s="5" t="s">
        <v>362</v>
      </c>
      <c r="AN132" s="5" t="s">
        <v>362</v>
      </c>
      <c r="AO132" s="5" t="s">
        <v>362</v>
      </c>
      <c r="AP132" s="44">
        <f t="shared" si="56"/>
        <v>0.86767597747174896</v>
      </c>
      <c r="AQ132" s="45">
        <v>1210</v>
      </c>
      <c r="AR132" s="35">
        <f t="shared" si="48"/>
        <v>330</v>
      </c>
      <c r="AS132" s="35">
        <f t="shared" si="49"/>
        <v>286.3</v>
      </c>
      <c r="AT132" s="35">
        <f t="shared" si="50"/>
        <v>-43.699999999999989</v>
      </c>
      <c r="AU132" s="35">
        <v>67.400000000000006</v>
      </c>
      <c r="AV132" s="35">
        <v>94.2</v>
      </c>
      <c r="AW132" s="35">
        <f t="shared" si="51"/>
        <v>124.7</v>
      </c>
      <c r="AX132" s="35"/>
      <c r="AY132" s="35">
        <f t="shared" si="52"/>
        <v>124.7</v>
      </c>
      <c r="AZ132" s="35">
        <v>0</v>
      </c>
      <c r="BA132" s="35">
        <f t="shared" si="53"/>
        <v>124.7</v>
      </c>
      <c r="BB132" s="35">
        <f>MIN(BA132,31.1)</f>
        <v>31.1</v>
      </c>
      <c r="BC132" s="35">
        <f t="shared" si="54"/>
        <v>93.6</v>
      </c>
      <c r="BD132" s="35">
        <v>88.3</v>
      </c>
      <c r="BE132" s="35">
        <f t="shared" si="55"/>
        <v>5.3</v>
      </c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9"/>
      <c r="BU132" s="9"/>
      <c r="BV132" s="9"/>
      <c r="BW132" s="9"/>
      <c r="BX132" s="9"/>
      <c r="BY132" s="9"/>
      <c r="BZ132" s="9"/>
      <c r="CA132" s="9"/>
      <c r="CB132" s="9"/>
      <c r="CC132" s="9"/>
      <c r="CD132" s="9"/>
      <c r="CE132" s="9"/>
      <c r="CF132" s="9"/>
      <c r="CG132" s="9"/>
      <c r="CH132" s="9"/>
      <c r="CI132" s="9"/>
      <c r="CJ132" s="9"/>
      <c r="CK132" s="9"/>
      <c r="CL132" s="9"/>
      <c r="CM132" s="9"/>
      <c r="CN132" s="9"/>
      <c r="CO132" s="9"/>
      <c r="CP132" s="9"/>
      <c r="CQ132" s="10"/>
      <c r="CR132" s="9"/>
      <c r="CS132" s="9"/>
      <c r="CT132" s="9"/>
      <c r="CU132" s="9"/>
      <c r="CV132" s="9"/>
      <c r="CW132" s="9"/>
      <c r="CX132" s="9"/>
      <c r="CY132" s="9"/>
      <c r="CZ132" s="9"/>
      <c r="DA132" s="9"/>
      <c r="DB132" s="9"/>
      <c r="DC132" s="9"/>
      <c r="DD132" s="9"/>
      <c r="DE132" s="9"/>
      <c r="DF132" s="9"/>
      <c r="DG132" s="9"/>
      <c r="DH132" s="9"/>
      <c r="DI132" s="9"/>
      <c r="DJ132" s="9"/>
      <c r="DK132" s="9"/>
      <c r="DL132" s="9"/>
      <c r="DM132" s="9"/>
      <c r="DN132" s="9"/>
      <c r="DO132" s="9"/>
      <c r="DP132" s="9"/>
      <c r="DQ132" s="9"/>
      <c r="DR132" s="9"/>
      <c r="DS132" s="10"/>
      <c r="DT132" s="9"/>
      <c r="DU132" s="9"/>
      <c r="DV132" s="9"/>
      <c r="DW132" s="9"/>
      <c r="DX132" s="9"/>
      <c r="DY132" s="9"/>
      <c r="DZ132" s="9"/>
      <c r="EA132" s="9"/>
      <c r="EB132" s="9"/>
      <c r="EC132" s="9"/>
      <c r="ED132" s="9"/>
      <c r="EE132" s="9"/>
      <c r="EF132" s="9"/>
      <c r="EG132" s="9"/>
      <c r="EH132" s="9"/>
      <c r="EI132" s="9"/>
      <c r="EJ132" s="9"/>
      <c r="EK132" s="9"/>
      <c r="EL132" s="9"/>
      <c r="EM132" s="9"/>
      <c r="EN132" s="9"/>
      <c r="EO132" s="9"/>
      <c r="EP132" s="9"/>
      <c r="EQ132" s="9"/>
      <c r="ER132" s="9"/>
      <c r="ES132" s="9"/>
      <c r="ET132" s="9"/>
      <c r="EU132" s="10"/>
      <c r="EV132" s="9"/>
      <c r="EW132" s="9"/>
      <c r="EX132" s="9"/>
      <c r="EY132" s="9"/>
      <c r="EZ132" s="9"/>
      <c r="FA132" s="9"/>
      <c r="FB132" s="9"/>
      <c r="FC132" s="9"/>
      <c r="FD132" s="9"/>
      <c r="FE132" s="9"/>
      <c r="FF132" s="9"/>
      <c r="FG132" s="9"/>
      <c r="FH132" s="9"/>
      <c r="FI132" s="9"/>
      <c r="FJ132" s="9"/>
      <c r="FK132" s="9"/>
      <c r="FL132" s="9"/>
      <c r="FM132" s="9"/>
      <c r="FN132" s="9"/>
      <c r="FO132" s="9"/>
      <c r="FP132" s="9"/>
      <c r="FQ132" s="9"/>
      <c r="FR132" s="9"/>
      <c r="FS132" s="9"/>
      <c r="FT132" s="9"/>
      <c r="FU132" s="9"/>
      <c r="FV132" s="9"/>
      <c r="FW132" s="10"/>
      <c r="FX132" s="9"/>
      <c r="FY132" s="9"/>
      <c r="FZ132" s="9"/>
      <c r="GA132" s="9"/>
      <c r="GB132" s="9"/>
      <c r="GC132" s="9"/>
      <c r="GD132" s="9"/>
      <c r="GE132" s="9"/>
      <c r="GF132" s="9"/>
      <c r="GG132" s="9"/>
      <c r="GH132" s="9"/>
      <c r="GI132" s="9"/>
      <c r="GJ132" s="9"/>
      <c r="GK132" s="9"/>
      <c r="GL132" s="9"/>
      <c r="GM132" s="9"/>
      <c r="GN132" s="9"/>
      <c r="GO132" s="9"/>
      <c r="GP132" s="9"/>
      <c r="GQ132" s="9"/>
      <c r="GR132" s="9"/>
      <c r="GS132" s="9"/>
      <c r="GT132" s="9"/>
      <c r="GU132" s="9"/>
      <c r="GV132" s="9"/>
      <c r="GW132" s="9"/>
      <c r="GX132" s="9"/>
      <c r="GY132" s="10"/>
      <c r="GZ132" s="9"/>
      <c r="HA132" s="9"/>
    </row>
    <row r="133" spans="1:209" s="2" customFormat="1" ht="17" customHeight="1">
      <c r="A133" s="14" t="s">
        <v>132</v>
      </c>
      <c r="B133" s="35">
        <v>0</v>
      </c>
      <c r="C133" s="35">
        <v>0</v>
      </c>
      <c r="D133" s="4">
        <f t="shared" si="42"/>
        <v>0</v>
      </c>
      <c r="E133" s="11">
        <v>0</v>
      </c>
      <c r="F133" s="5" t="s">
        <v>362</v>
      </c>
      <c r="G133" s="5" t="s">
        <v>362</v>
      </c>
      <c r="H133" s="5" t="s">
        <v>362</v>
      </c>
      <c r="I133" s="5" t="s">
        <v>362</v>
      </c>
      <c r="J133" s="5" t="s">
        <v>362</v>
      </c>
      <c r="K133" s="5" t="s">
        <v>362</v>
      </c>
      <c r="L133" s="5" t="s">
        <v>362</v>
      </c>
      <c r="M133" s="5" t="s">
        <v>362</v>
      </c>
      <c r="N133" s="35">
        <v>144.19999999999999</v>
      </c>
      <c r="O133" s="35">
        <v>36.200000000000003</v>
      </c>
      <c r="P133" s="4">
        <f t="shared" si="43"/>
        <v>0.25104022191400838</v>
      </c>
      <c r="Q133" s="11">
        <v>20</v>
      </c>
      <c r="R133" s="35">
        <v>205</v>
      </c>
      <c r="S133" s="35">
        <v>234.3</v>
      </c>
      <c r="T133" s="4">
        <f t="shared" si="44"/>
        <v>1.1429268292682928</v>
      </c>
      <c r="U133" s="11">
        <v>35</v>
      </c>
      <c r="V133" s="35">
        <v>11</v>
      </c>
      <c r="W133" s="35">
        <v>13.1</v>
      </c>
      <c r="X133" s="4">
        <f t="shared" si="45"/>
        <v>1.1909090909090909</v>
      </c>
      <c r="Y133" s="11">
        <v>15</v>
      </c>
      <c r="Z133" s="35">
        <v>2424</v>
      </c>
      <c r="AA133" s="35">
        <v>3231</v>
      </c>
      <c r="AB133" s="4">
        <f t="shared" si="46"/>
        <v>1.2132920792079207</v>
      </c>
      <c r="AC133" s="11">
        <v>5</v>
      </c>
      <c r="AD133" s="11">
        <v>367</v>
      </c>
      <c r="AE133" s="11">
        <v>345</v>
      </c>
      <c r="AF133" s="4">
        <f t="shared" si="47"/>
        <v>0.94005449591280654</v>
      </c>
      <c r="AG133" s="11">
        <v>20</v>
      </c>
      <c r="AH133" s="5" t="s">
        <v>362</v>
      </c>
      <c r="AI133" s="5" t="s">
        <v>362</v>
      </c>
      <c r="AJ133" s="5" t="s">
        <v>362</v>
      </c>
      <c r="AK133" s="5" t="s">
        <v>362</v>
      </c>
      <c r="AL133" s="5" t="s">
        <v>362</v>
      </c>
      <c r="AM133" s="5" t="s">
        <v>362</v>
      </c>
      <c r="AN133" s="5" t="s">
        <v>362</v>
      </c>
      <c r="AO133" s="5" t="s">
        <v>362</v>
      </c>
      <c r="AP133" s="44">
        <f t="shared" si="56"/>
        <v>0.92373084358528967</v>
      </c>
      <c r="AQ133" s="45">
        <v>1908</v>
      </c>
      <c r="AR133" s="35">
        <f t="shared" si="48"/>
        <v>520.36363636363637</v>
      </c>
      <c r="AS133" s="35">
        <f t="shared" si="49"/>
        <v>480.7</v>
      </c>
      <c r="AT133" s="35">
        <f t="shared" si="50"/>
        <v>-39.663636363636385</v>
      </c>
      <c r="AU133" s="35">
        <v>149.30000000000001</v>
      </c>
      <c r="AV133" s="35">
        <v>206.9</v>
      </c>
      <c r="AW133" s="35">
        <f t="shared" si="51"/>
        <v>124.5</v>
      </c>
      <c r="AX133" s="35"/>
      <c r="AY133" s="35">
        <f t="shared" si="52"/>
        <v>124.5</v>
      </c>
      <c r="AZ133" s="35">
        <v>0</v>
      </c>
      <c r="BA133" s="35">
        <f t="shared" si="53"/>
        <v>124.5</v>
      </c>
      <c r="BB133" s="35">
        <f>MIN(BA133,83.9)</f>
        <v>83.9</v>
      </c>
      <c r="BC133" s="35">
        <f t="shared" si="54"/>
        <v>40.6</v>
      </c>
      <c r="BD133" s="35">
        <v>32.200000000000003</v>
      </c>
      <c r="BE133" s="35">
        <f t="shared" si="55"/>
        <v>8.4</v>
      </c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9"/>
      <c r="BU133" s="9"/>
      <c r="BV133" s="9"/>
      <c r="BW133" s="9"/>
      <c r="BX133" s="9"/>
      <c r="BY133" s="9"/>
      <c r="BZ133" s="9"/>
      <c r="CA133" s="9"/>
      <c r="CB133" s="9"/>
      <c r="CC133" s="9"/>
      <c r="CD133" s="9"/>
      <c r="CE133" s="9"/>
      <c r="CF133" s="9"/>
      <c r="CG133" s="9"/>
      <c r="CH133" s="9"/>
      <c r="CI133" s="9"/>
      <c r="CJ133" s="9"/>
      <c r="CK133" s="9"/>
      <c r="CL133" s="9"/>
      <c r="CM133" s="9"/>
      <c r="CN133" s="9"/>
      <c r="CO133" s="9"/>
      <c r="CP133" s="9"/>
      <c r="CQ133" s="10"/>
      <c r="CR133" s="9"/>
      <c r="CS133" s="9"/>
      <c r="CT133" s="9"/>
      <c r="CU133" s="9"/>
      <c r="CV133" s="9"/>
      <c r="CW133" s="9"/>
      <c r="CX133" s="9"/>
      <c r="CY133" s="9"/>
      <c r="CZ133" s="9"/>
      <c r="DA133" s="9"/>
      <c r="DB133" s="9"/>
      <c r="DC133" s="9"/>
      <c r="DD133" s="9"/>
      <c r="DE133" s="9"/>
      <c r="DF133" s="9"/>
      <c r="DG133" s="9"/>
      <c r="DH133" s="9"/>
      <c r="DI133" s="9"/>
      <c r="DJ133" s="9"/>
      <c r="DK133" s="9"/>
      <c r="DL133" s="9"/>
      <c r="DM133" s="9"/>
      <c r="DN133" s="9"/>
      <c r="DO133" s="9"/>
      <c r="DP133" s="9"/>
      <c r="DQ133" s="9"/>
      <c r="DR133" s="9"/>
      <c r="DS133" s="10"/>
      <c r="DT133" s="9"/>
      <c r="DU133" s="9"/>
      <c r="DV133" s="9"/>
      <c r="DW133" s="9"/>
      <c r="DX133" s="9"/>
      <c r="DY133" s="9"/>
      <c r="DZ133" s="9"/>
      <c r="EA133" s="9"/>
      <c r="EB133" s="9"/>
      <c r="EC133" s="9"/>
      <c r="ED133" s="9"/>
      <c r="EE133" s="9"/>
      <c r="EF133" s="9"/>
      <c r="EG133" s="9"/>
      <c r="EH133" s="9"/>
      <c r="EI133" s="9"/>
      <c r="EJ133" s="9"/>
      <c r="EK133" s="9"/>
      <c r="EL133" s="9"/>
      <c r="EM133" s="9"/>
      <c r="EN133" s="9"/>
      <c r="EO133" s="9"/>
      <c r="EP133" s="9"/>
      <c r="EQ133" s="9"/>
      <c r="ER133" s="9"/>
      <c r="ES133" s="9"/>
      <c r="ET133" s="9"/>
      <c r="EU133" s="10"/>
      <c r="EV133" s="9"/>
      <c r="EW133" s="9"/>
      <c r="EX133" s="9"/>
      <c r="EY133" s="9"/>
      <c r="EZ133" s="9"/>
      <c r="FA133" s="9"/>
      <c r="FB133" s="9"/>
      <c r="FC133" s="9"/>
      <c r="FD133" s="9"/>
      <c r="FE133" s="9"/>
      <c r="FF133" s="9"/>
      <c r="FG133" s="9"/>
      <c r="FH133" s="9"/>
      <c r="FI133" s="9"/>
      <c r="FJ133" s="9"/>
      <c r="FK133" s="9"/>
      <c r="FL133" s="9"/>
      <c r="FM133" s="9"/>
      <c r="FN133" s="9"/>
      <c r="FO133" s="9"/>
      <c r="FP133" s="9"/>
      <c r="FQ133" s="9"/>
      <c r="FR133" s="9"/>
      <c r="FS133" s="9"/>
      <c r="FT133" s="9"/>
      <c r="FU133" s="9"/>
      <c r="FV133" s="9"/>
      <c r="FW133" s="10"/>
      <c r="FX133" s="9"/>
      <c r="FY133" s="9"/>
      <c r="FZ133" s="9"/>
      <c r="GA133" s="9"/>
      <c r="GB133" s="9"/>
      <c r="GC133" s="9"/>
      <c r="GD133" s="9"/>
      <c r="GE133" s="9"/>
      <c r="GF133" s="9"/>
      <c r="GG133" s="9"/>
      <c r="GH133" s="9"/>
      <c r="GI133" s="9"/>
      <c r="GJ133" s="9"/>
      <c r="GK133" s="9"/>
      <c r="GL133" s="9"/>
      <c r="GM133" s="9"/>
      <c r="GN133" s="9"/>
      <c r="GO133" s="9"/>
      <c r="GP133" s="9"/>
      <c r="GQ133" s="9"/>
      <c r="GR133" s="9"/>
      <c r="GS133" s="9"/>
      <c r="GT133" s="9"/>
      <c r="GU133" s="9"/>
      <c r="GV133" s="9"/>
      <c r="GW133" s="9"/>
      <c r="GX133" s="9"/>
      <c r="GY133" s="10"/>
      <c r="GZ133" s="9"/>
      <c r="HA133" s="9"/>
    </row>
    <row r="134" spans="1:209" s="2" customFormat="1" ht="17" customHeight="1">
      <c r="A134" s="14" t="s">
        <v>133</v>
      </c>
      <c r="B134" s="35">
        <v>1599</v>
      </c>
      <c r="C134" s="35">
        <v>1235</v>
      </c>
      <c r="D134" s="4">
        <f t="shared" si="42"/>
        <v>0.77235772357723576</v>
      </c>
      <c r="E134" s="11">
        <v>10</v>
      </c>
      <c r="F134" s="5" t="s">
        <v>362</v>
      </c>
      <c r="G134" s="5" t="s">
        <v>362</v>
      </c>
      <c r="H134" s="5" t="s">
        <v>362</v>
      </c>
      <c r="I134" s="5" t="s">
        <v>362</v>
      </c>
      <c r="J134" s="5" t="s">
        <v>362</v>
      </c>
      <c r="K134" s="5" t="s">
        <v>362</v>
      </c>
      <c r="L134" s="5" t="s">
        <v>362</v>
      </c>
      <c r="M134" s="5" t="s">
        <v>362</v>
      </c>
      <c r="N134" s="35">
        <v>817</v>
      </c>
      <c r="O134" s="35">
        <v>463</v>
      </c>
      <c r="P134" s="4">
        <f t="shared" si="43"/>
        <v>0.56670746634026925</v>
      </c>
      <c r="Q134" s="11">
        <v>20</v>
      </c>
      <c r="R134" s="35">
        <v>643</v>
      </c>
      <c r="S134" s="35">
        <v>689.8</v>
      </c>
      <c r="T134" s="4">
        <f t="shared" si="44"/>
        <v>1.0727838258164852</v>
      </c>
      <c r="U134" s="11">
        <v>35</v>
      </c>
      <c r="V134" s="35">
        <v>27</v>
      </c>
      <c r="W134" s="35">
        <v>48.4</v>
      </c>
      <c r="X134" s="4">
        <f t="shared" si="45"/>
        <v>1.2592592592592593</v>
      </c>
      <c r="Y134" s="11">
        <v>15</v>
      </c>
      <c r="Z134" s="35">
        <v>5593</v>
      </c>
      <c r="AA134" s="35">
        <v>6590</v>
      </c>
      <c r="AB134" s="4">
        <f t="shared" si="46"/>
        <v>1.1782585374575363</v>
      </c>
      <c r="AC134" s="11">
        <v>5</v>
      </c>
      <c r="AD134" s="11">
        <v>786</v>
      </c>
      <c r="AE134" s="11">
        <v>793</v>
      </c>
      <c r="AF134" s="4">
        <f t="shared" si="47"/>
        <v>1.0089058524173029</v>
      </c>
      <c r="AG134" s="11">
        <v>20</v>
      </c>
      <c r="AH134" s="5" t="s">
        <v>362</v>
      </c>
      <c r="AI134" s="5" t="s">
        <v>362</v>
      </c>
      <c r="AJ134" s="5" t="s">
        <v>362</v>
      </c>
      <c r="AK134" s="5" t="s">
        <v>362</v>
      </c>
      <c r="AL134" s="5" t="s">
        <v>362</v>
      </c>
      <c r="AM134" s="5" t="s">
        <v>362</v>
      </c>
      <c r="AN134" s="5" t="s">
        <v>362</v>
      </c>
      <c r="AO134" s="5" t="s">
        <v>362</v>
      </c>
      <c r="AP134" s="44">
        <f t="shared" si="56"/>
        <v>0.96727103895883193</v>
      </c>
      <c r="AQ134" s="45">
        <v>621</v>
      </c>
      <c r="AR134" s="35">
        <f t="shared" si="48"/>
        <v>169.36363636363637</v>
      </c>
      <c r="AS134" s="35">
        <f t="shared" si="49"/>
        <v>163.80000000000001</v>
      </c>
      <c r="AT134" s="35">
        <f t="shared" si="50"/>
        <v>-5.5636363636363626</v>
      </c>
      <c r="AU134" s="35">
        <v>50.8</v>
      </c>
      <c r="AV134" s="35">
        <v>62.7</v>
      </c>
      <c r="AW134" s="35">
        <f t="shared" si="51"/>
        <v>50.3</v>
      </c>
      <c r="AX134" s="35"/>
      <c r="AY134" s="35">
        <f t="shared" si="52"/>
        <v>50.3</v>
      </c>
      <c r="AZ134" s="35">
        <v>0</v>
      </c>
      <c r="BA134" s="35">
        <f t="shared" si="53"/>
        <v>50.3</v>
      </c>
      <c r="BB134" s="35">
        <f>MIN(BA134,23.3)</f>
        <v>23.3</v>
      </c>
      <c r="BC134" s="35">
        <f t="shared" si="54"/>
        <v>27</v>
      </c>
      <c r="BD134" s="35">
        <v>25.2</v>
      </c>
      <c r="BE134" s="35">
        <f t="shared" si="55"/>
        <v>1.8</v>
      </c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9"/>
      <c r="BU134" s="9"/>
      <c r="BV134" s="9"/>
      <c r="BW134" s="9"/>
      <c r="BX134" s="9"/>
      <c r="BY134" s="9"/>
      <c r="BZ134" s="9"/>
      <c r="CA134" s="9"/>
      <c r="CB134" s="9"/>
      <c r="CC134" s="9"/>
      <c r="CD134" s="9"/>
      <c r="CE134" s="9"/>
      <c r="CF134" s="9"/>
      <c r="CG134" s="9"/>
      <c r="CH134" s="9"/>
      <c r="CI134" s="9"/>
      <c r="CJ134" s="9"/>
      <c r="CK134" s="9"/>
      <c r="CL134" s="9"/>
      <c r="CM134" s="9"/>
      <c r="CN134" s="9"/>
      <c r="CO134" s="9"/>
      <c r="CP134" s="9"/>
      <c r="CQ134" s="10"/>
      <c r="CR134" s="9"/>
      <c r="CS134" s="9"/>
      <c r="CT134" s="9"/>
      <c r="CU134" s="9"/>
      <c r="CV134" s="9"/>
      <c r="CW134" s="9"/>
      <c r="CX134" s="9"/>
      <c r="CY134" s="9"/>
      <c r="CZ134" s="9"/>
      <c r="DA134" s="9"/>
      <c r="DB134" s="9"/>
      <c r="DC134" s="9"/>
      <c r="DD134" s="9"/>
      <c r="DE134" s="9"/>
      <c r="DF134" s="9"/>
      <c r="DG134" s="9"/>
      <c r="DH134" s="9"/>
      <c r="DI134" s="9"/>
      <c r="DJ134" s="9"/>
      <c r="DK134" s="9"/>
      <c r="DL134" s="9"/>
      <c r="DM134" s="9"/>
      <c r="DN134" s="9"/>
      <c r="DO134" s="9"/>
      <c r="DP134" s="9"/>
      <c r="DQ134" s="9"/>
      <c r="DR134" s="9"/>
      <c r="DS134" s="10"/>
      <c r="DT134" s="9"/>
      <c r="DU134" s="9"/>
      <c r="DV134" s="9"/>
      <c r="DW134" s="9"/>
      <c r="DX134" s="9"/>
      <c r="DY134" s="9"/>
      <c r="DZ134" s="9"/>
      <c r="EA134" s="9"/>
      <c r="EB134" s="9"/>
      <c r="EC134" s="9"/>
      <c r="ED134" s="9"/>
      <c r="EE134" s="9"/>
      <c r="EF134" s="9"/>
      <c r="EG134" s="9"/>
      <c r="EH134" s="9"/>
      <c r="EI134" s="9"/>
      <c r="EJ134" s="9"/>
      <c r="EK134" s="9"/>
      <c r="EL134" s="9"/>
      <c r="EM134" s="9"/>
      <c r="EN134" s="9"/>
      <c r="EO134" s="9"/>
      <c r="EP134" s="9"/>
      <c r="EQ134" s="9"/>
      <c r="ER134" s="9"/>
      <c r="ES134" s="9"/>
      <c r="ET134" s="9"/>
      <c r="EU134" s="10"/>
      <c r="EV134" s="9"/>
      <c r="EW134" s="9"/>
      <c r="EX134" s="9"/>
      <c r="EY134" s="9"/>
      <c r="EZ134" s="9"/>
      <c r="FA134" s="9"/>
      <c r="FB134" s="9"/>
      <c r="FC134" s="9"/>
      <c r="FD134" s="9"/>
      <c r="FE134" s="9"/>
      <c r="FF134" s="9"/>
      <c r="FG134" s="9"/>
      <c r="FH134" s="9"/>
      <c r="FI134" s="9"/>
      <c r="FJ134" s="9"/>
      <c r="FK134" s="9"/>
      <c r="FL134" s="9"/>
      <c r="FM134" s="9"/>
      <c r="FN134" s="9"/>
      <c r="FO134" s="9"/>
      <c r="FP134" s="9"/>
      <c r="FQ134" s="9"/>
      <c r="FR134" s="9"/>
      <c r="FS134" s="9"/>
      <c r="FT134" s="9"/>
      <c r="FU134" s="9"/>
      <c r="FV134" s="9"/>
      <c r="FW134" s="10"/>
      <c r="FX134" s="9"/>
      <c r="FY134" s="9"/>
      <c r="FZ134" s="9"/>
      <c r="GA134" s="9"/>
      <c r="GB134" s="9"/>
      <c r="GC134" s="9"/>
      <c r="GD134" s="9"/>
      <c r="GE134" s="9"/>
      <c r="GF134" s="9"/>
      <c r="GG134" s="9"/>
      <c r="GH134" s="9"/>
      <c r="GI134" s="9"/>
      <c r="GJ134" s="9"/>
      <c r="GK134" s="9"/>
      <c r="GL134" s="9"/>
      <c r="GM134" s="9"/>
      <c r="GN134" s="9"/>
      <c r="GO134" s="9"/>
      <c r="GP134" s="9"/>
      <c r="GQ134" s="9"/>
      <c r="GR134" s="9"/>
      <c r="GS134" s="9"/>
      <c r="GT134" s="9"/>
      <c r="GU134" s="9"/>
      <c r="GV134" s="9"/>
      <c r="GW134" s="9"/>
      <c r="GX134" s="9"/>
      <c r="GY134" s="10"/>
      <c r="GZ134" s="9"/>
      <c r="HA134" s="9"/>
    </row>
    <row r="135" spans="1:209" s="2" customFormat="1" ht="17" customHeight="1">
      <c r="A135" s="14" t="s">
        <v>134</v>
      </c>
      <c r="B135" s="35">
        <v>0</v>
      </c>
      <c r="C135" s="35">
        <v>0</v>
      </c>
      <c r="D135" s="4">
        <f t="shared" si="42"/>
        <v>0</v>
      </c>
      <c r="E135" s="11">
        <v>0</v>
      </c>
      <c r="F135" s="5" t="s">
        <v>362</v>
      </c>
      <c r="G135" s="5" t="s">
        <v>362</v>
      </c>
      <c r="H135" s="5" t="s">
        <v>362</v>
      </c>
      <c r="I135" s="5" t="s">
        <v>362</v>
      </c>
      <c r="J135" s="5" t="s">
        <v>362</v>
      </c>
      <c r="K135" s="5" t="s">
        <v>362</v>
      </c>
      <c r="L135" s="5" t="s">
        <v>362</v>
      </c>
      <c r="M135" s="5" t="s">
        <v>362</v>
      </c>
      <c r="N135" s="35">
        <v>985.6</v>
      </c>
      <c r="O135" s="35">
        <v>848.3</v>
      </c>
      <c r="P135" s="4">
        <f t="shared" si="43"/>
        <v>0.86069399350649345</v>
      </c>
      <c r="Q135" s="11">
        <v>20</v>
      </c>
      <c r="R135" s="35">
        <v>1031</v>
      </c>
      <c r="S135" s="35">
        <v>1165.9000000000001</v>
      </c>
      <c r="T135" s="4">
        <f t="shared" si="44"/>
        <v>1.130843840931135</v>
      </c>
      <c r="U135" s="11">
        <v>35</v>
      </c>
      <c r="V135" s="35">
        <v>37</v>
      </c>
      <c r="W135" s="35">
        <v>37.4</v>
      </c>
      <c r="X135" s="4">
        <f t="shared" si="45"/>
        <v>1.0108108108108107</v>
      </c>
      <c r="Y135" s="11">
        <v>15</v>
      </c>
      <c r="Z135" s="35">
        <v>3310</v>
      </c>
      <c r="AA135" s="35">
        <v>4307</v>
      </c>
      <c r="AB135" s="4">
        <f t="shared" si="46"/>
        <v>1.2101208459214501</v>
      </c>
      <c r="AC135" s="11">
        <v>5</v>
      </c>
      <c r="AD135" s="11">
        <v>1224</v>
      </c>
      <c r="AE135" s="11">
        <v>1307</v>
      </c>
      <c r="AF135" s="4">
        <f t="shared" si="47"/>
        <v>1.0678104575163399</v>
      </c>
      <c r="AG135" s="11">
        <v>20</v>
      </c>
      <c r="AH135" s="5" t="s">
        <v>362</v>
      </c>
      <c r="AI135" s="5" t="s">
        <v>362</v>
      </c>
      <c r="AJ135" s="5" t="s">
        <v>362</v>
      </c>
      <c r="AK135" s="5" t="s">
        <v>362</v>
      </c>
      <c r="AL135" s="5" t="s">
        <v>362</v>
      </c>
      <c r="AM135" s="5" t="s">
        <v>362</v>
      </c>
      <c r="AN135" s="5" t="s">
        <v>362</v>
      </c>
      <c r="AO135" s="5" t="s">
        <v>362</v>
      </c>
      <c r="AP135" s="44">
        <f t="shared" si="56"/>
        <v>1.0459198931033242</v>
      </c>
      <c r="AQ135" s="45">
        <v>1211</v>
      </c>
      <c r="AR135" s="35">
        <f t="shared" si="48"/>
        <v>330.27272727272725</v>
      </c>
      <c r="AS135" s="35">
        <f t="shared" si="49"/>
        <v>345.4</v>
      </c>
      <c r="AT135" s="35">
        <f t="shared" si="50"/>
        <v>15.127272727272725</v>
      </c>
      <c r="AU135" s="35">
        <v>103.1</v>
      </c>
      <c r="AV135" s="35">
        <v>108.7</v>
      </c>
      <c r="AW135" s="35">
        <f t="shared" si="51"/>
        <v>133.6</v>
      </c>
      <c r="AX135" s="35"/>
      <c r="AY135" s="35">
        <f t="shared" si="52"/>
        <v>133.6</v>
      </c>
      <c r="AZ135" s="35">
        <v>0</v>
      </c>
      <c r="BA135" s="35">
        <f t="shared" si="53"/>
        <v>133.6</v>
      </c>
      <c r="BB135" s="35"/>
      <c r="BC135" s="35">
        <f t="shared" si="54"/>
        <v>133.6</v>
      </c>
      <c r="BD135" s="35">
        <v>130.6</v>
      </c>
      <c r="BE135" s="35">
        <f t="shared" si="55"/>
        <v>3</v>
      </c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9"/>
      <c r="BU135" s="9"/>
      <c r="BV135" s="9"/>
      <c r="BW135" s="9"/>
      <c r="BX135" s="9"/>
      <c r="BY135" s="9"/>
      <c r="BZ135" s="9"/>
      <c r="CA135" s="9"/>
      <c r="CB135" s="9"/>
      <c r="CC135" s="9"/>
      <c r="CD135" s="9"/>
      <c r="CE135" s="9"/>
      <c r="CF135" s="9"/>
      <c r="CG135" s="9"/>
      <c r="CH135" s="9"/>
      <c r="CI135" s="9"/>
      <c r="CJ135" s="9"/>
      <c r="CK135" s="9"/>
      <c r="CL135" s="9"/>
      <c r="CM135" s="9"/>
      <c r="CN135" s="9"/>
      <c r="CO135" s="9"/>
      <c r="CP135" s="9"/>
      <c r="CQ135" s="10"/>
      <c r="CR135" s="9"/>
      <c r="CS135" s="9"/>
      <c r="CT135" s="9"/>
      <c r="CU135" s="9"/>
      <c r="CV135" s="9"/>
      <c r="CW135" s="9"/>
      <c r="CX135" s="9"/>
      <c r="CY135" s="9"/>
      <c r="CZ135" s="9"/>
      <c r="DA135" s="9"/>
      <c r="DB135" s="9"/>
      <c r="DC135" s="9"/>
      <c r="DD135" s="9"/>
      <c r="DE135" s="9"/>
      <c r="DF135" s="9"/>
      <c r="DG135" s="9"/>
      <c r="DH135" s="9"/>
      <c r="DI135" s="9"/>
      <c r="DJ135" s="9"/>
      <c r="DK135" s="9"/>
      <c r="DL135" s="9"/>
      <c r="DM135" s="9"/>
      <c r="DN135" s="9"/>
      <c r="DO135" s="9"/>
      <c r="DP135" s="9"/>
      <c r="DQ135" s="9"/>
      <c r="DR135" s="9"/>
      <c r="DS135" s="10"/>
      <c r="DT135" s="9"/>
      <c r="DU135" s="9"/>
      <c r="DV135" s="9"/>
      <c r="DW135" s="9"/>
      <c r="DX135" s="9"/>
      <c r="DY135" s="9"/>
      <c r="DZ135" s="9"/>
      <c r="EA135" s="9"/>
      <c r="EB135" s="9"/>
      <c r="EC135" s="9"/>
      <c r="ED135" s="9"/>
      <c r="EE135" s="9"/>
      <c r="EF135" s="9"/>
      <c r="EG135" s="9"/>
      <c r="EH135" s="9"/>
      <c r="EI135" s="9"/>
      <c r="EJ135" s="9"/>
      <c r="EK135" s="9"/>
      <c r="EL135" s="9"/>
      <c r="EM135" s="9"/>
      <c r="EN135" s="9"/>
      <c r="EO135" s="9"/>
      <c r="EP135" s="9"/>
      <c r="EQ135" s="9"/>
      <c r="ER135" s="9"/>
      <c r="ES135" s="9"/>
      <c r="ET135" s="9"/>
      <c r="EU135" s="10"/>
      <c r="EV135" s="9"/>
      <c r="EW135" s="9"/>
      <c r="EX135" s="9"/>
      <c r="EY135" s="9"/>
      <c r="EZ135" s="9"/>
      <c r="FA135" s="9"/>
      <c r="FB135" s="9"/>
      <c r="FC135" s="9"/>
      <c r="FD135" s="9"/>
      <c r="FE135" s="9"/>
      <c r="FF135" s="9"/>
      <c r="FG135" s="9"/>
      <c r="FH135" s="9"/>
      <c r="FI135" s="9"/>
      <c r="FJ135" s="9"/>
      <c r="FK135" s="9"/>
      <c r="FL135" s="9"/>
      <c r="FM135" s="9"/>
      <c r="FN135" s="9"/>
      <c r="FO135" s="9"/>
      <c r="FP135" s="9"/>
      <c r="FQ135" s="9"/>
      <c r="FR135" s="9"/>
      <c r="FS135" s="9"/>
      <c r="FT135" s="9"/>
      <c r="FU135" s="9"/>
      <c r="FV135" s="9"/>
      <c r="FW135" s="10"/>
      <c r="FX135" s="9"/>
      <c r="FY135" s="9"/>
      <c r="FZ135" s="9"/>
      <c r="GA135" s="9"/>
      <c r="GB135" s="9"/>
      <c r="GC135" s="9"/>
      <c r="GD135" s="9"/>
      <c r="GE135" s="9"/>
      <c r="GF135" s="9"/>
      <c r="GG135" s="9"/>
      <c r="GH135" s="9"/>
      <c r="GI135" s="9"/>
      <c r="GJ135" s="9"/>
      <c r="GK135" s="9"/>
      <c r="GL135" s="9"/>
      <c r="GM135" s="9"/>
      <c r="GN135" s="9"/>
      <c r="GO135" s="9"/>
      <c r="GP135" s="9"/>
      <c r="GQ135" s="9"/>
      <c r="GR135" s="9"/>
      <c r="GS135" s="9"/>
      <c r="GT135" s="9"/>
      <c r="GU135" s="9"/>
      <c r="GV135" s="9"/>
      <c r="GW135" s="9"/>
      <c r="GX135" s="9"/>
      <c r="GY135" s="10"/>
      <c r="GZ135" s="9"/>
      <c r="HA135" s="9"/>
    </row>
    <row r="136" spans="1:209" s="2" customFormat="1" ht="17" customHeight="1">
      <c r="A136" s="14" t="s">
        <v>135</v>
      </c>
      <c r="B136" s="35">
        <v>0</v>
      </c>
      <c r="C136" s="35">
        <v>0</v>
      </c>
      <c r="D136" s="4">
        <f t="shared" si="42"/>
        <v>0</v>
      </c>
      <c r="E136" s="11">
        <v>0</v>
      </c>
      <c r="F136" s="5" t="s">
        <v>362</v>
      </c>
      <c r="G136" s="5" t="s">
        <v>362</v>
      </c>
      <c r="H136" s="5" t="s">
        <v>362</v>
      </c>
      <c r="I136" s="5" t="s">
        <v>362</v>
      </c>
      <c r="J136" s="5" t="s">
        <v>362</v>
      </c>
      <c r="K136" s="5" t="s">
        <v>362</v>
      </c>
      <c r="L136" s="5" t="s">
        <v>362</v>
      </c>
      <c r="M136" s="5" t="s">
        <v>362</v>
      </c>
      <c r="N136" s="35">
        <v>552</v>
      </c>
      <c r="O136" s="35">
        <v>420.5</v>
      </c>
      <c r="P136" s="4">
        <f t="shared" si="43"/>
        <v>0.76177536231884058</v>
      </c>
      <c r="Q136" s="11">
        <v>20</v>
      </c>
      <c r="R136" s="35">
        <v>16</v>
      </c>
      <c r="S136" s="35">
        <v>6.5</v>
      </c>
      <c r="T136" s="4">
        <f t="shared" si="44"/>
        <v>0.40625</v>
      </c>
      <c r="U136" s="11">
        <v>25</v>
      </c>
      <c r="V136" s="35">
        <v>1</v>
      </c>
      <c r="W136" s="35">
        <v>1.1000000000000001</v>
      </c>
      <c r="X136" s="4">
        <f t="shared" si="45"/>
        <v>1.1000000000000001</v>
      </c>
      <c r="Y136" s="11">
        <v>25</v>
      </c>
      <c r="Z136" s="35">
        <v>3319</v>
      </c>
      <c r="AA136" s="35">
        <v>3952</v>
      </c>
      <c r="AB136" s="4">
        <f t="shared" si="46"/>
        <v>1.1907200964145828</v>
      </c>
      <c r="AC136" s="11">
        <v>5</v>
      </c>
      <c r="AD136" s="11">
        <v>111</v>
      </c>
      <c r="AE136" s="11">
        <v>111</v>
      </c>
      <c r="AF136" s="4">
        <f t="shared" si="47"/>
        <v>1</v>
      </c>
      <c r="AG136" s="11">
        <v>20</v>
      </c>
      <c r="AH136" s="5" t="s">
        <v>362</v>
      </c>
      <c r="AI136" s="5" t="s">
        <v>362</v>
      </c>
      <c r="AJ136" s="5" t="s">
        <v>362</v>
      </c>
      <c r="AK136" s="5" t="s">
        <v>362</v>
      </c>
      <c r="AL136" s="5" t="s">
        <v>362</v>
      </c>
      <c r="AM136" s="5" t="s">
        <v>362</v>
      </c>
      <c r="AN136" s="5" t="s">
        <v>362</v>
      </c>
      <c r="AO136" s="5" t="s">
        <v>362</v>
      </c>
      <c r="AP136" s="44">
        <f t="shared" si="56"/>
        <v>0.82995113398368137</v>
      </c>
      <c r="AQ136" s="45">
        <v>683</v>
      </c>
      <c r="AR136" s="35">
        <f t="shared" si="48"/>
        <v>186.27272727272728</v>
      </c>
      <c r="AS136" s="35">
        <f t="shared" si="49"/>
        <v>154.6</v>
      </c>
      <c r="AT136" s="35">
        <f t="shared" si="50"/>
        <v>-31.672727272727286</v>
      </c>
      <c r="AU136" s="35">
        <v>30.4</v>
      </c>
      <c r="AV136" s="35">
        <v>49.5</v>
      </c>
      <c r="AW136" s="35">
        <f t="shared" si="51"/>
        <v>74.7</v>
      </c>
      <c r="AX136" s="35"/>
      <c r="AY136" s="35">
        <f t="shared" si="52"/>
        <v>74.7</v>
      </c>
      <c r="AZ136" s="35">
        <v>0</v>
      </c>
      <c r="BA136" s="35">
        <f t="shared" si="53"/>
        <v>74.7</v>
      </c>
      <c r="BB136" s="35"/>
      <c r="BC136" s="35">
        <f t="shared" si="54"/>
        <v>74.7</v>
      </c>
      <c r="BD136" s="35">
        <v>71</v>
      </c>
      <c r="BE136" s="35">
        <f t="shared" si="55"/>
        <v>3.7</v>
      </c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9"/>
      <c r="BU136" s="9"/>
      <c r="BV136" s="9"/>
      <c r="BW136" s="9"/>
      <c r="BX136" s="9"/>
      <c r="BY136" s="9"/>
      <c r="BZ136" s="9"/>
      <c r="CA136" s="9"/>
      <c r="CB136" s="9"/>
      <c r="CC136" s="9"/>
      <c r="CD136" s="9"/>
      <c r="CE136" s="9"/>
      <c r="CF136" s="9"/>
      <c r="CG136" s="9"/>
      <c r="CH136" s="9"/>
      <c r="CI136" s="9"/>
      <c r="CJ136" s="9"/>
      <c r="CK136" s="9"/>
      <c r="CL136" s="9"/>
      <c r="CM136" s="9"/>
      <c r="CN136" s="9"/>
      <c r="CO136" s="9"/>
      <c r="CP136" s="9"/>
      <c r="CQ136" s="10"/>
      <c r="CR136" s="9"/>
      <c r="CS136" s="9"/>
      <c r="CT136" s="9"/>
      <c r="CU136" s="9"/>
      <c r="CV136" s="9"/>
      <c r="CW136" s="9"/>
      <c r="CX136" s="9"/>
      <c r="CY136" s="9"/>
      <c r="CZ136" s="9"/>
      <c r="DA136" s="9"/>
      <c r="DB136" s="9"/>
      <c r="DC136" s="9"/>
      <c r="DD136" s="9"/>
      <c r="DE136" s="9"/>
      <c r="DF136" s="9"/>
      <c r="DG136" s="9"/>
      <c r="DH136" s="9"/>
      <c r="DI136" s="9"/>
      <c r="DJ136" s="9"/>
      <c r="DK136" s="9"/>
      <c r="DL136" s="9"/>
      <c r="DM136" s="9"/>
      <c r="DN136" s="9"/>
      <c r="DO136" s="9"/>
      <c r="DP136" s="9"/>
      <c r="DQ136" s="9"/>
      <c r="DR136" s="9"/>
      <c r="DS136" s="10"/>
      <c r="DT136" s="9"/>
      <c r="DU136" s="9"/>
      <c r="DV136" s="9"/>
      <c r="DW136" s="9"/>
      <c r="DX136" s="9"/>
      <c r="DY136" s="9"/>
      <c r="DZ136" s="9"/>
      <c r="EA136" s="9"/>
      <c r="EB136" s="9"/>
      <c r="EC136" s="9"/>
      <c r="ED136" s="9"/>
      <c r="EE136" s="9"/>
      <c r="EF136" s="9"/>
      <c r="EG136" s="9"/>
      <c r="EH136" s="9"/>
      <c r="EI136" s="9"/>
      <c r="EJ136" s="9"/>
      <c r="EK136" s="9"/>
      <c r="EL136" s="9"/>
      <c r="EM136" s="9"/>
      <c r="EN136" s="9"/>
      <c r="EO136" s="9"/>
      <c r="EP136" s="9"/>
      <c r="EQ136" s="9"/>
      <c r="ER136" s="9"/>
      <c r="ES136" s="9"/>
      <c r="ET136" s="9"/>
      <c r="EU136" s="10"/>
      <c r="EV136" s="9"/>
      <c r="EW136" s="9"/>
      <c r="EX136" s="9"/>
      <c r="EY136" s="9"/>
      <c r="EZ136" s="9"/>
      <c r="FA136" s="9"/>
      <c r="FB136" s="9"/>
      <c r="FC136" s="9"/>
      <c r="FD136" s="9"/>
      <c r="FE136" s="9"/>
      <c r="FF136" s="9"/>
      <c r="FG136" s="9"/>
      <c r="FH136" s="9"/>
      <c r="FI136" s="9"/>
      <c r="FJ136" s="9"/>
      <c r="FK136" s="9"/>
      <c r="FL136" s="9"/>
      <c r="FM136" s="9"/>
      <c r="FN136" s="9"/>
      <c r="FO136" s="9"/>
      <c r="FP136" s="9"/>
      <c r="FQ136" s="9"/>
      <c r="FR136" s="9"/>
      <c r="FS136" s="9"/>
      <c r="FT136" s="9"/>
      <c r="FU136" s="9"/>
      <c r="FV136" s="9"/>
      <c r="FW136" s="10"/>
      <c r="FX136" s="9"/>
      <c r="FY136" s="9"/>
      <c r="FZ136" s="9"/>
      <c r="GA136" s="9"/>
      <c r="GB136" s="9"/>
      <c r="GC136" s="9"/>
      <c r="GD136" s="9"/>
      <c r="GE136" s="9"/>
      <c r="GF136" s="9"/>
      <c r="GG136" s="9"/>
      <c r="GH136" s="9"/>
      <c r="GI136" s="9"/>
      <c r="GJ136" s="9"/>
      <c r="GK136" s="9"/>
      <c r="GL136" s="9"/>
      <c r="GM136" s="9"/>
      <c r="GN136" s="9"/>
      <c r="GO136" s="9"/>
      <c r="GP136" s="9"/>
      <c r="GQ136" s="9"/>
      <c r="GR136" s="9"/>
      <c r="GS136" s="9"/>
      <c r="GT136" s="9"/>
      <c r="GU136" s="9"/>
      <c r="GV136" s="9"/>
      <c r="GW136" s="9"/>
      <c r="GX136" s="9"/>
      <c r="GY136" s="10"/>
      <c r="GZ136" s="9"/>
      <c r="HA136" s="9"/>
    </row>
    <row r="137" spans="1:209" s="2" customFormat="1" ht="17" customHeight="1">
      <c r="A137" s="18" t="s">
        <v>136</v>
      </c>
      <c r="B137" s="6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35"/>
      <c r="AA137" s="35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  <c r="AX137" s="11"/>
      <c r="AY137" s="11"/>
      <c r="AZ137" s="11"/>
      <c r="BA137" s="11"/>
      <c r="BB137" s="11"/>
      <c r="BC137" s="35"/>
      <c r="BD137" s="35"/>
      <c r="BE137" s="35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9"/>
      <c r="BU137" s="9"/>
      <c r="BV137" s="9"/>
      <c r="BW137" s="9"/>
      <c r="BX137" s="9"/>
      <c r="BY137" s="9"/>
      <c r="BZ137" s="9"/>
      <c r="CA137" s="9"/>
      <c r="CB137" s="9"/>
      <c r="CC137" s="9"/>
      <c r="CD137" s="9"/>
      <c r="CE137" s="9"/>
      <c r="CF137" s="9"/>
      <c r="CG137" s="9"/>
      <c r="CH137" s="9"/>
      <c r="CI137" s="9"/>
      <c r="CJ137" s="9"/>
      <c r="CK137" s="9"/>
      <c r="CL137" s="9"/>
      <c r="CM137" s="9"/>
      <c r="CN137" s="9"/>
      <c r="CO137" s="9"/>
      <c r="CP137" s="9"/>
      <c r="CQ137" s="10"/>
      <c r="CR137" s="9"/>
      <c r="CS137" s="9"/>
      <c r="CT137" s="9"/>
      <c r="CU137" s="9"/>
      <c r="CV137" s="9"/>
      <c r="CW137" s="9"/>
      <c r="CX137" s="9"/>
      <c r="CY137" s="9"/>
      <c r="CZ137" s="9"/>
      <c r="DA137" s="9"/>
      <c r="DB137" s="9"/>
      <c r="DC137" s="9"/>
      <c r="DD137" s="9"/>
      <c r="DE137" s="9"/>
      <c r="DF137" s="9"/>
      <c r="DG137" s="9"/>
      <c r="DH137" s="9"/>
      <c r="DI137" s="9"/>
      <c r="DJ137" s="9"/>
      <c r="DK137" s="9"/>
      <c r="DL137" s="9"/>
      <c r="DM137" s="9"/>
      <c r="DN137" s="9"/>
      <c r="DO137" s="9"/>
      <c r="DP137" s="9"/>
      <c r="DQ137" s="9"/>
      <c r="DR137" s="9"/>
      <c r="DS137" s="10"/>
      <c r="DT137" s="9"/>
      <c r="DU137" s="9"/>
      <c r="DV137" s="9"/>
      <c r="DW137" s="9"/>
      <c r="DX137" s="9"/>
      <c r="DY137" s="9"/>
      <c r="DZ137" s="9"/>
      <c r="EA137" s="9"/>
      <c r="EB137" s="9"/>
      <c r="EC137" s="9"/>
      <c r="ED137" s="9"/>
      <c r="EE137" s="9"/>
      <c r="EF137" s="9"/>
      <c r="EG137" s="9"/>
      <c r="EH137" s="9"/>
      <c r="EI137" s="9"/>
      <c r="EJ137" s="9"/>
      <c r="EK137" s="9"/>
      <c r="EL137" s="9"/>
      <c r="EM137" s="9"/>
      <c r="EN137" s="9"/>
      <c r="EO137" s="9"/>
      <c r="EP137" s="9"/>
      <c r="EQ137" s="9"/>
      <c r="ER137" s="9"/>
      <c r="ES137" s="9"/>
      <c r="ET137" s="9"/>
      <c r="EU137" s="10"/>
      <c r="EV137" s="9"/>
      <c r="EW137" s="9"/>
      <c r="EX137" s="9"/>
      <c r="EY137" s="9"/>
      <c r="EZ137" s="9"/>
      <c r="FA137" s="9"/>
      <c r="FB137" s="9"/>
      <c r="FC137" s="9"/>
      <c r="FD137" s="9"/>
      <c r="FE137" s="9"/>
      <c r="FF137" s="9"/>
      <c r="FG137" s="9"/>
      <c r="FH137" s="9"/>
      <c r="FI137" s="9"/>
      <c r="FJ137" s="9"/>
      <c r="FK137" s="9"/>
      <c r="FL137" s="9"/>
      <c r="FM137" s="9"/>
      <c r="FN137" s="9"/>
      <c r="FO137" s="9"/>
      <c r="FP137" s="9"/>
      <c r="FQ137" s="9"/>
      <c r="FR137" s="9"/>
      <c r="FS137" s="9"/>
      <c r="FT137" s="9"/>
      <c r="FU137" s="9"/>
      <c r="FV137" s="9"/>
      <c r="FW137" s="10"/>
      <c r="FX137" s="9"/>
      <c r="FY137" s="9"/>
      <c r="FZ137" s="9"/>
      <c r="GA137" s="9"/>
      <c r="GB137" s="9"/>
      <c r="GC137" s="9"/>
      <c r="GD137" s="9"/>
      <c r="GE137" s="9"/>
      <c r="GF137" s="9"/>
      <c r="GG137" s="9"/>
      <c r="GH137" s="9"/>
      <c r="GI137" s="9"/>
      <c r="GJ137" s="9"/>
      <c r="GK137" s="9"/>
      <c r="GL137" s="9"/>
      <c r="GM137" s="9"/>
      <c r="GN137" s="9"/>
      <c r="GO137" s="9"/>
      <c r="GP137" s="9"/>
      <c r="GQ137" s="9"/>
      <c r="GR137" s="9"/>
      <c r="GS137" s="9"/>
      <c r="GT137" s="9"/>
      <c r="GU137" s="9"/>
      <c r="GV137" s="9"/>
      <c r="GW137" s="9"/>
      <c r="GX137" s="9"/>
      <c r="GY137" s="10"/>
      <c r="GZ137" s="9"/>
      <c r="HA137" s="9"/>
    </row>
    <row r="138" spans="1:209" s="2" customFormat="1" ht="17" customHeight="1">
      <c r="A138" s="14" t="s">
        <v>137</v>
      </c>
      <c r="B138" s="35">
        <v>0</v>
      </c>
      <c r="C138" s="35">
        <v>0</v>
      </c>
      <c r="D138" s="4">
        <f t="shared" si="42"/>
        <v>0</v>
      </c>
      <c r="E138" s="11">
        <v>0</v>
      </c>
      <c r="F138" s="5" t="s">
        <v>362</v>
      </c>
      <c r="G138" s="5" t="s">
        <v>362</v>
      </c>
      <c r="H138" s="5" t="s">
        <v>362</v>
      </c>
      <c r="I138" s="5" t="s">
        <v>362</v>
      </c>
      <c r="J138" s="5" t="s">
        <v>362</v>
      </c>
      <c r="K138" s="5" t="s">
        <v>362</v>
      </c>
      <c r="L138" s="5" t="s">
        <v>362</v>
      </c>
      <c r="M138" s="5" t="s">
        <v>362</v>
      </c>
      <c r="N138" s="35">
        <v>27.6</v>
      </c>
      <c r="O138" s="35">
        <v>633.70000000000005</v>
      </c>
      <c r="P138" s="4">
        <f t="shared" si="43"/>
        <v>1.3</v>
      </c>
      <c r="Q138" s="11">
        <v>20</v>
      </c>
      <c r="R138" s="35">
        <v>7</v>
      </c>
      <c r="S138" s="35">
        <v>7</v>
      </c>
      <c r="T138" s="4">
        <f t="shared" si="44"/>
        <v>1</v>
      </c>
      <c r="U138" s="11">
        <v>30</v>
      </c>
      <c r="V138" s="35">
        <v>2.1</v>
      </c>
      <c r="W138" s="35">
        <v>2.2000000000000002</v>
      </c>
      <c r="X138" s="4">
        <f t="shared" si="45"/>
        <v>1.0476190476190477</v>
      </c>
      <c r="Y138" s="11">
        <v>20</v>
      </c>
      <c r="Z138" s="35">
        <v>4560</v>
      </c>
      <c r="AA138" s="35">
        <v>4343</v>
      </c>
      <c r="AB138" s="4">
        <f t="shared" si="46"/>
        <v>0.95241228070175443</v>
      </c>
      <c r="AC138" s="11">
        <v>5</v>
      </c>
      <c r="AD138" s="11">
        <v>110</v>
      </c>
      <c r="AE138" s="11">
        <v>83</v>
      </c>
      <c r="AF138" s="4">
        <f t="shared" si="47"/>
        <v>0.75454545454545452</v>
      </c>
      <c r="AG138" s="11">
        <v>20</v>
      </c>
      <c r="AH138" s="5" t="s">
        <v>362</v>
      </c>
      <c r="AI138" s="5" t="s">
        <v>362</v>
      </c>
      <c r="AJ138" s="5" t="s">
        <v>362</v>
      </c>
      <c r="AK138" s="5" t="s">
        <v>362</v>
      </c>
      <c r="AL138" s="5" t="s">
        <v>362</v>
      </c>
      <c r="AM138" s="5" t="s">
        <v>362</v>
      </c>
      <c r="AN138" s="5" t="s">
        <v>362</v>
      </c>
      <c r="AO138" s="5" t="s">
        <v>362</v>
      </c>
      <c r="AP138" s="44">
        <f t="shared" si="56"/>
        <v>1.0190036994399874</v>
      </c>
      <c r="AQ138" s="45">
        <v>947</v>
      </c>
      <c r="AR138" s="35">
        <f t="shared" si="48"/>
        <v>258.27272727272725</v>
      </c>
      <c r="AS138" s="35">
        <f t="shared" si="49"/>
        <v>263.2</v>
      </c>
      <c r="AT138" s="35">
        <f t="shared" si="50"/>
        <v>4.9272727272727366</v>
      </c>
      <c r="AU138" s="35">
        <v>91.1</v>
      </c>
      <c r="AV138" s="35">
        <v>96.3</v>
      </c>
      <c r="AW138" s="35">
        <f t="shared" si="51"/>
        <v>75.8</v>
      </c>
      <c r="AX138" s="35"/>
      <c r="AY138" s="35">
        <f t="shared" si="52"/>
        <v>75.8</v>
      </c>
      <c r="AZ138" s="35">
        <v>0</v>
      </c>
      <c r="BA138" s="35">
        <f t="shared" si="53"/>
        <v>75.8</v>
      </c>
      <c r="BB138" s="35"/>
      <c r="BC138" s="35">
        <f t="shared" si="54"/>
        <v>75.8</v>
      </c>
      <c r="BD138" s="35">
        <v>76.7</v>
      </c>
      <c r="BE138" s="35">
        <f t="shared" si="55"/>
        <v>-0.9</v>
      </c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9"/>
      <c r="BU138" s="9"/>
      <c r="BV138" s="9"/>
      <c r="BW138" s="9"/>
      <c r="BX138" s="9"/>
      <c r="BY138" s="9"/>
      <c r="BZ138" s="9"/>
      <c r="CA138" s="9"/>
      <c r="CB138" s="9"/>
      <c r="CC138" s="9"/>
      <c r="CD138" s="9"/>
      <c r="CE138" s="9"/>
      <c r="CF138" s="9"/>
      <c r="CG138" s="9"/>
      <c r="CH138" s="9"/>
      <c r="CI138" s="9"/>
      <c r="CJ138" s="9"/>
      <c r="CK138" s="9"/>
      <c r="CL138" s="9"/>
      <c r="CM138" s="9"/>
      <c r="CN138" s="9"/>
      <c r="CO138" s="9"/>
      <c r="CP138" s="9"/>
      <c r="CQ138" s="10"/>
      <c r="CR138" s="9"/>
      <c r="CS138" s="9"/>
      <c r="CT138" s="9"/>
      <c r="CU138" s="9"/>
      <c r="CV138" s="9"/>
      <c r="CW138" s="9"/>
      <c r="CX138" s="9"/>
      <c r="CY138" s="9"/>
      <c r="CZ138" s="9"/>
      <c r="DA138" s="9"/>
      <c r="DB138" s="9"/>
      <c r="DC138" s="9"/>
      <c r="DD138" s="9"/>
      <c r="DE138" s="9"/>
      <c r="DF138" s="9"/>
      <c r="DG138" s="9"/>
      <c r="DH138" s="9"/>
      <c r="DI138" s="9"/>
      <c r="DJ138" s="9"/>
      <c r="DK138" s="9"/>
      <c r="DL138" s="9"/>
      <c r="DM138" s="9"/>
      <c r="DN138" s="9"/>
      <c r="DO138" s="9"/>
      <c r="DP138" s="9"/>
      <c r="DQ138" s="9"/>
      <c r="DR138" s="9"/>
      <c r="DS138" s="10"/>
      <c r="DT138" s="9"/>
      <c r="DU138" s="9"/>
      <c r="DV138" s="9"/>
      <c r="DW138" s="9"/>
      <c r="DX138" s="9"/>
      <c r="DY138" s="9"/>
      <c r="DZ138" s="9"/>
      <c r="EA138" s="9"/>
      <c r="EB138" s="9"/>
      <c r="EC138" s="9"/>
      <c r="ED138" s="9"/>
      <c r="EE138" s="9"/>
      <c r="EF138" s="9"/>
      <c r="EG138" s="9"/>
      <c r="EH138" s="9"/>
      <c r="EI138" s="9"/>
      <c r="EJ138" s="9"/>
      <c r="EK138" s="9"/>
      <c r="EL138" s="9"/>
      <c r="EM138" s="9"/>
      <c r="EN138" s="9"/>
      <c r="EO138" s="9"/>
      <c r="EP138" s="9"/>
      <c r="EQ138" s="9"/>
      <c r="ER138" s="9"/>
      <c r="ES138" s="9"/>
      <c r="ET138" s="9"/>
      <c r="EU138" s="10"/>
      <c r="EV138" s="9"/>
      <c r="EW138" s="9"/>
      <c r="EX138" s="9"/>
      <c r="EY138" s="9"/>
      <c r="EZ138" s="9"/>
      <c r="FA138" s="9"/>
      <c r="FB138" s="9"/>
      <c r="FC138" s="9"/>
      <c r="FD138" s="9"/>
      <c r="FE138" s="9"/>
      <c r="FF138" s="9"/>
      <c r="FG138" s="9"/>
      <c r="FH138" s="9"/>
      <c r="FI138" s="9"/>
      <c r="FJ138" s="9"/>
      <c r="FK138" s="9"/>
      <c r="FL138" s="9"/>
      <c r="FM138" s="9"/>
      <c r="FN138" s="9"/>
      <c r="FO138" s="9"/>
      <c r="FP138" s="9"/>
      <c r="FQ138" s="9"/>
      <c r="FR138" s="9"/>
      <c r="FS138" s="9"/>
      <c r="FT138" s="9"/>
      <c r="FU138" s="9"/>
      <c r="FV138" s="9"/>
      <c r="FW138" s="10"/>
      <c r="FX138" s="9"/>
      <c r="FY138" s="9"/>
      <c r="FZ138" s="9"/>
      <c r="GA138" s="9"/>
      <c r="GB138" s="9"/>
      <c r="GC138" s="9"/>
      <c r="GD138" s="9"/>
      <c r="GE138" s="9"/>
      <c r="GF138" s="9"/>
      <c r="GG138" s="9"/>
      <c r="GH138" s="9"/>
      <c r="GI138" s="9"/>
      <c r="GJ138" s="9"/>
      <c r="GK138" s="9"/>
      <c r="GL138" s="9"/>
      <c r="GM138" s="9"/>
      <c r="GN138" s="9"/>
      <c r="GO138" s="9"/>
      <c r="GP138" s="9"/>
      <c r="GQ138" s="9"/>
      <c r="GR138" s="9"/>
      <c r="GS138" s="9"/>
      <c r="GT138" s="9"/>
      <c r="GU138" s="9"/>
      <c r="GV138" s="9"/>
      <c r="GW138" s="9"/>
      <c r="GX138" s="9"/>
      <c r="GY138" s="10"/>
      <c r="GZ138" s="9"/>
      <c r="HA138" s="9"/>
    </row>
    <row r="139" spans="1:209" s="2" customFormat="1" ht="17" customHeight="1">
      <c r="A139" s="14" t="s">
        <v>138</v>
      </c>
      <c r="B139" s="35">
        <v>0</v>
      </c>
      <c r="C139" s="35">
        <v>0</v>
      </c>
      <c r="D139" s="4">
        <f t="shared" si="42"/>
        <v>0</v>
      </c>
      <c r="E139" s="11">
        <v>0</v>
      </c>
      <c r="F139" s="5" t="s">
        <v>362</v>
      </c>
      <c r="G139" s="5" t="s">
        <v>362</v>
      </c>
      <c r="H139" s="5" t="s">
        <v>362</v>
      </c>
      <c r="I139" s="5" t="s">
        <v>362</v>
      </c>
      <c r="J139" s="5" t="s">
        <v>362</v>
      </c>
      <c r="K139" s="5" t="s">
        <v>362</v>
      </c>
      <c r="L139" s="5" t="s">
        <v>362</v>
      </c>
      <c r="M139" s="5" t="s">
        <v>362</v>
      </c>
      <c r="N139" s="35">
        <v>130.1</v>
      </c>
      <c r="O139" s="35">
        <v>35.799999999999997</v>
      </c>
      <c r="P139" s="4">
        <f t="shared" si="43"/>
        <v>0.2751729438893159</v>
      </c>
      <c r="Q139" s="11">
        <v>20</v>
      </c>
      <c r="R139" s="35">
        <v>8</v>
      </c>
      <c r="S139" s="35">
        <v>8</v>
      </c>
      <c r="T139" s="4">
        <f t="shared" si="44"/>
        <v>1</v>
      </c>
      <c r="U139" s="11">
        <v>35</v>
      </c>
      <c r="V139" s="35">
        <v>4</v>
      </c>
      <c r="W139" s="35">
        <v>4.5999999999999996</v>
      </c>
      <c r="X139" s="4">
        <f t="shared" si="45"/>
        <v>1.1499999999999999</v>
      </c>
      <c r="Y139" s="11">
        <v>15</v>
      </c>
      <c r="Z139" s="35">
        <v>6005</v>
      </c>
      <c r="AA139" s="35">
        <v>5709</v>
      </c>
      <c r="AB139" s="4">
        <f t="shared" si="46"/>
        <v>0.95070774354704413</v>
      </c>
      <c r="AC139" s="11">
        <v>5</v>
      </c>
      <c r="AD139" s="11">
        <v>110</v>
      </c>
      <c r="AE139" s="11">
        <v>110</v>
      </c>
      <c r="AF139" s="4">
        <f t="shared" si="47"/>
        <v>1</v>
      </c>
      <c r="AG139" s="11">
        <v>20</v>
      </c>
      <c r="AH139" s="5" t="s">
        <v>362</v>
      </c>
      <c r="AI139" s="5" t="s">
        <v>362</v>
      </c>
      <c r="AJ139" s="5" t="s">
        <v>362</v>
      </c>
      <c r="AK139" s="5" t="s">
        <v>362</v>
      </c>
      <c r="AL139" s="5" t="s">
        <v>362</v>
      </c>
      <c r="AM139" s="5" t="s">
        <v>362</v>
      </c>
      <c r="AN139" s="5" t="s">
        <v>362</v>
      </c>
      <c r="AO139" s="5" t="s">
        <v>362</v>
      </c>
      <c r="AP139" s="44">
        <f t="shared" si="56"/>
        <v>0.86849471153180569</v>
      </c>
      <c r="AQ139" s="45">
        <v>1086</v>
      </c>
      <c r="AR139" s="35">
        <f t="shared" si="48"/>
        <v>296.18181818181819</v>
      </c>
      <c r="AS139" s="35">
        <f t="shared" si="49"/>
        <v>257.2</v>
      </c>
      <c r="AT139" s="35">
        <f t="shared" si="50"/>
        <v>-38.981818181818198</v>
      </c>
      <c r="AU139" s="35">
        <v>83.6</v>
      </c>
      <c r="AV139" s="35">
        <v>94.4</v>
      </c>
      <c r="AW139" s="35">
        <f t="shared" si="51"/>
        <v>79.2</v>
      </c>
      <c r="AX139" s="35"/>
      <c r="AY139" s="35">
        <f t="shared" si="52"/>
        <v>79.2</v>
      </c>
      <c r="AZ139" s="35">
        <v>0</v>
      </c>
      <c r="BA139" s="35">
        <f t="shared" si="53"/>
        <v>79.2</v>
      </c>
      <c r="BB139" s="35"/>
      <c r="BC139" s="35">
        <f t="shared" si="54"/>
        <v>79.2</v>
      </c>
      <c r="BD139" s="35">
        <v>77.900000000000006</v>
      </c>
      <c r="BE139" s="35">
        <f t="shared" si="55"/>
        <v>1.3</v>
      </c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9"/>
      <c r="BU139" s="9"/>
      <c r="BV139" s="9"/>
      <c r="BW139" s="9"/>
      <c r="BX139" s="9"/>
      <c r="BY139" s="9"/>
      <c r="BZ139" s="9"/>
      <c r="CA139" s="9"/>
      <c r="CB139" s="9"/>
      <c r="CC139" s="9"/>
      <c r="CD139" s="9"/>
      <c r="CE139" s="9"/>
      <c r="CF139" s="9"/>
      <c r="CG139" s="9"/>
      <c r="CH139" s="9"/>
      <c r="CI139" s="9"/>
      <c r="CJ139" s="9"/>
      <c r="CK139" s="9"/>
      <c r="CL139" s="9"/>
      <c r="CM139" s="9"/>
      <c r="CN139" s="9"/>
      <c r="CO139" s="9"/>
      <c r="CP139" s="9"/>
      <c r="CQ139" s="10"/>
      <c r="CR139" s="9"/>
      <c r="CS139" s="9"/>
      <c r="CT139" s="9"/>
      <c r="CU139" s="9"/>
      <c r="CV139" s="9"/>
      <c r="CW139" s="9"/>
      <c r="CX139" s="9"/>
      <c r="CY139" s="9"/>
      <c r="CZ139" s="9"/>
      <c r="DA139" s="9"/>
      <c r="DB139" s="9"/>
      <c r="DC139" s="9"/>
      <c r="DD139" s="9"/>
      <c r="DE139" s="9"/>
      <c r="DF139" s="9"/>
      <c r="DG139" s="9"/>
      <c r="DH139" s="9"/>
      <c r="DI139" s="9"/>
      <c r="DJ139" s="9"/>
      <c r="DK139" s="9"/>
      <c r="DL139" s="9"/>
      <c r="DM139" s="9"/>
      <c r="DN139" s="9"/>
      <c r="DO139" s="9"/>
      <c r="DP139" s="9"/>
      <c r="DQ139" s="9"/>
      <c r="DR139" s="9"/>
      <c r="DS139" s="10"/>
      <c r="DT139" s="9"/>
      <c r="DU139" s="9"/>
      <c r="DV139" s="9"/>
      <c r="DW139" s="9"/>
      <c r="DX139" s="9"/>
      <c r="DY139" s="9"/>
      <c r="DZ139" s="9"/>
      <c r="EA139" s="9"/>
      <c r="EB139" s="9"/>
      <c r="EC139" s="9"/>
      <c r="ED139" s="9"/>
      <c r="EE139" s="9"/>
      <c r="EF139" s="9"/>
      <c r="EG139" s="9"/>
      <c r="EH139" s="9"/>
      <c r="EI139" s="9"/>
      <c r="EJ139" s="9"/>
      <c r="EK139" s="9"/>
      <c r="EL139" s="9"/>
      <c r="EM139" s="9"/>
      <c r="EN139" s="9"/>
      <c r="EO139" s="9"/>
      <c r="EP139" s="9"/>
      <c r="EQ139" s="9"/>
      <c r="ER139" s="9"/>
      <c r="ES139" s="9"/>
      <c r="ET139" s="9"/>
      <c r="EU139" s="10"/>
      <c r="EV139" s="9"/>
      <c r="EW139" s="9"/>
      <c r="EX139" s="9"/>
      <c r="EY139" s="9"/>
      <c r="EZ139" s="9"/>
      <c r="FA139" s="9"/>
      <c r="FB139" s="9"/>
      <c r="FC139" s="9"/>
      <c r="FD139" s="9"/>
      <c r="FE139" s="9"/>
      <c r="FF139" s="9"/>
      <c r="FG139" s="9"/>
      <c r="FH139" s="9"/>
      <c r="FI139" s="9"/>
      <c r="FJ139" s="9"/>
      <c r="FK139" s="9"/>
      <c r="FL139" s="9"/>
      <c r="FM139" s="9"/>
      <c r="FN139" s="9"/>
      <c r="FO139" s="9"/>
      <c r="FP139" s="9"/>
      <c r="FQ139" s="9"/>
      <c r="FR139" s="9"/>
      <c r="FS139" s="9"/>
      <c r="FT139" s="9"/>
      <c r="FU139" s="9"/>
      <c r="FV139" s="9"/>
      <c r="FW139" s="10"/>
      <c r="FX139" s="9"/>
      <c r="FY139" s="9"/>
      <c r="FZ139" s="9"/>
      <c r="GA139" s="9"/>
      <c r="GB139" s="9"/>
      <c r="GC139" s="9"/>
      <c r="GD139" s="9"/>
      <c r="GE139" s="9"/>
      <c r="GF139" s="9"/>
      <c r="GG139" s="9"/>
      <c r="GH139" s="9"/>
      <c r="GI139" s="9"/>
      <c r="GJ139" s="9"/>
      <c r="GK139" s="9"/>
      <c r="GL139" s="9"/>
      <c r="GM139" s="9"/>
      <c r="GN139" s="9"/>
      <c r="GO139" s="9"/>
      <c r="GP139" s="9"/>
      <c r="GQ139" s="9"/>
      <c r="GR139" s="9"/>
      <c r="GS139" s="9"/>
      <c r="GT139" s="9"/>
      <c r="GU139" s="9"/>
      <c r="GV139" s="9"/>
      <c r="GW139" s="9"/>
      <c r="GX139" s="9"/>
      <c r="GY139" s="10"/>
      <c r="GZ139" s="9"/>
      <c r="HA139" s="9"/>
    </row>
    <row r="140" spans="1:209" s="2" customFormat="1" ht="17" customHeight="1">
      <c r="A140" s="14" t="s">
        <v>139</v>
      </c>
      <c r="B140" s="35">
        <v>0</v>
      </c>
      <c r="C140" s="35">
        <v>0</v>
      </c>
      <c r="D140" s="4">
        <f t="shared" si="42"/>
        <v>0</v>
      </c>
      <c r="E140" s="11">
        <v>0</v>
      </c>
      <c r="F140" s="5" t="s">
        <v>362</v>
      </c>
      <c r="G140" s="5" t="s">
        <v>362</v>
      </c>
      <c r="H140" s="5" t="s">
        <v>362</v>
      </c>
      <c r="I140" s="5" t="s">
        <v>362</v>
      </c>
      <c r="J140" s="5" t="s">
        <v>362</v>
      </c>
      <c r="K140" s="5" t="s">
        <v>362</v>
      </c>
      <c r="L140" s="5" t="s">
        <v>362</v>
      </c>
      <c r="M140" s="5" t="s">
        <v>362</v>
      </c>
      <c r="N140" s="35">
        <v>183.3</v>
      </c>
      <c r="O140" s="35">
        <v>77.2</v>
      </c>
      <c r="P140" s="4">
        <f t="shared" si="43"/>
        <v>0.42116748499727225</v>
      </c>
      <c r="Q140" s="11">
        <v>20</v>
      </c>
      <c r="R140" s="35">
        <v>177</v>
      </c>
      <c r="S140" s="35">
        <v>184.5</v>
      </c>
      <c r="T140" s="4">
        <f t="shared" si="44"/>
        <v>1.0423728813559323</v>
      </c>
      <c r="U140" s="11">
        <v>30</v>
      </c>
      <c r="V140" s="35">
        <v>9.5</v>
      </c>
      <c r="W140" s="35">
        <v>11</v>
      </c>
      <c r="X140" s="4">
        <f t="shared" si="45"/>
        <v>1.1578947368421053</v>
      </c>
      <c r="Y140" s="11">
        <v>20</v>
      </c>
      <c r="Z140" s="35">
        <v>8695</v>
      </c>
      <c r="AA140" s="35">
        <v>5206</v>
      </c>
      <c r="AB140" s="4">
        <f t="shared" si="46"/>
        <v>0.59873490511788385</v>
      </c>
      <c r="AC140" s="11">
        <v>5</v>
      </c>
      <c r="AD140" s="11">
        <v>420</v>
      </c>
      <c r="AE140" s="11">
        <v>421</v>
      </c>
      <c r="AF140" s="4">
        <f t="shared" si="47"/>
        <v>1.0023809523809524</v>
      </c>
      <c r="AG140" s="11">
        <v>20</v>
      </c>
      <c r="AH140" s="5" t="s">
        <v>362</v>
      </c>
      <c r="AI140" s="5" t="s">
        <v>362</v>
      </c>
      <c r="AJ140" s="5" t="s">
        <v>362</v>
      </c>
      <c r="AK140" s="5" t="s">
        <v>362</v>
      </c>
      <c r="AL140" s="5" t="s">
        <v>362</v>
      </c>
      <c r="AM140" s="5" t="s">
        <v>362</v>
      </c>
      <c r="AN140" s="5" t="s">
        <v>362</v>
      </c>
      <c r="AO140" s="5" t="s">
        <v>362</v>
      </c>
      <c r="AP140" s="44">
        <f t="shared" si="56"/>
        <v>0.90414446790183145</v>
      </c>
      <c r="AQ140" s="45">
        <v>1591</v>
      </c>
      <c r="AR140" s="35">
        <f t="shared" si="48"/>
        <v>433.90909090909088</v>
      </c>
      <c r="AS140" s="35">
        <f t="shared" si="49"/>
        <v>392.3</v>
      </c>
      <c r="AT140" s="35">
        <f t="shared" si="50"/>
        <v>-41.609090909090867</v>
      </c>
      <c r="AU140" s="35">
        <v>130.69999999999999</v>
      </c>
      <c r="AV140" s="35">
        <v>132.1</v>
      </c>
      <c r="AW140" s="35">
        <f t="shared" si="51"/>
        <v>129.5</v>
      </c>
      <c r="AX140" s="35"/>
      <c r="AY140" s="35">
        <f t="shared" si="52"/>
        <v>129.5</v>
      </c>
      <c r="AZ140" s="35">
        <v>0</v>
      </c>
      <c r="BA140" s="35">
        <f t="shared" si="53"/>
        <v>129.5</v>
      </c>
      <c r="BB140" s="35"/>
      <c r="BC140" s="35">
        <f t="shared" si="54"/>
        <v>129.5</v>
      </c>
      <c r="BD140" s="35">
        <v>136.9</v>
      </c>
      <c r="BE140" s="35">
        <f t="shared" si="55"/>
        <v>-7.4</v>
      </c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9"/>
      <c r="BU140" s="9"/>
      <c r="BV140" s="9"/>
      <c r="BW140" s="9"/>
      <c r="BX140" s="9"/>
      <c r="BY140" s="9"/>
      <c r="BZ140" s="9"/>
      <c r="CA140" s="9"/>
      <c r="CB140" s="9"/>
      <c r="CC140" s="9"/>
      <c r="CD140" s="9"/>
      <c r="CE140" s="9"/>
      <c r="CF140" s="9"/>
      <c r="CG140" s="9"/>
      <c r="CH140" s="9"/>
      <c r="CI140" s="9"/>
      <c r="CJ140" s="9"/>
      <c r="CK140" s="9"/>
      <c r="CL140" s="9"/>
      <c r="CM140" s="9"/>
      <c r="CN140" s="9"/>
      <c r="CO140" s="9"/>
      <c r="CP140" s="9"/>
      <c r="CQ140" s="10"/>
      <c r="CR140" s="9"/>
      <c r="CS140" s="9"/>
      <c r="CT140" s="9"/>
      <c r="CU140" s="9"/>
      <c r="CV140" s="9"/>
      <c r="CW140" s="9"/>
      <c r="CX140" s="9"/>
      <c r="CY140" s="9"/>
      <c r="CZ140" s="9"/>
      <c r="DA140" s="9"/>
      <c r="DB140" s="9"/>
      <c r="DC140" s="9"/>
      <c r="DD140" s="9"/>
      <c r="DE140" s="9"/>
      <c r="DF140" s="9"/>
      <c r="DG140" s="9"/>
      <c r="DH140" s="9"/>
      <c r="DI140" s="9"/>
      <c r="DJ140" s="9"/>
      <c r="DK140" s="9"/>
      <c r="DL140" s="9"/>
      <c r="DM140" s="9"/>
      <c r="DN140" s="9"/>
      <c r="DO140" s="9"/>
      <c r="DP140" s="9"/>
      <c r="DQ140" s="9"/>
      <c r="DR140" s="9"/>
      <c r="DS140" s="10"/>
      <c r="DT140" s="9"/>
      <c r="DU140" s="9"/>
      <c r="DV140" s="9"/>
      <c r="DW140" s="9"/>
      <c r="DX140" s="9"/>
      <c r="DY140" s="9"/>
      <c r="DZ140" s="9"/>
      <c r="EA140" s="9"/>
      <c r="EB140" s="9"/>
      <c r="EC140" s="9"/>
      <c r="ED140" s="9"/>
      <c r="EE140" s="9"/>
      <c r="EF140" s="9"/>
      <c r="EG140" s="9"/>
      <c r="EH140" s="9"/>
      <c r="EI140" s="9"/>
      <c r="EJ140" s="9"/>
      <c r="EK140" s="9"/>
      <c r="EL140" s="9"/>
      <c r="EM140" s="9"/>
      <c r="EN140" s="9"/>
      <c r="EO140" s="9"/>
      <c r="EP140" s="9"/>
      <c r="EQ140" s="9"/>
      <c r="ER140" s="9"/>
      <c r="ES140" s="9"/>
      <c r="ET140" s="9"/>
      <c r="EU140" s="10"/>
      <c r="EV140" s="9"/>
      <c r="EW140" s="9"/>
      <c r="EX140" s="9"/>
      <c r="EY140" s="9"/>
      <c r="EZ140" s="9"/>
      <c r="FA140" s="9"/>
      <c r="FB140" s="9"/>
      <c r="FC140" s="9"/>
      <c r="FD140" s="9"/>
      <c r="FE140" s="9"/>
      <c r="FF140" s="9"/>
      <c r="FG140" s="9"/>
      <c r="FH140" s="9"/>
      <c r="FI140" s="9"/>
      <c r="FJ140" s="9"/>
      <c r="FK140" s="9"/>
      <c r="FL140" s="9"/>
      <c r="FM140" s="9"/>
      <c r="FN140" s="9"/>
      <c r="FO140" s="9"/>
      <c r="FP140" s="9"/>
      <c r="FQ140" s="9"/>
      <c r="FR140" s="9"/>
      <c r="FS140" s="9"/>
      <c r="FT140" s="9"/>
      <c r="FU140" s="9"/>
      <c r="FV140" s="9"/>
      <c r="FW140" s="10"/>
      <c r="FX140" s="9"/>
      <c r="FY140" s="9"/>
      <c r="FZ140" s="9"/>
      <c r="GA140" s="9"/>
      <c r="GB140" s="9"/>
      <c r="GC140" s="9"/>
      <c r="GD140" s="9"/>
      <c r="GE140" s="9"/>
      <c r="GF140" s="9"/>
      <c r="GG140" s="9"/>
      <c r="GH140" s="9"/>
      <c r="GI140" s="9"/>
      <c r="GJ140" s="9"/>
      <c r="GK140" s="9"/>
      <c r="GL140" s="9"/>
      <c r="GM140" s="9"/>
      <c r="GN140" s="9"/>
      <c r="GO140" s="9"/>
      <c r="GP140" s="9"/>
      <c r="GQ140" s="9"/>
      <c r="GR140" s="9"/>
      <c r="GS140" s="9"/>
      <c r="GT140" s="9"/>
      <c r="GU140" s="9"/>
      <c r="GV140" s="9"/>
      <c r="GW140" s="9"/>
      <c r="GX140" s="9"/>
      <c r="GY140" s="10"/>
      <c r="GZ140" s="9"/>
      <c r="HA140" s="9"/>
    </row>
    <row r="141" spans="1:209" s="2" customFormat="1" ht="17" customHeight="1">
      <c r="A141" s="14" t="s">
        <v>140</v>
      </c>
      <c r="B141" s="35">
        <v>14791</v>
      </c>
      <c r="C141" s="35">
        <v>14865.8</v>
      </c>
      <c r="D141" s="4">
        <f t="shared" si="42"/>
        <v>1.0050571293354067</v>
      </c>
      <c r="E141" s="11">
        <v>10</v>
      </c>
      <c r="F141" s="5" t="s">
        <v>362</v>
      </c>
      <c r="G141" s="5" t="s">
        <v>362</v>
      </c>
      <c r="H141" s="5" t="s">
        <v>362</v>
      </c>
      <c r="I141" s="5" t="s">
        <v>362</v>
      </c>
      <c r="J141" s="5" t="s">
        <v>362</v>
      </c>
      <c r="K141" s="5" t="s">
        <v>362</v>
      </c>
      <c r="L141" s="5" t="s">
        <v>362</v>
      </c>
      <c r="M141" s="5" t="s">
        <v>362</v>
      </c>
      <c r="N141" s="35">
        <v>1730.4</v>
      </c>
      <c r="O141" s="35">
        <v>1093</v>
      </c>
      <c r="P141" s="4">
        <f t="shared" si="43"/>
        <v>0.63164586222838648</v>
      </c>
      <c r="Q141" s="11">
        <v>20</v>
      </c>
      <c r="R141" s="35">
        <v>22</v>
      </c>
      <c r="S141" s="35">
        <v>19.100000000000001</v>
      </c>
      <c r="T141" s="4">
        <f t="shared" si="44"/>
        <v>0.86818181818181828</v>
      </c>
      <c r="U141" s="11">
        <v>20</v>
      </c>
      <c r="V141" s="35">
        <v>1.8</v>
      </c>
      <c r="W141" s="35">
        <v>2.4</v>
      </c>
      <c r="X141" s="4">
        <f t="shared" si="45"/>
        <v>1.2133333333333334</v>
      </c>
      <c r="Y141" s="11">
        <v>30</v>
      </c>
      <c r="Z141" s="35">
        <v>110037</v>
      </c>
      <c r="AA141" s="35">
        <v>100353</v>
      </c>
      <c r="AB141" s="4">
        <f t="shared" si="46"/>
        <v>0.91199323863791271</v>
      </c>
      <c r="AC141" s="11">
        <v>5</v>
      </c>
      <c r="AD141" s="11">
        <v>120</v>
      </c>
      <c r="AE141" s="11">
        <v>110</v>
      </c>
      <c r="AF141" s="4">
        <f t="shared" si="47"/>
        <v>0.91666666666666663</v>
      </c>
      <c r="AG141" s="11">
        <v>20</v>
      </c>
      <c r="AH141" s="5" t="s">
        <v>362</v>
      </c>
      <c r="AI141" s="5" t="s">
        <v>362</v>
      </c>
      <c r="AJ141" s="5" t="s">
        <v>362</v>
      </c>
      <c r="AK141" s="5" t="s">
        <v>362</v>
      </c>
      <c r="AL141" s="5" t="s">
        <v>362</v>
      </c>
      <c r="AM141" s="5" t="s">
        <v>362</v>
      </c>
      <c r="AN141" s="5" t="s">
        <v>362</v>
      </c>
      <c r="AO141" s="5" t="s">
        <v>362</v>
      </c>
      <c r="AP141" s="44">
        <f t="shared" si="56"/>
        <v>0.94609928026743872</v>
      </c>
      <c r="AQ141" s="45">
        <v>1586</v>
      </c>
      <c r="AR141" s="35">
        <f t="shared" si="48"/>
        <v>432.54545454545456</v>
      </c>
      <c r="AS141" s="35">
        <f t="shared" si="49"/>
        <v>409.2</v>
      </c>
      <c r="AT141" s="35">
        <f t="shared" si="50"/>
        <v>-23.345454545454572</v>
      </c>
      <c r="AU141" s="35">
        <v>145.19999999999999</v>
      </c>
      <c r="AV141" s="35">
        <v>127.4</v>
      </c>
      <c r="AW141" s="35">
        <f t="shared" si="51"/>
        <v>136.6</v>
      </c>
      <c r="AX141" s="35"/>
      <c r="AY141" s="35">
        <f t="shared" si="52"/>
        <v>136.6</v>
      </c>
      <c r="AZ141" s="35">
        <v>0</v>
      </c>
      <c r="BA141" s="35">
        <f t="shared" si="53"/>
        <v>136.6</v>
      </c>
      <c r="BB141" s="35"/>
      <c r="BC141" s="35">
        <f t="shared" si="54"/>
        <v>136.6</v>
      </c>
      <c r="BD141" s="35">
        <v>137.4</v>
      </c>
      <c r="BE141" s="35">
        <f t="shared" si="55"/>
        <v>-0.8</v>
      </c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9"/>
      <c r="BU141" s="9"/>
      <c r="BV141" s="9"/>
      <c r="BW141" s="9"/>
      <c r="BX141" s="9"/>
      <c r="BY141" s="9"/>
      <c r="BZ141" s="9"/>
      <c r="CA141" s="9"/>
      <c r="CB141" s="9"/>
      <c r="CC141" s="9"/>
      <c r="CD141" s="9"/>
      <c r="CE141" s="9"/>
      <c r="CF141" s="9"/>
      <c r="CG141" s="9"/>
      <c r="CH141" s="9"/>
      <c r="CI141" s="9"/>
      <c r="CJ141" s="9"/>
      <c r="CK141" s="9"/>
      <c r="CL141" s="9"/>
      <c r="CM141" s="9"/>
      <c r="CN141" s="9"/>
      <c r="CO141" s="9"/>
      <c r="CP141" s="9"/>
      <c r="CQ141" s="10"/>
      <c r="CR141" s="9"/>
      <c r="CS141" s="9"/>
      <c r="CT141" s="9"/>
      <c r="CU141" s="9"/>
      <c r="CV141" s="9"/>
      <c r="CW141" s="9"/>
      <c r="CX141" s="9"/>
      <c r="CY141" s="9"/>
      <c r="CZ141" s="9"/>
      <c r="DA141" s="9"/>
      <c r="DB141" s="9"/>
      <c r="DC141" s="9"/>
      <c r="DD141" s="9"/>
      <c r="DE141" s="9"/>
      <c r="DF141" s="9"/>
      <c r="DG141" s="9"/>
      <c r="DH141" s="9"/>
      <c r="DI141" s="9"/>
      <c r="DJ141" s="9"/>
      <c r="DK141" s="9"/>
      <c r="DL141" s="9"/>
      <c r="DM141" s="9"/>
      <c r="DN141" s="9"/>
      <c r="DO141" s="9"/>
      <c r="DP141" s="9"/>
      <c r="DQ141" s="9"/>
      <c r="DR141" s="9"/>
      <c r="DS141" s="10"/>
      <c r="DT141" s="9"/>
      <c r="DU141" s="9"/>
      <c r="DV141" s="9"/>
      <c r="DW141" s="9"/>
      <c r="DX141" s="9"/>
      <c r="DY141" s="9"/>
      <c r="DZ141" s="9"/>
      <c r="EA141" s="9"/>
      <c r="EB141" s="9"/>
      <c r="EC141" s="9"/>
      <c r="ED141" s="9"/>
      <c r="EE141" s="9"/>
      <c r="EF141" s="9"/>
      <c r="EG141" s="9"/>
      <c r="EH141" s="9"/>
      <c r="EI141" s="9"/>
      <c r="EJ141" s="9"/>
      <c r="EK141" s="9"/>
      <c r="EL141" s="9"/>
      <c r="EM141" s="9"/>
      <c r="EN141" s="9"/>
      <c r="EO141" s="9"/>
      <c r="EP141" s="9"/>
      <c r="EQ141" s="9"/>
      <c r="ER141" s="9"/>
      <c r="ES141" s="9"/>
      <c r="ET141" s="9"/>
      <c r="EU141" s="10"/>
      <c r="EV141" s="9"/>
      <c r="EW141" s="9"/>
      <c r="EX141" s="9"/>
      <c r="EY141" s="9"/>
      <c r="EZ141" s="9"/>
      <c r="FA141" s="9"/>
      <c r="FB141" s="9"/>
      <c r="FC141" s="9"/>
      <c r="FD141" s="9"/>
      <c r="FE141" s="9"/>
      <c r="FF141" s="9"/>
      <c r="FG141" s="9"/>
      <c r="FH141" s="9"/>
      <c r="FI141" s="9"/>
      <c r="FJ141" s="9"/>
      <c r="FK141" s="9"/>
      <c r="FL141" s="9"/>
      <c r="FM141" s="9"/>
      <c r="FN141" s="9"/>
      <c r="FO141" s="9"/>
      <c r="FP141" s="9"/>
      <c r="FQ141" s="9"/>
      <c r="FR141" s="9"/>
      <c r="FS141" s="9"/>
      <c r="FT141" s="9"/>
      <c r="FU141" s="9"/>
      <c r="FV141" s="9"/>
      <c r="FW141" s="10"/>
      <c r="FX141" s="9"/>
      <c r="FY141" s="9"/>
      <c r="FZ141" s="9"/>
      <c r="GA141" s="9"/>
      <c r="GB141" s="9"/>
      <c r="GC141" s="9"/>
      <c r="GD141" s="9"/>
      <c r="GE141" s="9"/>
      <c r="GF141" s="9"/>
      <c r="GG141" s="9"/>
      <c r="GH141" s="9"/>
      <c r="GI141" s="9"/>
      <c r="GJ141" s="9"/>
      <c r="GK141" s="9"/>
      <c r="GL141" s="9"/>
      <c r="GM141" s="9"/>
      <c r="GN141" s="9"/>
      <c r="GO141" s="9"/>
      <c r="GP141" s="9"/>
      <c r="GQ141" s="9"/>
      <c r="GR141" s="9"/>
      <c r="GS141" s="9"/>
      <c r="GT141" s="9"/>
      <c r="GU141" s="9"/>
      <c r="GV141" s="9"/>
      <c r="GW141" s="9"/>
      <c r="GX141" s="9"/>
      <c r="GY141" s="10"/>
      <c r="GZ141" s="9"/>
      <c r="HA141" s="9"/>
    </row>
    <row r="142" spans="1:209" s="2" customFormat="1" ht="17" customHeight="1">
      <c r="A142" s="14" t="s">
        <v>141</v>
      </c>
      <c r="B142" s="35">
        <v>206</v>
      </c>
      <c r="C142" s="35">
        <v>206.5</v>
      </c>
      <c r="D142" s="4">
        <f t="shared" si="42"/>
        <v>1.0024271844660195</v>
      </c>
      <c r="E142" s="11">
        <v>10</v>
      </c>
      <c r="F142" s="5" t="s">
        <v>362</v>
      </c>
      <c r="G142" s="5" t="s">
        <v>362</v>
      </c>
      <c r="H142" s="5" t="s">
        <v>362</v>
      </c>
      <c r="I142" s="5" t="s">
        <v>362</v>
      </c>
      <c r="J142" s="5" t="s">
        <v>362</v>
      </c>
      <c r="K142" s="5" t="s">
        <v>362</v>
      </c>
      <c r="L142" s="5" t="s">
        <v>362</v>
      </c>
      <c r="M142" s="5" t="s">
        <v>362</v>
      </c>
      <c r="N142" s="35">
        <v>1141.5</v>
      </c>
      <c r="O142" s="35">
        <v>1438.4</v>
      </c>
      <c r="P142" s="4">
        <f t="shared" si="43"/>
        <v>1.2060096364432764</v>
      </c>
      <c r="Q142" s="11">
        <v>20</v>
      </c>
      <c r="R142" s="35">
        <v>7</v>
      </c>
      <c r="S142" s="35">
        <v>7</v>
      </c>
      <c r="T142" s="4">
        <f t="shared" si="44"/>
        <v>1</v>
      </c>
      <c r="U142" s="11">
        <v>30</v>
      </c>
      <c r="V142" s="35">
        <v>2.5</v>
      </c>
      <c r="W142" s="35">
        <v>2.6</v>
      </c>
      <c r="X142" s="4">
        <f t="shared" si="45"/>
        <v>1.04</v>
      </c>
      <c r="Y142" s="11">
        <v>20</v>
      </c>
      <c r="Z142" s="35">
        <v>10746</v>
      </c>
      <c r="AA142" s="35">
        <v>10890</v>
      </c>
      <c r="AB142" s="4">
        <f t="shared" si="46"/>
        <v>1.0134003350083751</v>
      </c>
      <c r="AC142" s="11">
        <v>5</v>
      </c>
      <c r="AD142" s="11">
        <v>70</v>
      </c>
      <c r="AE142" s="11">
        <v>70</v>
      </c>
      <c r="AF142" s="4">
        <f t="shared" si="47"/>
        <v>1</v>
      </c>
      <c r="AG142" s="11">
        <v>20</v>
      </c>
      <c r="AH142" s="5" t="s">
        <v>362</v>
      </c>
      <c r="AI142" s="5" t="s">
        <v>362</v>
      </c>
      <c r="AJ142" s="5" t="s">
        <v>362</v>
      </c>
      <c r="AK142" s="5" t="s">
        <v>362</v>
      </c>
      <c r="AL142" s="5" t="s">
        <v>362</v>
      </c>
      <c r="AM142" s="5" t="s">
        <v>362</v>
      </c>
      <c r="AN142" s="5" t="s">
        <v>362</v>
      </c>
      <c r="AO142" s="5" t="s">
        <v>362</v>
      </c>
      <c r="AP142" s="44">
        <f t="shared" si="56"/>
        <v>1.0477282499863581</v>
      </c>
      <c r="AQ142" s="45">
        <v>162</v>
      </c>
      <c r="AR142" s="35">
        <f t="shared" si="48"/>
        <v>44.18181818181818</v>
      </c>
      <c r="AS142" s="35">
        <f t="shared" si="49"/>
        <v>46.3</v>
      </c>
      <c r="AT142" s="35">
        <f t="shared" si="50"/>
        <v>2.1181818181818173</v>
      </c>
      <c r="AU142" s="35">
        <v>15.4</v>
      </c>
      <c r="AV142" s="35">
        <v>15.1</v>
      </c>
      <c r="AW142" s="35">
        <f t="shared" si="51"/>
        <v>15.8</v>
      </c>
      <c r="AX142" s="35"/>
      <c r="AY142" s="35">
        <f t="shared" si="52"/>
        <v>15.8</v>
      </c>
      <c r="AZ142" s="35">
        <v>0</v>
      </c>
      <c r="BA142" s="35">
        <f t="shared" si="53"/>
        <v>15.8</v>
      </c>
      <c r="BB142" s="35"/>
      <c r="BC142" s="35">
        <f t="shared" si="54"/>
        <v>15.8</v>
      </c>
      <c r="BD142" s="35">
        <v>15.9</v>
      </c>
      <c r="BE142" s="35">
        <f t="shared" si="55"/>
        <v>-0.1</v>
      </c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9"/>
      <c r="BU142" s="9"/>
      <c r="BV142" s="9"/>
      <c r="BW142" s="9"/>
      <c r="BX142" s="9"/>
      <c r="BY142" s="9"/>
      <c r="BZ142" s="9"/>
      <c r="CA142" s="9"/>
      <c r="CB142" s="9"/>
      <c r="CC142" s="9"/>
      <c r="CD142" s="9"/>
      <c r="CE142" s="9"/>
      <c r="CF142" s="9"/>
      <c r="CG142" s="9"/>
      <c r="CH142" s="9"/>
      <c r="CI142" s="9"/>
      <c r="CJ142" s="9"/>
      <c r="CK142" s="9"/>
      <c r="CL142" s="9"/>
      <c r="CM142" s="9"/>
      <c r="CN142" s="9"/>
      <c r="CO142" s="9"/>
      <c r="CP142" s="9"/>
      <c r="CQ142" s="10"/>
      <c r="CR142" s="9"/>
      <c r="CS142" s="9"/>
      <c r="CT142" s="9"/>
      <c r="CU142" s="9"/>
      <c r="CV142" s="9"/>
      <c r="CW142" s="9"/>
      <c r="CX142" s="9"/>
      <c r="CY142" s="9"/>
      <c r="CZ142" s="9"/>
      <c r="DA142" s="9"/>
      <c r="DB142" s="9"/>
      <c r="DC142" s="9"/>
      <c r="DD142" s="9"/>
      <c r="DE142" s="9"/>
      <c r="DF142" s="9"/>
      <c r="DG142" s="9"/>
      <c r="DH142" s="9"/>
      <c r="DI142" s="9"/>
      <c r="DJ142" s="9"/>
      <c r="DK142" s="9"/>
      <c r="DL142" s="9"/>
      <c r="DM142" s="9"/>
      <c r="DN142" s="9"/>
      <c r="DO142" s="9"/>
      <c r="DP142" s="9"/>
      <c r="DQ142" s="9"/>
      <c r="DR142" s="9"/>
      <c r="DS142" s="10"/>
      <c r="DT142" s="9"/>
      <c r="DU142" s="9"/>
      <c r="DV142" s="9"/>
      <c r="DW142" s="9"/>
      <c r="DX142" s="9"/>
      <c r="DY142" s="9"/>
      <c r="DZ142" s="9"/>
      <c r="EA142" s="9"/>
      <c r="EB142" s="9"/>
      <c r="EC142" s="9"/>
      <c r="ED142" s="9"/>
      <c r="EE142" s="9"/>
      <c r="EF142" s="9"/>
      <c r="EG142" s="9"/>
      <c r="EH142" s="9"/>
      <c r="EI142" s="9"/>
      <c r="EJ142" s="9"/>
      <c r="EK142" s="9"/>
      <c r="EL142" s="9"/>
      <c r="EM142" s="9"/>
      <c r="EN142" s="9"/>
      <c r="EO142" s="9"/>
      <c r="EP142" s="9"/>
      <c r="EQ142" s="9"/>
      <c r="ER142" s="9"/>
      <c r="ES142" s="9"/>
      <c r="ET142" s="9"/>
      <c r="EU142" s="10"/>
      <c r="EV142" s="9"/>
      <c r="EW142" s="9"/>
      <c r="EX142" s="9"/>
      <c r="EY142" s="9"/>
      <c r="EZ142" s="9"/>
      <c r="FA142" s="9"/>
      <c r="FB142" s="9"/>
      <c r="FC142" s="9"/>
      <c r="FD142" s="9"/>
      <c r="FE142" s="9"/>
      <c r="FF142" s="9"/>
      <c r="FG142" s="9"/>
      <c r="FH142" s="9"/>
      <c r="FI142" s="9"/>
      <c r="FJ142" s="9"/>
      <c r="FK142" s="9"/>
      <c r="FL142" s="9"/>
      <c r="FM142" s="9"/>
      <c r="FN142" s="9"/>
      <c r="FO142" s="9"/>
      <c r="FP142" s="9"/>
      <c r="FQ142" s="9"/>
      <c r="FR142" s="9"/>
      <c r="FS142" s="9"/>
      <c r="FT142" s="9"/>
      <c r="FU142" s="9"/>
      <c r="FV142" s="9"/>
      <c r="FW142" s="10"/>
      <c r="FX142" s="9"/>
      <c r="FY142" s="9"/>
      <c r="FZ142" s="9"/>
      <c r="GA142" s="9"/>
      <c r="GB142" s="9"/>
      <c r="GC142" s="9"/>
      <c r="GD142" s="9"/>
      <c r="GE142" s="9"/>
      <c r="GF142" s="9"/>
      <c r="GG142" s="9"/>
      <c r="GH142" s="9"/>
      <c r="GI142" s="9"/>
      <c r="GJ142" s="9"/>
      <c r="GK142" s="9"/>
      <c r="GL142" s="9"/>
      <c r="GM142" s="9"/>
      <c r="GN142" s="9"/>
      <c r="GO142" s="9"/>
      <c r="GP142" s="9"/>
      <c r="GQ142" s="9"/>
      <c r="GR142" s="9"/>
      <c r="GS142" s="9"/>
      <c r="GT142" s="9"/>
      <c r="GU142" s="9"/>
      <c r="GV142" s="9"/>
      <c r="GW142" s="9"/>
      <c r="GX142" s="9"/>
      <c r="GY142" s="10"/>
      <c r="GZ142" s="9"/>
      <c r="HA142" s="9"/>
    </row>
    <row r="143" spans="1:209" s="2" customFormat="1" ht="17" customHeight="1">
      <c r="A143" s="14" t="s">
        <v>142</v>
      </c>
      <c r="B143" s="35">
        <v>0</v>
      </c>
      <c r="C143" s="35">
        <v>0</v>
      </c>
      <c r="D143" s="4">
        <f t="shared" si="42"/>
        <v>0</v>
      </c>
      <c r="E143" s="11">
        <v>0</v>
      </c>
      <c r="F143" s="5" t="s">
        <v>362</v>
      </c>
      <c r="G143" s="5" t="s">
        <v>362</v>
      </c>
      <c r="H143" s="5" t="s">
        <v>362</v>
      </c>
      <c r="I143" s="5" t="s">
        <v>362</v>
      </c>
      <c r="J143" s="5" t="s">
        <v>362</v>
      </c>
      <c r="K143" s="5" t="s">
        <v>362</v>
      </c>
      <c r="L143" s="5" t="s">
        <v>362</v>
      </c>
      <c r="M143" s="5" t="s">
        <v>362</v>
      </c>
      <c r="N143" s="35">
        <v>53.6</v>
      </c>
      <c r="O143" s="35">
        <v>53.3</v>
      </c>
      <c r="P143" s="4">
        <f t="shared" si="43"/>
        <v>0.99440298507462677</v>
      </c>
      <c r="Q143" s="11">
        <v>20</v>
      </c>
      <c r="R143" s="35">
        <v>7</v>
      </c>
      <c r="S143" s="35">
        <v>7</v>
      </c>
      <c r="T143" s="4">
        <f t="shared" si="44"/>
        <v>1</v>
      </c>
      <c r="U143" s="11">
        <v>35</v>
      </c>
      <c r="V143" s="35">
        <v>2.1</v>
      </c>
      <c r="W143" s="35">
        <v>2.2999999999999998</v>
      </c>
      <c r="X143" s="4">
        <f t="shared" si="45"/>
        <v>1.0952380952380951</v>
      </c>
      <c r="Y143" s="11">
        <v>15</v>
      </c>
      <c r="Z143" s="35">
        <v>2293</v>
      </c>
      <c r="AA143" s="35">
        <v>2371</v>
      </c>
      <c r="AB143" s="4">
        <f t="shared" si="46"/>
        <v>1.0340165721761885</v>
      </c>
      <c r="AC143" s="11">
        <v>5</v>
      </c>
      <c r="AD143" s="11">
        <v>170</v>
      </c>
      <c r="AE143" s="11">
        <v>130</v>
      </c>
      <c r="AF143" s="4">
        <f t="shared" si="47"/>
        <v>0.76470588235294112</v>
      </c>
      <c r="AG143" s="11">
        <v>20</v>
      </c>
      <c r="AH143" s="5" t="s">
        <v>362</v>
      </c>
      <c r="AI143" s="5" t="s">
        <v>362</v>
      </c>
      <c r="AJ143" s="5" t="s">
        <v>362</v>
      </c>
      <c r="AK143" s="5" t="s">
        <v>362</v>
      </c>
      <c r="AL143" s="5" t="s">
        <v>362</v>
      </c>
      <c r="AM143" s="5" t="s">
        <v>362</v>
      </c>
      <c r="AN143" s="5" t="s">
        <v>362</v>
      </c>
      <c r="AO143" s="5" t="s">
        <v>362</v>
      </c>
      <c r="AP143" s="44">
        <f t="shared" si="56"/>
        <v>0.96611401724214452</v>
      </c>
      <c r="AQ143" s="45">
        <v>984</v>
      </c>
      <c r="AR143" s="35">
        <f t="shared" si="48"/>
        <v>268.36363636363637</v>
      </c>
      <c r="AS143" s="35">
        <f t="shared" si="49"/>
        <v>259.3</v>
      </c>
      <c r="AT143" s="35">
        <f t="shared" si="50"/>
        <v>-9.0636363636363626</v>
      </c>
      <c r="AU143" s="35">
        <v>96.9</v>
      </c>
      <c r="AV143" s="35">
        <v>97.1</v>
      </c>
      <c r="AW143" s="35">
        <f t="shared" si="51"/>
        <v>65.3</v>
      </c>
      <c r="AX143" s="35"/>
      <c r="AY143" s="35">
        <f t="shared" si="52"/>
        <v>65.3</v>
      </c>
      <c r="AZ143" s="35">
        <v>0</v>
      </c>
      <c r="BA143" s="35">
        <f t="shared" si="53"/>
        <v>65.3</v>
      </c>
      <c r="BB143" s="35"/>
      <c r="BC143" s="35">
        <f t="shared" si="54"/>
        <v>65.3</v>
      </c>
      <c r="BD143" s="35">
        <v>64.3</v>
      </c>
      <c r="BE143" s="35">
        <f t="shared" si="55"/>
        <v>1</v>
      </c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9"/>
      <c r="BU143" s="9"/>
      <c r="BV143" s="9"/>
      <c r="BW143" s="9"/>
      <c r="BX143" s="9"/>
      <c r="BY143" s="9"/>
      <c r="BZ143" s="9"/>
      <c r="CA143" s="9"/>
      <c r="CB143" s="9"/>
      <c r="CC143" s="9"/>
      <c r="CD143" s="9"/>
      <c r="CE143" s="9"/>
      <c r="CF143" s="9"/>
      <c r="CG143" s="9"/>
      <c r="CH143" s="9"/>
      <c r="CI143" s="9"/>
      <c r="CJ143" s="9"/>
      <c r="CK143" s="9"/>
      <c r="CL143" s="9"/>
      <c r="CM143" s="9"/>
      <c r="CN143" s="9"/>
      <c r="CO143" s="9"/>
      <c r="CP143" s="9"/>
      <c r="CQ143" s="10"/>
      <c r="CR143" s="9"/>
      <c r="CS143" s="9"/>
      <c r="CT143" s="9"/>
      <c r="CU143" s="9"/>
      <c r="CV143" s="9"/>
      <c r="CW143" s="9"/>
      <c r="CX143" s="9"/>
      <c r="CY143" s="9"/>
      <c r="CZ143" s="9"/>
      <c r="DA143" s="9"/>
      <c r="DB143" s="9"/>
      <c r="DC143" s="9"/>
      <c r="DD143" s="9"/>
      <c r="DE143" s="9"/>
      <c r="DF143" s="9"/>
      <c r="DG143" s="9"/>
      <c r="DH143" s="9"/>
      <c r="DI143" s="9"/>
      <c r="DJ143" s="9"/>
      <c r="DK143" s="9"/>
      <c r="DL143" s="9"/>
      <c r="DM143" s="9"/>
      <c r="DN143" s="9"/>
      <c r="DO143" s="9"/>
      <c r="DP143" s="9"/>
      <c r="DQ143" s="9"/>
      <c r="DR143" s="9"/>
      <c r="DS143" s="10"/>
      <c r="DT143" s="9"/>
      <c r="DU143" s="9"/>
      <c r="DV143" s="9"/>
      <c r="DW143" s="9"/>
      <c r="DX143" s="9"/>
      <c r="DY143" s="9"/>
      <c r="DZ143" s="9"/>
      <c r="EA143" s="9"/>
      <c r="EB143" s="9"/>
      <c r="EC143" s="9"/>
      <c r="ED143" s="9"/>
      <c r="EE143" s="9"/>
      <c r="EF143" s="9"/>
      <c r="EG143" s="9"/>
      <c r="EH143" s="9"/>
      <c r="EI143" s="9"/>
      <c r="EJ143" s="9"/>
      <c r="EK143" s="9"/>
      <c r="EL143" s="9"/>
      <c r="EM143" s="9"/>
      <c r="EN143" s="9"/>
      <c r="EO143" s="9"/>
      <c r="EP143" s="9"/>
      <c r="EQ143" s="9"/>
      <c r="ER143" s="9"/>
      <c r="ES143" s="9"/>
      <c r="ET143" s="9"/>
      <c r="EU143" s="10"/>
      <c r="EV143" s="9"/>
      <c r="EW143" s="9"/>
      <c r="EX143" s="9"/>
      <c r="EY143" s="9"/>
      <c r="EZ143" s="9"/>
      <c r="FA143" s="9"/>
      <c r="FB143" s="9"/>
      <c r="FC143" s="9"/>
      <c r="FD143" s="9"/>
      <c r="FE143" s="9"/>
      <c r="FF143" s="9"/>
      <c r="FG143" s="9"/>
      <c r="FH143" s="9"/>
      <c r="FI143" s="9"/>
      <c r="FJ143" s="9"/>
      <c r="FK143" s="9"/>
      <c r="FL143" s="9"/>
      <c r="FM143" s="9"/>
      <c r="FN143" s="9"/>
      <c r="FO143" s="9"/>
      <c r="FP143" s="9"/>
      <c r="FQ143" s="9"/>
      <c r="FR143" s="9"/>
      <c r="FS143" s="9"/>
      <c r="FT143" s="9"/>
      <c r="FU143" s="9"/>
      <c r="FV143" s="9"/>
      <c r="FW143" s="10"/>
      <c r="FX143" s="9"/>
      <c r="FY143" s="9"/>
      <c r="FZ143" s="9"/>
      <c r="GA143" s="9"/>
      <c r="GB143" s="9"/>
      <c r="GC143" s="9"/>
      <c r="GD143" s="9"/>
      <c r="GE143" s="9"/>
      <c r="GF143" s="9"/>
      <c r="GG143" s="9"/>
      <c r="GH143" s="9"/>
      <c r="GI143" s="9"/>
      <c r="GJ143" s="9"/>
      <c r="GK143" s="9"/>
      <c r="GL143" s="9"/>
      <c r="GM143" s="9"/>
      <c r="GN143" s="9"/>
      <c r="GO143" s="9"/>
      <c r="GP143" s="9"/>
      <c r="GQ143" s="9"/>
      <c r="GR143" s="9"/>
      <c r="GS143" s="9"/>
      <c r="GT143" s="9"/>
      <c r="GU143" s="9"/>
      <c r="GV143" s="9"/>
      <c r="GW143" s="9"/>
      <c r="GX143" s="9"/>
      <c r="GY143" s="10"/>
      <c r="GZ143" s="9"/>
      <c r="HA143" s="9"/>
    </row>
    <row r="144" spans="1:209" s="2" customFormat="1" ht="17" customHeight="1">
      <c r="A144" s="18" t="s">
        <v>143</v>
      </c>
      <c r="B144" s="6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35"/>
      <c r="AA144" s="35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1"/>
      <c r="AX144" s="11"/>
      <c r="AY144" s="11"/>
      <c r="AZ144" s="11"/>
      <c r="BA144" s="11"/>
      <c r="BB144" s="11"/>
      <c r="BC144" s="35"/>
      <c r="BD144" s="35"/>
      <c r="BE144" s="35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9"/>
      <c r="BU144" s="9"/>
      <c r="BV144" s="9"/>
      <c r="BW144" s="9"/>
      <c r="BX144" s="9"/>
      <c r="BY144" s="9"/>
      <c r="BZ144" s="9"/>
      <c r="CA144" s="9"/>
      <c r="CB144" s="9"/>
      <c r="CC144" s="9"/>
      <c r="CD144" s="9"/>
      <c r="CE144" s="9"/>
      <c r="CF144" s="9"/>
      <c r="CG144" s="9"/>
      <c r="CH144" s="9"/>
      <c r="CI144" s="9"/>
      <c r="CJ144" s="9"/>
      <c r="CK144" s="9"/>
      <c r="CL144" s="9"/>
      <c r="CM144" s="9"/>
      <c r="CN144" s="9"/>
      <c r="CO144" s="9"/>
      <c r="CP144" s="9"/>
      <c r="CQ144" s="10"/>
      <c r="CR144" s="9"/>
      <c r="CS144" s="9"/>
      <c r="CT144" s="9"/>
      <c r="CU144" s="9"/>
      <c r="CV144" s="9"/>
      <c r="CW144" s="9"/>
      <c r="CX144" s="9"/>
      <c r="CY144" s="9"/>
      <c r="CZ144" s="9"/>
      <c r="DA144" s="9"/>
      <c r="DB144" s="9"/>
      <c r="DC144" s="9"/>
      <c r="DD144" s="9"/>
      <c r="DE144" s="9"/>
      <c r="DF144" s="9"/>
      <c r="DG144" s="9"/>
      <c r="DH144" s="9"/>
      <c r="DI144" s="9"/>
      <c r="DJ144" s="9"/>
      <c r="DK144" s="9"/>
      <c r="DL144" s="9"/>
      <c r="DM144" s="9"/>
      <c r="DN144" s="9"/>
      <c r="DO144" s="9"/>
      <c r="DP144" s="9"/>
      <c r="DQ144" s="9"/>
      <c r="DR144" s="9"/>
      <c r="DS144" s="10"/>
      <c r="DT144" s="9"/>
      <c r="DU144" s="9"/>
      <c r="DV144" s="9"/>
      <c r="DW144" s="9"/>
      <c r="DX144" s="9"/>
      <c r="DY144" s="9"/>
      <c r="DZ144" s="9"/>
      <c r="EA144" s="9"/>
      <c r="EB144" s="9"/>
      <c r="EC144" s="9"/>
      <c r="ED144" s="9"/>
      <c r="EE144" s="9"/>
      <c r="EF144" s="9"/>
      <c r="EG144" s="9"/>
      <c r="EH144" s="9"/>
      <c r="EI144" s="9"/>
      <c r="EJ144" s="9"/>
      <c r="EK144" s="9"/>
      <c r="EL144" s="9"/>
      <c r="EM144" s="9"/>
      <c r="EN144" s="9"/>
      <c r="EO144" s="9"/>
      <c r="EP144" s="9"/>
      <c r="EQ144" s="9"/>
      <c r="ER144" s="9"/>
      <c r="ES144" s="9"/>
      <c r="ET144" s="9"/>
      <c r="EU144" s="10"/>
      <c r="EV144" s="9"/>
      <c r="EW144" s="9"/>
      <c r="EX144" s="9"/>
      <c r="EY144" s="9"/>
      <c r="EZ144" s="9"/>
      <c r="FA144" s="9"/>
      <c r="FB144" s="9"/>
      <c r="FC144" s="9"/>
      <c r="FD144" s="9"/>
      <c r="FE144" s="9"/>
      <c r="FF144" s="9"/>
      <c r="FG144" s="9"/>
      <c r="FH144" s="9"/>
      <c r="FI144" s="9"/>
      <c r="FJ144" s="9"/>
      <c r="FK144" s="9"/>
      <c r="FL144" s="9"/>
      <c r="FM144" s="9"/>
      <c r="FN144" s="9"/>
      <c r="FO144" s="9"/>
      <c r="FP144" s="9"/>
      <c r="FQ144" s="9"/>
      <c r="FR144" s="9"/>
      <c r="FS144" s="9"/>
      <c r="FT144" s="9"/>
      <c r="FU144" s="9"/>
      <c r="FV144" s="9"/>
      <c r="FW144" s="10"/>
      <c r="FX144" s="9"/>
      <c r="FY144" s="9"/>
      <c r="FZ144" s="9"/>
      <c r="GA144" s="9"/>
      <c r="GB144" s="9"/>
      <c r="GC144" s="9"/>
      <c r="GD144" s="9"/>
      <c r="GE144" s="9"/>
      <c r="GF144" s="9"/>
      <c r="GG144" s="9"/>
      <c r="GH144" s="9"/>
      <c r="GI144" s="9"/>
      <c r="GJ144" s="9"/>
      <c r="GK144" s="9"/>
      <c r="GL144" s="9"/>
      <c r="GM144" s="9"/>
      <c r="GN144" s="9"/>
      <c r="GO144" s="9"/>
      <c r="GP144" s="9"/>
      <c r="GQ144" s="9"/>
      <c r="GR144" s="9"/>
      <c r="GS144" s="9"/>
      <c r="GT144" s="9"/>
      <c r="GU144" s="9"/>
      <c r="GV144" s="9"/>
      <c r="GW144" s="9"/>
      <c r="GX144" s="9"/>
      <c r="GY144" s="10"/>
      <c r="GZ144" s="9"/>
      <c r="HA144" s="9"/>
    </row>
    <row r="145" spans="1:209" s="2" customFormat="1" ht="17" customHeight="1">
      <c r="A145" s="14" t="s">
        <v>144</v>
      </c>
      <c r="B145" s="35">
        <v>1486</v>
      </c>
      <c r="C145" s="35">
        <v>1673.5</v>
      </c>
      <c r="D145" s="4">
        <f t="shared" si="42"/>
        <v>1.1261776581426648</v>
      </c>
      <c r="E145" s="11">
        <v>10</v>
      </c>
      <c r="F145" s="5" t="s">
        <v>362</v>
      </c>
      <c r="G145" s="5" t="s">
        <v>362</v>
      </c>
      <c r="H145" s="5" t="s">
        <v>362</v>
      </c>
      <c r="I145" s="5" t="s">
        <v>362</v>
      </c>
      <c r="J145" s="5" t="s">
        <v>362</v>
      </c>
      <c r="K145" s="5" t="s">
        <v>362</v>
      </c>
      <c r="L145" s="5" t="s">
        <v>362</v>
      </c>
      <c r="M145" s="5" t="s">
        <v>362</v>
      </c>
      <c r="N145" s="35">
        <v>404.5</v>
      </c>
      <c r="O145" s="35">
        <v>270.3</v>
      </c>
      <c r="P145" s="4">
        <f t="shared" si="43"/>
        <v>0.66823238566131027</v>
      </c>
      <c r="Q145" s="11">
        <v>20</v>
      </c>
      <c r="R145" s="35">
        <v>1.4</v>
      </c>
      <c r="S145" s="35">
        <v>1.5</v>
      </c>
      <c r="T145" s="4">
        <f t="shared" si="44"/>
        <v>1.0714285714285714</v>
      </c>
      <c r="U145" s="11">
        <v>20</v>
      </c>
      <c r="V145" s="35">
        <v>1.5</v>
      </c>
      <c r="W145" s="35">
        <v>1.8</v>
      </c>
      <c r="X145" s="4">
        <f t="shared" si="45"/>
        <v>1.2</v>
      </c>
      <c r="Y145" s="11">
        <v>30</v>
      </c>
      <c r="Z145" s="35">
        <v>3000</v>
      </c>
      <c r="AA145" s="35">
        <v>3274</v>
      </c>
      <c r="AB145" s="4">
        <f t="shared" si="46"/>
        <v>1.0913333333333333</v>
      </c>
      <c r="AC145" s="11">
        <v>5</v>
      </c>
      <c r="AD145" s="11">
        <v>18</v>
      </c>
      <c r="AE145" s="11">
        <v>87</v>
      </c>
      <c r="AF145" s="4">
        <f t="shared" si="47"/>
        <v>1.3</v>
      </c>
      <c r="AG145" s="11">
        <v>20</v>
      </c>
      <c r="AH145" s="5" t="s">
        <v>362</v>
      </c>
      <c r="AI145" s="5" t="s">
        <v>362</v>
      </c>
      <c r="AJ145" s="5" t="s">
        <v>362</v>
      </c>
      <c r="AK145" s="5" t="s">
        <v>362</v>
      </c>
      <c r="AL145" s="5" t="s">
        <v>362</v>
      </c>
      <c r="AM145" s="5" t="s">
        <v>362</v>
      </c>
      <c r="AN145" s="5" t="s">
        <v>362</v>
      </c>
      <c r="AO145" s="5" t="s">
        <v>362</v>
      </c>
      <c r="AP145" s="44">
        <f t="shared" si="56"/>
        <v>1.0810634513322948</v>
      </c>
      <c r="AQ145" s="45">
        <v>1180</v>
      </c>
      <c r="AR145" s="35">
        <f t="shared" si="48"/>
        <v>321.81818181818181</v>
      </c>
      <c r="AS145" s="35">
        <f t="shared" si="49"/>
        <v>347.9</v>
      </c>
      <c r="AT145" s="35">
        <f t="shared" si="50"/>
        <v>26.081818181818164</v>
      </c>
      <c r="AU145" s="35">
        <v>79.7</v>
      </c>
      <c r="AV145" s="35">
        <v>107.9</v>
      </c>
      <c r="AW145" s="35">
        <f t="shared" si="51"/>
        <v>160.30000000000001</v>
      </c>
      <c r="AX145" s="35"/>
      <c r="AY145" s="35">
        <f t="shared" si="52"/>
        <v>160.30000000000001</v>
      </c>
      <c r="AZ145" s="35">
        <v>0</v>
      </c>
      <c r="BA145" s="35">
        <f t="shared" si="53"/>
        <v>160.30000000000001</v>
      </c>
      <c r="BB145" s="35">
        <f>MIN(BA145,8)</f>
        <v>8</v>
      </c>
      <c r="BC145" s="35">
        <f t="shared" si="54"/>
        <v>152.30000000000001</v>
      </c>
      <c r="BD145" s="35">
        <v>152.1</v>
      </c>
      <c r="BE145" s="35">
        <f t="shared" si="55"/>
        <v>0.2</v>
      </c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9"/>
      <c r="BU145" s="9"/>
      <c r="BV145" s="9"/>
      <c r="BW145" s="9"/>
      <c r="BX145" s="9"/>
      <c r="BY145" s="9"/>
      <c r="BZ145" s="9"/>
      <c r="CA145" s="9"/>
      <c r="CB145" s="9"/>
      <c r="CC145" s="9"/>
      <c r="CD145" s="9"/>
      <c r="CE145" s="9"/>
      <c r="CF145" s="9"/>
      <c r="CG145" s="9"/>
      <c r="CH145" s="9"/>
      <c r="CI145" s="9"/>
      <c r="CJ145" s="9"/>
      <c r="CK145" s="9"/>
      <c r="CL145" s="9"/>
      <c r="CM145" s="9"/>
      <c r="CN145" s="9"/>
      <c r="CO145" s="9"/>
      <c r="CP145" s="9"/>
      <c r="CQ145" s="10"/>
      <c r="CR145" s="9"/>
      <c r="CS145" s="9"/>
      <c r="CT145" s="9"/>
      <c r="CU145" s="9"/>
      <c r="CV145" s="9"/>
      <c r="CW145" s="9"/>
      <c r="CX145" s="9"/>
      <c r="CY145" s="9"/>
      <c r="CZ145" s="9"/>
      <c r="DA145" s="9"/>
      <c r="DB145" s="9"/>
      <c r="DC145" s="9"/>
      <c r="DD145" s="9"/>
      <c r="DE145" s="9"/>
      <c r="DF145" s="9"/>
      <c r="DG145" s="9"/>
      <c r="DH145" s="9"/>
      <c r="DI145" s="9"/>
      <c r="DJ145" s="9"/>
      <c r="DK145" s="9"/>
      <c r="DL145" s="9"/>
      <c r="DM145" s="9"/>
      <c r="DN145" s="9"/>
      <c r="DO145" s="9"/>
      <c r="DP145" s="9"/>
      <c r="DQ145" s="9"/>
      <c r="DR145" s="9"/>
      <c r="DS145" s="10"/>
      <c r="DT145" s="9"/>
      <c r="DU145" s="9"/>
      <c r="DV145" s="9"/>
      <c r="DW145" s="9"/>
      <c r="DX145" s="9"/>
      <c r="DY145" s="9"/>
      <c r="DZ145" s="9"/>
      <c r="EA145" s="9"/>
      <c r="EB145" s="9"/>
      <c r="EC145" s="9"/>
      <c r="ED145" s="9"/>
      <c r="EE145" s="9"/>
      <c r="EF145" s="9"/>
      <c r="EG145" s="9"/>
      <c r="EH145" s="9"/>
      <c r="EI145" s="9"/>
      <c r="EJ145" s="9"/>
      <c r="EK145" s="9"/>
      <c r="EL145" s="9"/>
      <c r="EM145" s="9"/>
      <c r="EN145" s="9"/>
      <c r="EO145" s="9"/>
      <c r="EP145" s="9"/>
      <c r="EQ145" s="9"/>
      <c r="ER145" s="9"/>
      <c r="ES145" s="9"/>
      <c r="ET145" s="9"/>
      <c r="EU145" s="10"/>
      <c r="EV145" s="9"/>
      <c r="EW145" s="9"/>
      <c r="EX145" s="9"/>
      <c r="EY145" s="9"/>
      <c r="EZ145" s="9"/>
      <c r="FA145" s="9"/>
      <c r="FB145" s="9"/>
      <c r="FC145" s="9"/>
      <c r="FD145" s="9"/>
      <c r="FE145" s="9"/>
      <c r="FF145" s="9"/>
      <c r="FG145" s="9"/>
      <c r="FH145" s="9"/>
      <c r="FI145" s="9"/>
      <c r="FJ145" s="9"/>
      <c r="FK145" s="9"/>
      <c r="FL145" s="9"/>
      <c r="FM145" s="9"/>
      <c r="FN145" s="9"/>
      <c r="FO145" s="9"/>
      <c r="FP145" s="9"/>
      <c r="FQ145" s="9"/>
      <c r="FR145" s="9"/>
      <c r="FS145" s="9"/>
      <c r="FT145" s="9"/>
      <c r="FU145" s="9"/>
      <c r="FV145" s="9"/>
      <c r="FW145" s="10"/>
      <c r="FX145" s="9"/>
      <c r="FY145" s="9"/>
      <c r="FZ145" s="9"/>
      <c r="GA145" s="9"/>
      <c r="GB145" s="9"/>
      <c r="GC145" s="9"/>
      <c r="GD145" s="9"/>
      <c r="GE145" s="9"/>
      <c r="GF145" s="9"/>
      <c r="GG145" s="9"/>
      <c r="GH145" s="9"/>
      <c r="GI145" s="9"/>
      <c r="GJ145" s="9"/>
      <c r="GK145" s="9"/>
      <c r="GL145" s="9"/>
      <c r="GM145" s="9"/>
      <c r="GN145" s="9"/>
      <c r="GO145" s="9"/>
      <c r="GP145" s="9"/>
      <c r="GQ145" s="9"/>
      <c r="GR145" s="9"/>
      <c r="GS145" s="9"/>
      <c r="GT145" s="9"/>
      <c r="GU145" s="9"/>
      <c r="GV145" s="9"/>
      <c r="GW145" s="9"/>
      <c r="GX145" s="9"/>
      <c r="GY145" s="10"/>
      <c r="GZ145" s="9"/>
      <c r="HA145" s="9"/>
    </row>
    <row r="146" spans="1:209" s="2" customFormat="1" ht="17" customHeight="1">
      <c r="A146" s="14" t="s">
        <v>145</v>
      </c>
      <c r="B146" s="35">
        <v>432</v>
      </c>
      <c r="C146" s="35">
        <v>437.7</v>
      </c>
      <c r="D146" s="4">
        <f t="shared" si="42"/>
        <v>1.0131944444444445</v>
      </c>
      <c r="E146" s="11">
        <v>10</v>
      </c>
      <c r="F146" s="5" t="s">
        <v>362</v>
      </c>
      <c r="G146" s="5" t="s">
        <v>362</v>
      </c>
      <c r="H146" s="5" t="s">
        <v>362</v>
      </c>
      <c r="I146" s="5" t="s">
        <v>362</v>
      </c>
      <c r="J146" s="5" t="s">
        <v>362</v>
      </c>
      <c r="K146" s="5" t="s">
        <v>362</v>
      </c>
      <c r="L146" s="5" t="s">
        <v>362</v>
      </c>
      <c r="M146" s="5" t="s">
        <v>362</v>
      </c>
      <c r="N146" s="35">
        <v>676.2</v>
      </c>
      <c r="O146" s="35">
        <v>1587</v>
      </c>
      <c r="P146" s="4">
        <f t="shared" si="43"/>
        <v>1.3</v>
      </c>
      <c r="Q146" s="11">
        <v>20</v>
      </c>
      <c r="R146" s="35">
        <v>0.6</v>
      </c>
      <c r="S146" s="35">
        <v>0.6</v>
      </c>
      <c r="T146" s="4">
        <f t="shared" si="44"/>
        <v>1</v>
      </c>
      <c r="U146" s="11">
        <v>15</v>
      </c>
      <c r="V146" s="35">
        <v>0.9</v>
      </c>
      <c r="W146" s="35">
        <v>0.9</v>
      </c>
      <c r="X146" s="4">
        <f t="shared" si="45"/>
        <v>1</v>
      </c>
      <c r="Y146" s="11">
        <v>35</v>
      </c>
      <c r="Z146" s="35">
        <v>9500</v>
      </c>
      <c r="AA146" s="35">
        <v>10356</v>
      </c>
      <c r="AB146" s="4">
        <f t="shared" si="46"/>
        <v>1.0901052631578947</v>
      </c>
      <c r="AC146" s="11">
        <v>5</v>
      </c>
      <c r="AD146" s="11">
        <v>37</v>
      </c>
      <c r="AE146" s="11">
        <v>37</v>
      </c>
      <c r="AF146" s="4">
        <f t="shared" si="47"/>
        <v>1</v>
      </c>
      <c r="AG146" s="11">
        <v>20</v>
      </c>
      <c r="AH146" s="5" t="s">
        <v>362</v>
      </c>
      <c r="AI146" s="5" t="s">
        <v>362</v>
      </c>
      <c r="AJ146" s="5" t="s">
        <v>362</v>
      </c>
      <c r="AK146" s="5" t="s">
        <v>362</v>
      </c>
      <c r="AL146" s="5" t="s">
        <v>362</v>
      </c>
      <c r="AM146" s="5" t="s">
        <v>362</v>
      </c>
      <c r="AN146" s="5" t="s">
        <v>362</v>
      </c>
      <c r="AO146" s="5" t="s">
        <v>362</v>
      </c>
      <c r="AP146" s="44">
        <f t="shared" si="56"/>
        <v>1.0626901977165135</v>
      </c>
      <c r="AQ146" s="45">
        <v>594</v>
      </c>
      <c r="AR146" s="35">
        <f t="shared" si="48"/>
        <v>162</v>
      </c>
      <c r="AS146" s="35">
        <f t="shared" si="49"/>
        <v>172.2</v>
      </c>
      <c r="AT146" s="35">
        <f t="shared" si="50"/>
        <v>10.199999999999989</v>
      </c>
      <c r="AU146" s="35">
        <v>57.3</v>
      </c>
      <c r="AV146" s="35">
        <v>58.1</v>
      </c>
      <c r="AW146" s="35">
        <f t="shared" si="51"/>
        <v>56.8</v>
      </c>
      <c r="AX146" s="35"/>
      <c r="AY146" s="35">
        <f t="shared" si="52"/>
        <v>56.8</v>
      </c>
      <c r="AZ146" s="35">
        <v>0</v>
      </c>
      <c r="BA146" s="35">
        <f t="shared" si="53"/>
        <v>56.8</v>
      </c>
      <c r="BB146" s="35"/>
      <c r="BC146" s="35">
        <f t="shared" si="54"/>
        <v>56.8</v>
      </c>
      <c r="BD146" s="35">
        <v>56.5</v>
      </c>
      <c r="BE146" s="35">
        <f t="shared" si="55"/>
        <v>0.3</v>
      </c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9"/>
      <c r="BU146" s="9"/>
      <c r="BV146" s="9"/>
      <c r="BW146" s="9"/>
      <c r="BX146" s="9"/>
      <c r="BY146" s="9"/>
      <c r="BZ146" s="9"/>
      <c r="CA146" s="9"/>
      <c r="CB146" s="9"/>
      <c r="CC146" s="9"/>
      <c r="CD146" s="9"/>
      <c r="CE146" s="9"/>
      <c r="CF146" s="9"/>
      <c r="CG146" s="9"/>
      <c r="CH146" s="9"/>
      <c r="CI146" s="9"/>
      <c r="CJ146" s="9"/>
      <c r="CK146" s="9"/>
      <c r="CL146" s="9"/>
      <c r="CM146" s="9"/>
      <c r="CN146" s="9"/>
      <c r="CO146" s="9"/>
      <c r="CP146" s="9"/>
      <c r="CQ146" s="10"/>
      <c r="CR146" s="9"/>
      <c r="CS146" s="9"/>
      <c r="CT146" s="9"/>
      <c r="CU146" s="9"/>
      <c r="CV146" s="9"/>
      <c r="CW146" s="9"/>
      <c r="CX146" s="9"/>
      <c r="CY146" s="9"/>
      <c r="CZ146" s="9"/>
      <c r="DA146" s="9"/>
      <c r="DB146" s="9"/>
      <c r="DC146" s="9"/>
      <c r="DD146" s="9"/>
      <c r="DE146" s="9"/>
      <c r="DF146" s="9"/>
      <c r="DG146" s="9"/>
      <c r="DH146" s="9"/>
      <c r="DI146" s="9"/>
      <c r="DJ146" s="9"/>
      <c r="DK146" s="9"/>
      <c r="DL146" s="9"/>
      <c r="DM146" s="9"/>
      <c r="DN146" s="9"/>
      <c r="DO146" s="9"/>
      <c r="DP146" s="9"/>
      <c r="DQ146" s="9"/>
      <c r="DR146" s="9"/>
      <c r="DS146" s="10"/>
      <c r="DT146" s="9"/>
      <c r="DU146" s="9"/>
      <c r="DV146" s="9"/>
      <c r="DW146" s="9"/>
      <c r="DX146" s="9"/>
      <c r="DY146" s="9"/>
      <c r="DZ146" s="9"/>
      <c r="EA146" s="9"/>
      <c r="EB146" s="9"/>
      <c r="EC146" s="9"/>
      <c r="ED146" s="9"/>
      <c r="EE146" s="9"/>
      <c r="EF146" s="9"/>
      <c r="EG146" s="9"/>
      <c r="EH146" s="9"/>
      <c r="EI146" s="9"/>
      <c r="EJ146" s="9"/>
      <c r="EK146" s="9"/>
      <c r="EL146" s="9"/>
      <c r="EM146" s="9"/>
      <c r="EN146" s="9"/>
      <c r="EO146" s="9"/>
      <c r="EP146" s="9"/>
      <c r="EQ146" s="9"/>
      <c r="ER146" s="9"/>
      <c r="ES146" s="9"/>
      <c r="ET146" s="9"/>
      <c r="EU146" s="10"/>
      <c r="EV146" s="9"/>
      <c r="EW146" s="9"/>
      <c r="EX146" s="9"/>
      <c r="EY146" s="9"/>
      <c r="EZ146" s="9"/>
      <c r="FA146" s="9"/>
      <c r="FB146" s="9"/>
      <c r="FC146" s="9"/>
      <c r="FD146" s="9"/>
      <c r="FE146" s="9"/>
      <c r="FF146" s="9"/>
      <c r="FG146" s="9"/>
      <c r="FH146" s="9"/>
      <c r="FI146" s="9"/>
      <c r="FJ146" s="9"/>
      <c r="FK146" s="9"/>
      <c r="FL146" s="9"/>
      <c r="FM146" s="9"/>
      <c r="FN146" s="9"/>
      <c r="FO146" s="9"/>
      <c r="FP146" s="9"/>
      <c r="FQ146" s="9"/>
      <c r="FR146" s="9"/>
      <c r="FS146" s="9"/>
      <c r="FT146" s="9"/>
      <c r="FU146" s="9"/>
      <c r="FV146" s="9"/>
      <c r="FW146" s="10"/>
      <c r="FX146" s="9"/>
      <c r="FY146" s="9"/>
      <c r="FZ146" s="9"/>
      <c r="GA146" s="9"/>
      <c r="GB146" s="9"/>
      <c r="GC146" s="9"/>
      <c r="GD146" s="9"/>
      <c r="GE146" s="9"/>
      <c r="GF146" s="9"/>
      <c r="GG146" s="9"/>
      <c r="GH146" s="9"/>
      <c r="GI146" s="9"/>
      <c r="GJ146" s="9"/>
      <c r="GK146" s="9"/>
      <c r="GL146" s="9"/>
      <c r="GM146" s="9"/>
      <c r="GN146" s="9"/>
      <c r="GO146" s="9"/>
      <c r="GP146" s="9"/>
      <c r="GQ146" s="9"/>
      <c r="GR146" s="9"/>
      <c r="GS146" s="9"/>
      <c r="GT146" s="9"/>
      <c r="GU146" s="9"/>
      <c r="GV146" s="9"/>
      <c r="GW146" s="9"/>
      <c r="GX146" s="9"/>
      <c r="GY146" s="10"/>
      <c r="GZ146" s="9"/>
      <c r="HA146" s="9"/>
    </row>
    <row r="147" spans="1:209" s="2" customFormat="1" ht="17" customHeight="1">
      <c r="A147" s="14" t="s">
        <v>146</v>
      </c>
      <c r="B147" s="35">
        <v>4351</v>
      </c>
      <c r="C147" s="35">
        <v>4458.8999999999996</v>
      </c>
      <c r="D147" s="4">
        <f t="shared" si="42"/>
        <v>1.0247988968053321</v>
      </c>
      <c r="E147" s="11">
        <v>10</v>
      </c>
      <c r="F147" s="5" t="s">
        <v>362</v>
      </c>
      <c r="G147" s="5" t="s">
        <v>362</v>
      </c>
      <c r="H147" s="5" t="s">
        <v>362</v>
      </c>
      <c r="I147" s="5" t="s">
        <v>362</v>
      </c>
      <c r="J147" s="5" t="s">
        <v>362</v>
      </c>
      <c r="K147" s="5" t="s">
        <v>362</v>
      </c>
      <c r="L147" s="5" t="s">
        <v>362</v>
      </c>
      <c r="M147" s="5" t="s">
        <v>362</v>
      </c>
      <c r="N147" s="35">
        <v>1098.4000000000001</v>
      </c>
      <c r="O147" s="35">
        <v>785.1</v>
      </c>
      <c r="P147" s="4">
        <f t="shared" si="43"/>
        <v>0.71476693372177713</v>
      </c>
      <c r="Q147" s="11">
        <v>20</v>
      </c>
      <c r="R147" s="35">
        <v>1265</v>
      </c>
      <c r="S147" s="35">
        <v>1928.3</v>
      </c>
      <c r="T147" s="4">
        <f t="shared" si="44"/>
        <v>1.2324347826086957</v>
      </c>
      <c r="U147" s="11">
        <v>10</v>
      </c>
      <c r="V147" s="35">
        <v>3</v>
      </c>
      <c r="W147" s="35">
        <v>18.899999999999999</v>
      </c>
      <c r="X147" s="4">
        <f t="shared" si="45"/>
        <v>1.3</v>
      </c>
      <c r="Y147" s="11">
        <v>40</v>
      </c>
      <c r="Z147" s="35">
        <v>9000</v>
      </c>
      <c r="AA147" s="35">
        <v>9719</v>
      </c>
      <c r="AB147" s="4">
        <f t="shared" si="46"/>
        <v>1.0798888888888889</v>
      </c>
      <c r="AC147" s="11">
        <v>5</v>
      </c>
      <c r="AD147" s="11">
        <v>903</v>
      </c>
      <c r="AE147" s="11">
        <v>980</v>
      </c>
      <c r="AF147" s="4">
        <f t="shared" si="47"/>
        <v>1.0852713178294573</v>
      </c>
      <c r="AG147" s="11">
        <v>20</v>
      </c>
      <c r="AH147" s="5" t="s">
        <v>362</v>
      </c>
      <c r="AI147" s="5" t="s">
        <v>362</v>
      </c>
      <c r="AJ147" s="5" t="s">
        <v>362</v>
      </c>
      <c r="AK147" s="5" t="s">
        <v>362</v>
      </c>
      <c r="AL147" s="5" t="s">
        <v>362</v>
      </c>
      <c r="AM147" s="5" t="s">
        <v>362</v>
      </c>
      <c r="AN147" s="5" t="s">
        <v>362</v>
      </c>
      <c r="AO147" s="5" t="s">
        <v>362</v>
      </c>
      <c r="AP147" s="44">
        <f t="shared" si="56"/>
        <v>1.1045004406629466</v>
      </c>
      <c r="AQ147" s="45">
        <v>1921</v>
      </c>
      <c r="AR147" s="35">
        <f t="shared" si="48"/>
        <v>523.90909090909088</v>
      </c>
      <c r="AS147" s="35">
        <f t="shared" si="49"/>
        <v>578.70000000000005</v>
      </c>
      <c r="AT147" s="35">
        <f t="shared" si="50"/>
        <v>54.790909090909167</v>
      </c>
      <c r="AU147" s="35">
        <v>201.2</v>
      </c>
      <c r="AV147" s="35">
        <v>183</v>
      </c>
      <c r="AW147" s="35">
        <f t="shared" si="51"/>
        <v>194.5</v>
      </c>
      <c r="AX147" s="35"/>
      <c r="AY147" s="35">
        <f t="shared" si="52"/>
        <v>194.5</v>
      </c>
      <c r="AZ147" s="35">
        <v>0</v>
      </c>
      <c r="BA147" s="35">
        <f t="shared" si="53"/>
        <v>194.5</v>
      </c>
      <c r="BB147" s="35"/>
      <c r="BC147" s="35">
        <f t="shared" si="54"/>
        <v>194.5</v>
      </c>
      <c r="BD147" s="35">
        <v>195.1</v>
      </c>
      <c r="BE147" s="35">
        <f t="shared" si="55"/>
        <v>-0.6</v>
      </c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9"/>
      <c r="BU147" s="9"/>
      <c r="BV147" s="9"/>
      <c r="BW147" s="9"/>
      <c r="BX147" s="9"/>
      <c r="BY147" s="9"/>
      <c r="BZ147" s="9"/>
      <c r="CA147" s="9"/>
      <c r="CB147" s="9"/>
      <c r="CC147" s="9"/>
      <c r="CD147" s="9"/>
      <c r="CE147" s="9"/>
      <c r="CF147" s="9"/>
      <c r="CG147" s="9"/>
      <c r="CH147" s="9"/>
      <c r="CI147" s="9"/>
      <c r="CJ147" s="9"/>
      <c r="CK147" s="9"/>
      <c r="CL147" s="9"/>
      <c r="CM147" s="9"/>
      <c r="CN147" s="9"/>
      <c r="CO147" s="9"/>
      <c r="CP147" s="9"/>
      <c r="CQ147" s="10"/>
      <c r="CR147" s="9"/>
      <c r="CS147" s="9"/>
      <c r="CT147" s="9"/>
      <c r="CU147" s="9"/>
      <c r="CV147" s="9"/>
      <c r="CW147" s="9"/>
      <c r="CX147" s="9"/>
      <c r="CY147" s="9"/>
      <c r="CZ147" s="9"/>
      <c r="DA147" s="9"/>
      <c r="DB147" s="9"/>
      <c r="DC147" s="9"/>
      <c r="DD147" s="9"/>
      <c r="DE147" s="9"/>
      <c r="DF147" s="9"/>
      <c r="DG147" s="9"/>
      <c r="DH147" s="9"/>
      <c r="DI147" s="9"/>
      <c r="DJ147" s="9"/>
      <c r="DK147" s="9"/>
      <c r="DL147" s="9"/>
      <c r="DM147" s="9"/>
      <c r="DN147" s="9"/>
      <c r="DO147" s="9"/>
      <c r="DP147" s="9"/>
      <c r="DQ147" s="9"/>
      <c r="DR147" s="9"/>
      <c r="DS147" s="10"/>
      <c r="DT147" s="9"/>
      <c r="DU147" s="9"/>
      <c r="DV147" s="9"/>
      <c r="DW147" s="9"/>
      <c r="DX147" s="9"/>
      <c r="DY147" s="9"/>
      <c r="DZ147" s="9"/>
      <c r="EA147" s="9"/>
      <c r="EB147" s="9"/>
      <c r="EC147" s="9"/>
      <c r="ED147" s="9"/>
      <c r="EE147" s="9"/>
      <c r="EF147" s="9"/>
      <c r="EG147" s="9"/>
      <c r="EH147" s="9"/>
      <c r="EI147" s="9"/>
      <c r="EJ147" s="9"/>
      <c r="EK147" s="9"/>
      <c r="EL147" s="9"/>
      <c r="EM147" s="9"/>
      <c r="EN147" s="9"/>
      <c r="EO147" s="9"/>
      <c r="EP147" s="9"/>
      <c r="EQ147" s="9"/>
      <c r="ER147" s="9"/>
      <c r="ES147" s="9"/>
      <c r="ET147" s="9"/>
      <c r="EU147" s="10"/>
      <c r="EV147" s="9"/>
      <c r="EW147" s="9"/>
      <c r="EX147" s="9"/>
      <c r="EY147" s="9"/>
      <c r="EZ147" s="9"/>
      <c r="FA147" s="9"/>
      <c r="FB147" s="9"/>
      <c r="FC147" s="9"/>
      <c r="FD147" s="9"/>
      <c r="FE147" s="9"/>
      <c r="FF147" s="9"/>
      <c r="FG147" s="9"/>
      <c r="FH147" s="9"/>
      <c r="FI147" s="9"/>
      <c r="FJ147" s="9"/>
      <c r="FK147" s="9"/>
      <c r="FL147" s="9"/>
      <c r="FM147" s="9"/>
      <c r="FN147" s="9"/>
      <c r="FO147" s="9"/>
      <c r="FP147" s="9"/>
      <c r="FQ147" s="9"/>
      <c r="FR147" s="9"/>
      <c r="FS147" s="9"/>
      <c r="FT147" s="9"/>
      <c r="FU147" s="9"/>
      <c r="FV147" s="9"/>
      <c r="FW147" s="10"/>
      <c r="FX147" s="9"/>
      <c r="FY147" s="9"/>
      <c r="FZ147" s="9"/>
      <c r="GA147" s="9"/>
      <c r="GB147" s="9"/>
      <c r="GC147" s="9"/>
      <c r="GD147" s="9"/>
      <c r="GE147" s="9"/>
      <c r="GF147" s="9"/>
      <c r="GG147" s="9"/>
      <c r="GH147" s="9"/>
      <c r="GI147" s="9"/>
      <c r="GJ147" s="9"/>
      <c r="GK147" s="9"/>
      <c r="GL147" s="9"/>
      <c r="GM147" s="9"/>
      <c r="GN147" s="9"/>
      <c r="GO147" s="9"/>
      <c r="GP147" s="9"/>
      <c r="GQ147" s="9"/>
      <c r="GR147" s="9"/>
      <c r="GS147" s="9"/>
      <c r="GT147" s="9"/>
      <c r="GU147" s="9"/>
      <c r="GV147" s="9"/>
      <c r="GW147" s="9"/>
      <c r="GX147" s="9"/>
      <c r="GY147" s="10"/>
      <c r="GZ147" s="9"/>
      <c r="HA147" s="9"/>
    </row>
    <row r="148" spans="1:209" s="2" customFormat="1" ht="17" customHeight="1">
      <c r="A148" s="14" t="s">
        <v>147</v>
      </c>
      <c r="B148" s="35">
        <v>18514</v>
      </c>
      <c r="C148" s="35">
        <v>20469.3</v>
      </c>
      <c r="D148" s="4">
        <f t="shared" si="42"/>
        <v>1.1056119693205142</v>
      </c>
      <c r="E148" s="11">
        <v>10</v>
      </c>
      <c r="F148" s="5" t="s">
        <v>362</v>
      </c>
      <c r="G148" s="5" t="s">
        <v>362</v>
      </c>
      <c r="H148" s="5" t="s">
        <v>362</v>
      </c>
      <c r="I148" s="5" t="s">
        <v>362</v>
      </c>
      <c r="J148" s="5" t="s">
        <v>362</v>
      </c>
      <c r="K148" s="5" t="s">
        <v>362</v>
      </c>
      <c r="L148" s="5" t="s">
        <v>362</v>
      </c>
      <c r="M148" s="5" t="s">
        <v>362</v>
      </c>
      <c r="N148" s="35">
        <v>889</v>
      </c>
      <c r="O148" s="35">
        <v>1273.8</v>
      </c>
      <c r="P148" s="4">
        <f t="shared" si="43"/>
        <v>1.2232845894263216</v>
      </c>
      <c r="Q148" s="11">
        <v>20</v>
      </c>
      <c r="R148" s="35">
        <v>6.2</v>
      </c>
      <c r="S148" s="35">
        <v>6.2</v>
      </c>
      <c r="T148" s="4">
        <f t="shared" si="44"/>
        <v>1</v>
      </c>
      <c r="U148" s="11">
        <v>20</v>
      </c>
      <c r="V148" s="35">
        <v>7.6</v>
      </c>
      <c r="W148" s="35">
        <v>7.6</v>
      </c>
      <c r="X148" s="4">
        <f t="shared" si="45"/>
        <v>1</v>
      </c>
      <c r="Y148" s="11">
        <v>30</v>
      </c>
      <c r="Z148" s="35">
        <v>78000</v>
      </c>
      <c r="AA148" s="35">
        <v>78427</v>
      </c>
      <c r="AB148" s="4">
        <f t="shared" si="46"/>
        <v>1.0054743589743589</v>
      </c>
      <c r="AC148" s="11">
        <v>5</v>
      </c>
      <c r="AD148" s="11">
        <v>236</v>
      </c>
      <c r="AE148" s="11">
        <v>293</v>
      </c>
      <c r="AF148" s="4">
        <f t="shared" si="47"/>
        <v>1.2041525423728814</v>
      </c>
      <c r="AG148" s="11">
        <v>20</v>
      </c>
      <c r="AH148" s="5" t="s">
        <v>362</v>
      </c>
      <c r="AI148" s="5" t="s">
        <v>362</v>
      </c>
      <c r="AJ148" s="5" t="s">
        <v>362</v>
      </c>
      <c r="AK148" s="5" t="s">
        <v>362</v>
      </c>
      <c r="AL148" s="5" t="s">
        <v>362</v>
      </c>
      <c r="AM148" s="5" t="s">
        <v>362</v>
      </c>
      <c r="AN148" s="5" t="s">
        <v>362</v>
      </c>
      <c r="AO148" s="5" t="s">
        <v>362</v>
      </c>
      <c r="AP148" s="44">
        <f t="shared" si="56"/>
        <v>1.0917355630862953</v>
      </c>
      <c r="AQ148" s="45">
        <v>4243</v>
      </c>
      <c r="AR148" s="35">
        <f t="shared" si="48"/>
        <v>1157.1818181818182</v>
      </c>
      <c r="AS148" s="35">
        <f t="shared" si="49"/>
        <v>1263.3</v>
      </c>
      <c r="AT148" s="35">
        <f t="shared" si="50"/>
        <v>106.11818181818171</v>
      </c>
      <c r="AU148" s="35">
        <v>373.3</v>
      </c>
      <c r="AV148" s="35">
        <v>419.5</v>
      </c>
      <c r="AW148" s="35">
        <f t="shared" si="51"/>
        <v>470.5</v>
      </c>
      <c r="AX148" s="35"/>
      <c r="AY148" s="35">
        <f t="shared" si="52"/>
        <v>470.5</v>
      </c>
      <c r="AZ148" s="35">
        <v>0</v>
      </c>
      <c r="BA148" s="35">
        <f t="shared" si="53"/>
        <v>470.5</v>
      </c>
      <c r="BB148" s="35"/>
      <c r="BC148" s="35">
        <f t="shared" si="54"/>
        <v>470.5</v>
      </c>
      <c r="BD148" s="35">
        <v>475.5</v>
      </c>
      <c r="BE148" s="35">
        <f t="shared" si="55"/>
        <v>-5</v>
      </c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9"/>
      <c r="BU148" s="9"/>
      <c r="BV148" s="9"/>
      <c r="BW148" s="9"/>
      <c r="BX148" s="9"/>
      <c r="BY148" s="9"/>
      <c r="BZ148" s="9"/>
      <c r="CA148" s="9"/>
      <c r="CB148" s="9"/>
      <c r="CC148" s="9"/>
      <c r="CD148" s="9"/>
      <c r="CE148" s="9"/>
      <c r="CF148" s="9"/>
      <c r="CG148" s="9"/>
      <c r="CH148" s="9"/>
      <c r="CI148" s="9"/>
      <c r="CJ148" s="9"/>
      <c r="CK148" s="9"/>
      <c r="CL148" s="9"/>
      <c r="CM148" s="9"/>
      <c r="CN148" s="9"/>
      <c r="CO148" s="9"/>
      <c r="CP148" s="9"/>
      <c r="CQ148" s="10"/>
      <c r="CR148" s="9"/>
      <c r="CS148" s="9"/>
      <c r="CT148" s="9"/>
      <c r="CU148" s="9"/>
      <c r="CV148" s="9"/>
      <c r="CW148" s="9"/>
      <c r="CX148" s="9"/>
      <c r="CY148" s="9"/>
      <c r="CZ148" s="9"/>
      <c r="DA148" s="9"/>
      <c r="DB148" s="9"/>
      <c r="DC148" s="9"/>
      <c r="DD148" s="9"/>
      <c r="DE148" s="9"/>
      <c r="DF148" s="9"/>
      <c r="DG148" s="9"/>
      <c r="DH148" s="9"/>
      <c r="DI148" s="9"/>
      <c r="DJ148" s="9"/>
      <c r="DK148" s="9"/>
      <c r="DL148" s="9"/>
      <c r="DM148" s="9"/>
      <c r="DN148" s="9"/>
      <c r="DO148" s="9"/>
      <c r="DP148" s="9"/>
      <c r="DQ148" s="9"/>
      <c r="DR148" s="9"/>
      <c r="DS148" s="10"/>
      <c r="DT148" s="9"/>
      <c r="DU148" s="9"/>
      <c r="DV148" s="9"/>
      <c r="DW148" s="9"/>
      <c r="DX148" s="9"/>
      <c r="DY148" s="9"/>
      <c r="DZ148" s="9"/>
      <c r="EA148" s="9"/>
      <c r="EB148" s="9"/>
      <c r="EC148" s="9"/>
      <c r="ED148" s="9"/>
      <c r="EE148" s="9"/>
      <c r="EF148" s="9"/>
      <c r="EG148" s="9"/>
      <c r="EH148" s="9"/>
      <c r="EI148" s="9"/>
      <c r="EJ148" s="9"/>
      <c r="EK148" s="9"/>
      <c r="EL148" s="9"/>
      <c r="EM148" s="9"/>
      <c r="EN148" s="9"/>
      <c r="EO148" s="9"/>
      <c r="EP148" s="9"/>
      <c r="EQ148" s="9"/>
      <c r="ER148" s="9"/>
      <c r="ES148" s="9"/>
      <c r="ET148" s="9"/>
      <c r="EU148" s="10"/>
      <c r="EV148" s="9"/>
      <c r="EW148" s="9"/>
      <c r="EX148" s="9"/>
      <c r="EY148" s="9"/>
      <c r="EZ148" s="9"/>
      <c r="FA148" s="9"/>
      <c r="FB148" s="9"/>
      <c r="FC148" s="9"/>
      <c r="FD148" s="9"/>
      <c r="FE148" s="9"/>
      <c r="FF148" s="9"/>
      <c r="FG148" s="9"/>
      <c r="FH148" s="9"/>
      <c r="FI148" s="9"/>
      <c r="FJ148" s="9"/>
      <c r="FK148" s="9"/>
      <c r="FL148" s="9"/>
      <c r="FM148" s="9"/>
      <c r="FN148" s="9"/>
      <c r="FO148" s="9"/>
      <c r="FP148" s="9"/>
      <c r="FQ148" s="9"/>
      <c r="FR148" s="9"/>
      <c r="FS148" s="9"/>
      <c r="FT148" s="9"/>
      <c r="FU148" s="9"/>
      <c r="FV148" s="9"/>
      <c r="FW148" s="10"/>
      <c r="FX148" s="9"/>
      <c r="FY148" s="9"/>
      <c r="FZ148" s="9"/>
      <c r="GA148" s="9"/>
      <c r="GB148" s="9"/>
      <c r="GC148" s="9"/>
      <c r="GD148" s="9"/>
      <c r="GE148" s="9"/>
      <c r="GF148" s="9"/>
      <c r="GG148" s="9"/>
      <c r="GH148" s="9"/>
      <c r="GI148" s="9"/>
      <c r="GJ148" s="9"/>
      <c r="GK148" s="9"/>
      <c r="GL148" s="9"/>
      <c r="GM148" s="9"/>
      <c r="GN148" s="9"/>
      <c r="GO148" s="9"/>
      <c r="GP148" s="9"/>
      <c r="GQ148" s="9"/>
      <c r="GR148" s="9"/>
      <c r="GS148" s="9"/>
      <c r="GT148" s="9"/>
      <c r="GU148" s="9"/>
      <c r="GV148" s="9"/>
      <c r="GW148" s="9"/>
      <c r="GX148" s="9"/>
      <c r="GY148" s="10"/>
      <c r="GZ148" s="9"/>
      <c r="HA148" s="9"/>
    </row>
    <row r="149" spans="1:209" s="2" customFormat="1" ht="17" customHeight="1">
      <c r="A149" s="14" t="s">
        <v>148</v>
      </c>
      <c r="B149" s="35">
        <v>437</v>
      </c>
      <c r="C149" s="35">
        <v>440.3</v>
      </c>
      <c r="D149" s="4">
        <f t="shared" si="42"/>
        <v>1.0075514874141878</v>
      </c>
      <c r="E149" s="11">
        <v>10</v>
      </c>
      <c r="F149" s="5" t="s">
        <v>362</v>
      </c>
      <c r="G149" s="5" t="s">
        <v>362</v>
      </c>
      <c r="H149" s="5" t="s">
        <v>362</v>
      </c>
      <c r="I149" s="5" t="s">
        <v>362</v>
      </c>
      <c r="J149" s="5" t="s">
        <v>362</v>
      </c>
      <c r="K149" s="5" t="s">
        <v>362</v>
      </c>
      <c r="L149" s="5" t="s">
        <v>362</v>
      </c>
      <c r="M149" s="5" t="s">
        <v>362</v>
      </c>
      <c r="N149" s="35">
        <v>2060.4</v>
      </c>
      <c r="O149" s="35">
        <v>1759.7</v>
      </c>
      <c r="P149" s="4">
        <f t="shared" si="43"/>
        <v>0.85405746456998644</v>
      </c>
      <c r="Q149" s="11">
        <v>20</v>
      </c>
      <c r="R149" s="35">
        <v>399.3</v>
      </c>
      <c r="S149" s="35">
        <v>430.8</v>
      </c>
      <c r="T149" s="4">
        <f t="shared" si="44"/>
        <v>1.0788880540946657</v>
      </c>
      <c r="U149" s="11">
        <v>35</v>
      </c>
      <c r="V149" s="35">
        <v>7</v>
      </c>
      <c r="W149" s="35">
        <v>7.7</v>
      </c>
      <c r="X149" s="4">
        <f t="shared" si="45"/>
        <v>1.1000000000000001</v>
      </c>
      <c r="Y149" s="11">
        <v>15</v>
      </c>
      <c r="Z149" s="35">
        <v>8500</v>
      </c>
      <c r="AA149" s="35">
        <v>8780</v>
      </c>
      <c r="AB149" s="4">
        <f t="shared" si="46"/>
        <v>1.0329411764705883</v>
      </c>
      <c r="AC149" s="11">
        <v>5</v>
      </c>
      <c r="AD149" s="11">
        <v>800</v>
      </c>
      <c r="AE149" s="11">
        <v>846</v>
      </c>
      <c r="AF149" s="4">
        <f t="shared" si="47"/>
        <v>1.0575000000000001</v>
      </c>
      <c r="AG149" s="11">
        <v>20</v>
      </c>
      <c r="AH149" s="5" t="s">
        <v>362</v>
      </c>
      <c r="AI149" s="5" t="s">
        <v>362</v>
      </c>
      <c r="AJ149" s="5" t="s">
        <v>362</v>
      </c>
      <c r="AK149" s="5" t="s">
        <v>362</v>
      </c>
      <c r="AL149" s="5" t="s">
        <v>362</v>
      </c>
      <c r="AM149" s="5" t="s">
        <v>362</v>
      </c>
      <c r="AN149" s="5" t="s">
        <v>362</v>
      </c>
      <c r="AO149" s="5" t="s">
        <v>362</v>
      </c>
      <c r="AP149" s="44">
        <f t="shared" si="56"/>
        <v>1.0260233518210271</v>
      </c>
      <c r="AQ149" s="45">
        <v>1571</v>
      </c>
      <c r="AR149" s="35">
        <f t="shared" si="48"/>
        <v>428.45454545454544</v>
      </c>
      <c r="AS149" s="35">
        <f t="shared" si="49"/>
        <v>439.6</v>
      </c>
      <c r="AT149" s="35">
        <f t="shared" si="50"/>
        <v>11.145454545454584</v>
      </c>
      <c r="AU149" s="35">
        <v>164.1</v>
      </c>
      <c r="AV149" s="35">
        <v>137.69999999999999</v>
      </c>
      <c r="AW149" s="35">
        <f t="shared" si="51"/>
        <v>137.80000000000001</v>
      </c>
      <c r="AX149" s="35"/>
      <c r="AY149" s="35">
        <f t="shared" si="52"/>
        <v>137.80000000000001</v>
      </c>
      <c r="AZ149" s="35">
        <v>0</v>
      </c>
      <c r="BA149" s="35">
        <f t="shared" si="53"/>
        <v>137.80000000000001</v>
      </c>
      <c r="BB149" s="35"/>
      <c r="BC149" s="35">
        <f t="shared" si="54"/>
        <v>137.80000000000001</v>
      </c>
      <c r="BD149" s="35">
        <v>137.69999999999999</v>
      </c>
      <c r="BE149" s="35">
        <f t="shared" si="55"/>
        <v>0.1</v>
      </c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9"/>
      <c r="BU149" s="9"/>
      <c r="BV149" s="9"/>
      <c r="BW149" s="9"/>
      <c r="BX149" s="9"/>
      <c r="BY149" s="9"/>
      <c r="BZ149" s="9"/>
      <c r="CA149" s="9"/>
      <c r="CB149" s="9"/>
      <c r="CC149" s="9"/>
      <c r="CD149" s="9"/>
      <c r="CE149" s="9"/>
      <c r="CF149" s="9"/>
      <c r="CG149" s="9"/>
      <c r="CH149" s="9"/>
      <c r="CI149" s="9"/>
      <c r="CJ149" s="9"/>
      <c r="CK149" s="9"/>
      <c r="CL149" s="9"/>
      <c r="CM149" s="9"/>
      <c r="CN149" s="9"/>
      <c r="CO149" s="9"/>
      <c r="CP149" s="9"/>
      <c r="CQ149" s="10"/>
      <c r="CR149" s="9"/>
      <c r="CS149" s="9"/>
      <c r="CT149" s="9"/>
      <c r="CU149" s="9"/>
      <c r="CV149" s="9"/>
      <c r="CW149" s="9"/>
      <c r="CX149" s="9"/>
      <c r="CY149" s="9"/>
      <c r="CZ149" s="9"/>
      <c r="DA149" s="9"/>
      <c r="DB149" s="9"/>
      <c r="DC149" s="9"/>
      <c r="DD149" s="9"/>
      <c r="DE149" s="9"/>
      <c r="DF149" s="9"/>
      <c r="DG149" s="9"/>
      <c r="DH149" s="9"/>
      <c r="DI149" s="9"/>
      <c r="DJ149" s="9"/>
      <c r="DK149" s="9"/>
      <c r="DL149" s="9"/>
      <c r="DM149" s="9"/>
      <c r="DN149" s="9"/>
      <c r="DO149" s="9"/>
      <c r="DP149" s="9"/>
      <c r="DQ149" s="9"/>
      <c r="DR149" s="9"/>
      <c r="DS149" s="10"/>
      <c r="DT149" s="9"/>
      <c r="DU149" s="9"/>
      <c r="DV149" s="9"/>
      <c r="DW149" s="9"/>
      <c r="DX149" s="9"/>
      <c r="DY149" s="9"/>
      <c r="DZ149" s="9"/>
      <c r="EA149" s="9"/>
      <c r="EB149" s="9"/>
      <c r="EC149" s="9"/>
      <c r="ED149" s="9"/>
      <c r="EE149" s="9"/>
      <c r="EF149" s="9"/>
      <c r="EG149" s="9"/>
      <c r="EH149" s="9"/>
      <c r="EI149" s="9"/>
      <c r="EJ149" s="9"/>
      <c r="EK149" s="9"/>
      <c r="EL149" s="9"/>
      <c r="EM149" s="9"/>
      <c r="EN149" s="9"/>
      <c r="EO149" s="9"/>
      <c r="EP149" s="9"/>
      <c r="EQ149" s="9"/>
      <c r="ER149" s="9"/>
      <c r="ES149" s="9"/>
      <c r="ET149" s="9"/>
      <c r="EU149" s="10"/>
      <c r="EV149" s="9"/>
      <c r="EW149" s="9"/>
      <c r="EX149" s="9"/>
      <c r="EY149" s="9"/>
      <c r="EZ149" s="9"/>
      <c r="FA149" s="9"/>
      <c r="FB149" s="9"/>
      <c r="FC149" s="9"/>
      <c r="FD149" s="9"/>
      <c r="FE149" s="9"/>
      <c r="FF149" s="9"/>
      <c r="FG149" s="9"/>
      <c r="FH149" s="9"/>
      <c r="FI149" s="9"/>
      <c r="FJ149" s="9"/>
      <c r="FK149" s="9"/>
      <c r="FL149" s="9"/>
      <c r="FM149" s="9"/>
      <c r="FN149" s="9"/>
      <c r="FO149" s="9"/>
      <c r="FP149" s="9"/>
      <c r="FQ149" s="9"/>
      <c r="FR149" s="9"/>
      <c r="FS149" s="9"/>
      <c r="FT149" s="9"/>
      <c r="FU149" s="9"/>
      <c r="FV149" s="9"/>
      <c r="FW149" s="10"/>
      <c r="FX149" s="9"/>
      <c r="FY149" s="9"/>
      <c r="FZ149" s="9"/>
      <c r="GA149" s="9"/>
      <c r="GB149" s="9"/>
      <c r="GC149" s="9"/>
      <c r="GD149" s="9"/>
      <c r="GE149" s="9"/>
      <c r="GF149" s="9"/>
      <c r="GG149" s="9"/>
      <c r="GH149" s="9"/>
      <c r="GI149" s="9"/>
      <c r="GJ149" s="9"/>
      <c r="GK149" s="9"/>
      <c r="GL149" s="9"/>
      <c r="GM149" s="9"/>
      <c r="GN149" s="9"/>
      <c r="GO149" s="9"/>
      <c r="GP149" s="9"/>
      <c r="GQ149" s="9"/>
      <c r="GR149" s="9"/>
      <c r="GS149" s="9"/>
      <c r="GT149" s="9"/>
      <c r="GU149" s="9"/>
      <c r="GV149" s="9"/>
      <c r="GW149" s="9"/>
      <c r="GX149" s="9"/>
      <c r="GY149" s="10"/>
      <c r="GZ149" s="9"/>
      <c r="HA149" s="9"/>
    </row>
    <row r="150" spans="1:209" s="2" customFormat="1" ht="17" customHeight="1">
      <c r="A150" s="14" t="s">
        <v>149</v>
      </c>
      <c r="B150" s="35">
        <v>0</v>
      </c>
      <c r="C150" s="35">
        <v>0</v>
      </c>
      <c r="D150" s="4">
        <f t="shared" si="42"/>
        <v>0</v>
      </c>
      <c r="E150" s="11">
        <v>0</v>
      </c>
      <c r="F150" s="5" t="s">
        <v>362</v>
      </c>
      <c r="G150" s="5" t="s">
        <v>362</v>
      </c>
      <c r="H150" s="5" t="s">
        <v>362</v>
      </c>
      <c r="I150" s="5" t="s">
        <v>362</v>
      </c>
      <c r="J150" s="5" t="s">
        <v>362</v>
      </c>
      <c r="K150" s="5" t="s">
        <v>362</v>
      </c>
      <c r="L150" s="5" t="s">
        <v>362</v>
      </c>
      <c r="M150" s="5" t="s">
        <v>362</v>
      </c>
      <c r="N150" s="35">
        <v>654.1</v>
      </c>
      <c r="O150" s="35">
        <v>988.3</v>
      </c>
      <c r="P150" s="4">
        <f t="shared" si="43"/>
        <v>1.231093105029812</v>
      </c>
      <c r="Q150" s="11">
        <v>20</v>
      </c>
      <c r="R150" s="35">
        <v>6</v>
      </c>
      <c r="S150" s="35">
        <v>9.1</v>
      </c>
      <c r="T150" s="4">
        <f t="shared" si="44"/>
        <v>1.2316666666666667</v>
      </c>
      <c r="U150" s="11">
        <v>5</v>
      </c>
      <c r="V150" s="35">
        <v>64</v>
      </c>
      <c r="W150" s="35">
        <v>79.599999999999994</v>
      </c>
      <c r="X150" s="4">
        <f t="shared" si="45"/>
        <v>1.204375</v>
      </c>
      <c r="Y150" s="11">
        <v>45</v>
      </c>
      <c r="Z150" s="35">
        <v>11250</v>
      </c>
      <c r="AA150" s="35">
        <v>11576</v>
      </c>
      <c r="AB150" s="4">
        <f t="shared" si="46"/>
        <v>1.0289777777777778</v>
      </c>
      <c r="AC150" s="11">
        <v>5</v>
      </c>
      <c r="AD150" s="11">
        <v>385</v>
      </c>
      <c r="AE150" s="11">
        <v>607</v>
      </c>
      <c r="AF150" s="4">
        <f t="shared" si="47"/>
        <v>1.2376623376623377</v>
      </c>
      <c r="AG150" s="11">
        <v>20</v>
      </c>
      <c r="AH150" s="5" t="s">
        <v>362</v>
      </c>
      <c r="AI150" s="5" t="s">
        <v>362</v>
      </c>
      <c r="AJ150" s="5" t="s">
        <v>362</v>
      </c>
      <c r="AK150" s="5" t="s">
        <v>362</v>
      </c>
      <c r="AL150" s="5" t="s">
        <v>362</v>
      </c>
      <c r="AM150" s="5" t="s">
        <v>362</v>
      </c>
      <c r="AN150" s="5" t="s">
        <v>362</v>
      </c>
      <c r="AO150" s="5" t="s">
        <v>362</v>
      </c>
      <c r="AP150" s="44">
        <f t="shared" si="56"/>
        <v>1.2092126955375286</v>
      </c>
      <c r="AQ150" s="45">
        <v>822</v>
      </c>
      <c r="AR150" s="35">
        <f t="shared" si="48"/>
        <v>224.18181818181819</v>
      </c>
      <c r="AS150" s="35">
        <f t="shared" si="49"/>
        <v>271.10000000000002</v>
      </c>
      <c r="AT150" s="35">
        <f t="shared" si="50"/>
        <v>46.918181818181836</v>
      </c>
      <c r="AU150" s="35">
        <v>90.7</v>
      </c>
      <c r="AV150" s="35">
        <v>92.1</v>
      </c>
      <c r="AW150" s="35">
        <f t="shared" si="51"/>
        <v>88.3</v>
      </c>
      <c r="AX150" s="35"/>
      <c r="AY150" s="35">
        <f t="shared" si="52"/>
        <v>88.3</v>
      </c>
      <c r="AZ150" s="35">
        <v>0</v>
      </c>
      <c r="BA150" s="35">
        <f t="shared" si="53"/>
        <v>88.3</v>
      </c>
      <c r="BB150" s="35"/>
      <c r="BC150" s="35">
        <f t="shared" si="54"/>
        <v>88.3</v>
      </c>
      <c r="BD150" s="35">
        <v>90.5</v>
      </c>
      <c r="BE150" s="35">
        <f t="shared" si="55"/>
        <v>-2.2000000000000002</v>
      </c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9"/>
      <c r="BU150" s="9"/>
      <c r="BV150" s="9"/>
      <c r="BW150" s="9"/>
      <c r="BX150" s="9"/>
      <c r="BY150" s="9"/>
      <c r="BZ150" s="9"/>
      <c r="CA150" s="9"/>
      <c r="CB150" s="9"/>
      <c r="CC150" s="9"/>
      <c r="CD150" s="9"/>
      <c r="CE150" s="9"/>
      <c r="CF150" s="9"/>
      <c r="CG150" s="9"/>
      <c r="CH150" s="9"/>
      <c r="CI150" s="9"/>
      <c r="CJ150" s="9"/>
      <c r="CK150" s="9"/>
      <c r="CL150" s="9"/>
      <c r="CM150" s="9"/>
      <c r="CN150" s="9"/>
      <c r="CO150" s="9"/>
      <c r="CP150" s="9"/>
      <c r="CQ150" s="10"/>
      <c r="CR150" s="9"/>
      <c r="CS150" s="9"/>
      <c r="CT150" s="9"/>
      <c r="CU150" s="9"/>
      <c r="CV150" s="9"/>
      <c r="CW150" s="9"/>
      <c r="CX150" s="9"/>
      <c r="CY150" s="9"/>
      <c r="CZ150" s="9"/>
      <c r="DA150" s="9"/>
      <c r="DB150" s="9"/>
      <c r="DC150" s="9"/>
      <c r="DD150" s="9"/>
      <c r="DE150" s="9"/>
      <c r="DF150" s="9"/>
      <c r="DG150" s="9"/>
      <c r="DH150" s="9"/>
      <c r="DI150" s="9"/>
      <c r="DJ150" s="9"/>
      <c r="DK150" s="9"/>
      <c r="DL150" s="9"/>
      <c r="DM150" s="9"/>
      <c r="DN150" s="9"/>
      <c r="DO150" s="9"/>
      <c r="DP150" s="9"/>
      <c r="DQ150" s="9"/>
      <c r="DR150" s="9"/>
      <c r="DS150" s="10"/>
      <c r="DT150" s="9"/>
      <c r="DU150" s="9"/>
      <c r="DV150" s="9"/>
      <c r="DW150" s="9"/>
      <c r="DX150" s="9"/>
      <c r="DY150" s="9"/>
      <c r="DZ150" s="9"/>
      <c r="EA150" s="9"/>
      <c r="EB150" s="9"/>
      <c r="EC150" s="9"/>
      <c r="ED150" s="9"/>
      <c r="EE150" s="9"/>
      <c r="EF150" s="9"/>
      <c r="EG150" s="9"/>
      <c r="EH150" s="9"/>
      <c r="EI150" s="9"/>
      <c r="EJ150" s="9"/>
      <c r="EK150" s="9"/>
      <c r="EL150" s="9"/>
      <c r="EM150" s="9"/>
      <c r="EN150" s="9"/>
      <c r="EO150" s="9"/>
      <c r="EP150" s="9"/>
      <c r="EQ150" s="9"/>
      <c r="ER150" s="9"/>
      <c r="ES150" s="9"/>
      <c r="ET150" s="9"/>
      <c r="EU150" s="10"/>
      <c r="EV150" s="9"/>
      <c r="EW150" s="9"/>
      <c r="EX150" s="9"/>
      <c r="EY150" s="9"/>
      <c r="EZ150" s="9"/>
      <c r="FA150" s="9"/>
      <c r="FB150" s="9"/>
      <c r="FC150" s="9"/>
      <c r="FD150" s="9"/>
      <c r="FE150" s="9"/>
      <c r="FF150" s="9"/>
      <c r="FG150" s="9"/>
      <c r="FH150" s="9"/>
      <c r="FI150" s="9"/>
      <c r="FJ150" s="9"/>
      <c r="FK150" s="9"/>
      <c r="FL150" s="9"/>
      <c r="FM150" s="9"/>
      <c r="FN150" s="9"/>
      <c r="FO150" s="9"/>
      <c r="FP150" s="9"/>
      <c r="FQ150" s="9"/>
      <c r="FR150" s="9"/>
      <c r="FS150" s="9"/>
      <c r="FT150" s="9"/>
      <c r="FU150" s="9"/>
      <c r="FV150" s="9"/>
      <c r="FW150" s="10"/>
      <c r="FX150" s="9"/>
      <c r="FY150" s="9"/>
      <c r="FZ150" s="9"/>
      <c r="GA150" s="9"/>
      <c r="GB150" s="9"/>
      <c r="GC150" s="9"/>
      <c r="GD150" s="9"/>
      <c r="GE150" s="9"/>
      <c r="GF150" s="9"/>
      <c r="GG150" s="9"/>
      <c r="GH150" s="9"/>
      <c r="GI150" s="9"/>
      <c r="GJ150" s="9"/>
      <c r="GK150" s="9"/>
      <c r="GL150" s="9"/>
      <c r="GM150" s="9"/>
      <c r="GN150" s="9"/>
      <c r="GO150" s="9"/>
      <c r="GP150" s="9"/>
      <c r="GQ150" s="9"/>
      <c r="GR150" s="9"/>
      <c r="GS150" s="9"/>
      <c r="GT150" s="9"/>
      <c r="GU150" s="9"/>
      <c r="GV150" s="9"/>
      <c r="GW150" s="9"/>
      <c r="GX150" s="9"/>
      <c r="GY150" s="10"/>
      <c r="GZ150" s="9"/>
      <c r="HA150" s="9"/>
    </row>
    <row r="151" spans="1:209" s="2" customFormat="1" ht="17" customHeight="1">
      <c r="A151" s="14" t="s">
        <v>150</v>
      </c>
      <c r="B151" s="35">
        <v>59687</v>
      </c>
      <c r="C151" s="35">
        <v>62525</v>
      </c>
      <c r="D151" s="4">
        <f t="shared" si="42"/>
        <v>1.0475480422872652</v>
      </c>
      <c r="E151" s="11">
        <v>10</v>
      </c>
      <c r="F151" s="5" t="s">
        <v>362</v>
      </c>
      <c r="G151" s="5" t="s">
        <v>362</v>
      </c>
      <c r="H151" s="5" t="s">
        <v>362</v>
      </c>
      <c r="I151" s="5" t="s">
        <v>362</v>
      </c>
      <c r="J151" s="5" t="s">
        <v>362</v>
      </c>
      <c r="K151" s="5" t="s">
        <v>362</v>
      </c>
      <c r="L151" s="5" t="s">
        <v>362</v>
      </c>
      <c r="M151" s="5" t="s">
        <v>362</v>
      </c>
      <c r="N151" s="35">
        <v>1193.5</v>
      </c>
      <c r="O151" s="35">
        <v>1326.2</v>
      </c>
      <c r="P151" s="4">
        <f t="shared" si="43"/>
        <v>1.1111855886049435</v>
      </c>
      <c r="Q151" s="11">
        <v>20</v>
      </c>
      <c r="R151" s="35">
        <v>2.4</v>
      </c>
      <c r="S151" s="35">
        <v>2.4</v>
      </c>
      <c r="T151" s="4">
        <f t="shared" si="44"/>
        <v>1</v>
      </c>
      <c r="U151" s="11">
        <v>15</v>
      </c>
      <c r="V151" s="35">
        <v>31</v>
      </c>
      <c r="W151" s="35">
        <v>50.3</v>
      </c>
      <c r="X151" s="4">
        <f t="shared" si="45"/>
        <v>1.242258064516129</v>
      </c>
      <c r="Y151" s="11">
        <v>35</v>
      </c>
      <c r="Z151" s="35">
        <v>36465</v>
      </c>
      <c r="AA151" s="35">
        <v>33997</v>
      </c>
      <c r="AB151" s="4">
        <f t="shared" si="46"/>
        <v>0.93231866173042643</v>
      </c>
      <c r="AC151" s="11">
        <v>5</v>
      </c>
      <c r="AD151" s="11">
        <v>140</v>
      </c>
      <c r="AE151" s="11">
        <v>186</v>
      </c>
      <c r="AF151" s="4">
        <f t="shared" si="47"/>
        <v>1.2128571428571429</v>
      </c>
      <c r="AG151" s="11">
        <v>20</v>
      </c>
      <c r="AH151" s="5" t="s">
        <v>362</v>
      </c>
      <c r="AI151" s="5" t="s">
        <v>362</v>
      </c>
      <c r="AJ151" s="5" t="s">
        <v>362</v>
      </c>
      <c r="AK151" s="5" t="s">
        <v>362</v>
      </c>
      <c r="AL151" s="5" t="s">
        <v>362</v>
      </c>
      <c r="AM151" s="5" t="s">
        <v>362</v>
      </c>
      <c r="AN151" s="5" t="s">
        <v>362</v>
      </c>
      <c r="AO151" s="5" t="s">
        <v>362</v>
      </c>
      <c r="AP151" s="44">
        <f t="shared" si="56"/>
        <v>1.1437805773222003</v>
      </c>
      <c r="AQ151" s="45">
        <v>2386</v>
      </c>
      <c r="AR151" s="35">
        <f t="shared" si="48"/>
        <v>650.72727272727275</v>
      </c>
      <c r="AS151" s="35">
        <f t="shared" si="49"/>
        <v>744.3</v>
      </c>
      <c r="AT151" s="35">
        <f t="shared" si="50"/>
        <v>93.572727272727207</v>
      </c>
      <c r="AU151" s="35">
        <v>212.3</v>
      </c>
      <c r="AV151" s="35">
        <v>256.8</v>
      </c>
      <c r="AW151" s="35">
        <f t="shared" si="51"/>
        <v>275.2</v>
      </c>
      <c r="AX151" s="35"/>
      <c r="AY151" s="35">
        <f t="shared" si="52"/>
        <v>275.2</v>
      </c>
      <c r="AZ151" s="35">
        <v>0</v>
      </c>
      <c r="BA151" s="35">
        <f t="shared" si="53"/>
        <v>275.2</v>
      </c>
      <c r="BB151" s="35"/>
      <c r="BC151" s="35">
        <f t="shared" si="54"/>
        <v>275.2</v>
      </c>
      <c r="BD151" s="35">
        <v>282.10000000000002</v>
      </c>
      <c r="BE151" s="35">
        <f t="shared" si="55"/>
        <v>-6.9</v>
      </c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9"/>
      <c r="BU151" s="9"/>
      <c r="BV151" s="9"/>
      <c r="BW151" s="9"/>
      <c r="BX151" s="9"/>
      <c r="BY151" s="9"/>
      <c r="BZ151" s="9"/>
      <c r="CA151" s="9"/>
      <c r="CB151" s="9"/>
      <c r="CC151" s="9"/>
      <c r="CD151" s="9"/>
      <c r="CE151" s="9"/>
      <c r="CF151" s="9"/>
      <c r="CG151" s="9"/>
      <c r="CH151" s="9"/>
      <c r="CI151" s="9"/>
      <c r="CJ151" s="9"/>
      <c r="CK151" s="9"/>
      <c r="CL151" s="9"/>
      <c r="CM151" s="9"/>
      <c r="CN151" s="9"/>
      <c r="CO151" s="9"/>
      <c r="CP151" s="9"/>
      <c r="CQ151" s="10"/>
      <c r="CR151" s="9"/>
      <c r="CS151" s="9"/>
      <c r="CT151" s="9"/>
      <c r="CU151" s="9"/>
      <c r="CV151" s="9"/>
      <c r="CW151" s="9"/>
      <c r="CX151" s="9"/>
      <c r="CY151" s="9"/>
      <c r="CZ151" s="9"/>
      <c r="DA151" s="9"/>
      <c r="DB151" s="9"/>
      <c r="DC151" s="9"/>
      <c r="DD151" s="9"/>
      <c r="DE151" s="9"/>
      <c r="DF151" s="9"/>
      <c r="DG151" s="9"/>
      <c r="DH151" s="9"/>
      <c r="DI151" s="9"/>
      <c r="DJ151" s="9"/>
      <c r="DK151" s="9"/>
      <c r="DL151" s="9"/>
      <c r="DM151" s="9"/>
      <c r="DN151" s="9"/>
      <c r="DO151" s="9"/>
      <c r="DP151" s="9"/>
      <c r="DQ151" s="9"/>
      <c r="DR151" s="9"/>
      <c r="DS151" s="10"/>
      <c r="DT151" s="9"/>
      <c r="DU151" s="9"/>
      <c r="DV151" s="9"/>
      <c r="DW151" s="9"/>
      <c r="DX151" s="9"/>
      <c r="DY151" s="9"/>
      <c r="DZ151" s="9"/>
      <c r="EA151" s="9"/>
      <c r="EB151" s="9"/>
      <c r="EC151" s="9"/>
      <c r="ED151" s="9"/>
      <c r="EE151" s="9"/>
      <c r="EF151" s="9"/>
      <c r="EG151" s="9"/>
      <c r="EH151" s="9"/>
      <c r="EI151" s="9"/>
      <c r="EJ151" s="9"/>
      <c r="EK151" s="9"/>
      <c r="EL151" s="9"/>
      <c r="EM151" s="9"/>
      <c r="EN151" s="9"/>
      <c r="EO151" s="9"/>
      <c r="EP151" s="9"/>
      <c r="EQ151" s="9"/>
      <c r="ER151" s="9"/>
      <c r="ES151" s="9"/>
      <c r="ET151" s="9"/>
      <c r="EU151" s="10"/>
      <c r="EV151" s="9"/>
      <c r="EW151" s="9"/>
      <c r="EX151" s="9"/>
      <c r="EY151" s="9"/>
      <c r="EZ151" s="9"/>
      <c r="FA151" s="9"/>
      <c r="FB151" s="9"/>
      <c r="FC151" s="9"/>
      <c r="FD151" s="9"/>
      <c r="FE151" s="9"/>
      <c r="FF151" s="9"/>
      <c r="FG151" s="9"/>
      <c r="FH151" s="9"/>
      <c r="FI151" s="9"/>
      <c r="FJ151" s="9"/>
      <c r="FK151" s="9"/>
      <c r="FL151" s="9"/>
      <c r="FM151" s="9"/>
      <c r="FN151" s="9"/>
      <c r="FO151" s="9"/>
      <c r="FP151" s="9"/>
      <c r="FQ151" s="9"/>
      <c r="FR151" s="9"/>
      <c r="FS151" s="9"/>
      <c r="FT151" s="9"/>
      <c r="FU151" s="9"/>
      <c r="FV151" s="9"/>
      <c r="FW151" s="10"/>
      <c r="FX151" s="9"/>
      <c r="FY151" s="9"/>
      <c r="FZ151" s="9"/>
      <c r="GA151" s="9"/>
      <c r="GB151" s="9"/>
      <c r="GC151" s="9"/>
      <c r="GD151" s="9"/>
      <c r="GE151" s="9"/>
      <c r="GF151" s="9"/>
      <c r="GG151" s="9"/>
      <c r="GH151" s="9"/>
      <c r="GI151" s="9"/>
      <c r="GJ151" s="9"/>
      <c r="GK151" s="9"/>
      <c r="GL151" s="9"/>
      <c r="GM151" s="9"/>
      <c r="GN151" s="9"/>
      <c r="GO151" s="9"/>
      <c r="GP151" s="9"/>
      <c r="GQ151" s="9"/>
      <c r="GR151" s="9"/>
      <c r="GS151" s="9"/>
      <c r="GT151" s="9"/>
      <c r="GU151" s="9"/>
      <c r="GV151" s="9"/>
      <c r="GW151" s="9"/>
      <c r="GX151" s="9"/>
      <c r="GY151" s="10"/>
      <c r="GZ151" s="9"/>
      <c r="HA151" s="9"/>
    </row>
    <row r="152" spans="1:209" s="2" customFormat="1" ht="17" customHeight="1">
      <c r="A152" s="14" t="s">
        <v>151</v>
      </c>
      <c r="B152" s="35">
        <v>351</v>
      </c>
      <c r="C152" s="35">
        <v>359.4</v>
      </c>
      <c r="D152" s="4">
        <f t="shared" si="42"/>
        <v>1.0239316239316238</v>
      </c>
      <c r="E152" s="11">
        <v>10</v>
      </c>
      <c r="F152" s="5" t="s">
        <v>362</v>
      </c>
      <c r="G152" s="5" t="s">
        <v>362</v>
      </c>
      <c r="H152" s="5" t="s">
        <v>362</v>
      </c>
      <c r="I152" s="5" t="s">
        <v>362</v>
      </c>
      <c r="J152" s="5" t="s">
        <v>362</v>
      </c>
      <c r="K152" s="5" t="s">
        <v>362</v>
      </c>
      <c r="L152" s="5" t="s">
        <v>362</v>
      </c>
      <c r="M152" s="5" t="s">
        <v>362</v>
      </c>
      <c r="N152" s="35">
        <v>404.4</v>
      </c>
      <c r="O152" s="35">
        <v>661.2</v>
      </c>
      <c r="P152" s="4">
        <f t="shared" si="43"/>
        <v>1.2435014836795253</v>
      </c>
      <c r="Q152" s="11">
        <v>20</v>
      </c>
      <c r="R152" s="35">
        <v>745</v>
      </c>
      <c r="S152" s="35">
        <v>951.7</v>
      </c>
      <c r="T152" s="4">
        <f t="shared" si="44"/>
        <v>1.2077449664429529</v>
      </c>
      <c r="U152" s="11">
        <v>35</v>
      </c>
      <c r="V152" s="35">
        <v>22</v>
      </c>
      <c r="W152" s="35">
        <v>34.5</v>
      </c>
      <c r="X152" s="4">
        <f t="shared" si="45"/>
        <v>1.2368181818181818</v>
      </c>
      <c r="Y152" s="11">
        <v>15</v>
      </c>
      <c r="Z152" s="35">
        <v>6770</v>
      </c>
      <c r="AA152" s="35">
        <v>7305</v>
      </c>
      <c r="AB152" s="4">
        <f t="shared" si="46"/>
        <v>1.0790251107828657</v>
      </c>
      <c r="AC152" s="11">
        <v>5</v>
      </c>
      <c r="AD152" s="11">
        <v>820</v>
      </c>
      <c r="AE152" s="11">
        <v>824</v>
      </c>
      <c r="AF152" s="4">
        <f t="shared" si="47"/>
        <v>1.0048780487804878</v>
      </c>
      <c r="AG152" s="11">
        <v>20</v>
      </c>
      <c r="AH152" s="5" t="s">
        <v>362</v>
      </c>
      <c r="AI152" s="5" t="s">
        <v>362</v>
      </c>
      <c r="AJ152" s="5" t="s">
        <v>362</v>
      </c>
      <c r="AK152" s="5" t="s">
        <v>362</v>
      </c>
      <c r="AL152" s="5" t="s">
        <v>362</v>
      </c>
      <c r="AM152" s="5" t="s">
        <v>362</v>
      </c>
      <c r="AN152" s="5" t="s">
        <v>362</v>
      </c>
      <c r="AO152" s="5" t="s">
        <v>362</v>
      </c>
      <c r="AP152" s="44">
        <f t="shared" si="56"/>
        <v>1.1564321809067324</v>
      </c>
      <c r="AQ152" s="45">
        <v>1988</v>
      </c>
      <c r="AR152" s="35">
        <f t="shared" si="48"/>
        <v>542.18181818181813</v>
      </c>
      <c r="AS152" s="35">
        <f t="shared" si="49"/>
        <v>627</v>
      </c>
      <c r="AT152" s="35">
        <f t="shared" si="50"/>
        <v>84.81818181818187</v>
      </c>
      <c r="AU152" s="35">
        <v>219</v>
      </c>
      <c r="AV152" s="35">
        <v>213.7</v>
      </c>
      <c r="AW152" s="35">
        <f t="shared" si="51"/>
        <v>194.3</v>
      </c>
      <c r="AX152" s="35"/>
      <c r="AY152" s="35">
        <f t="shared" si="52"/>
        <v>194.3</v>
      </c>
      <c r="AZ152" s="35">
        <v>0</v>
      </c>
      <c r="BA152" s="35">
        <f t="shared" si="53"/>
        <v>194.3</v>
      </c>
      <c r="BB152" s="35"/>
      <c r="BC152" s="35">
        <f t="shared" si="54"/>
        <v>194.3</v>
      </c>
      <c r="BD152" s="35">
        <v>196.4</v>
      </c>
      <c r="BE152" s="35">
        <f t="shared" si="55"/>
        <v>-2.1</v>
      </c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9"/>
      <c r="BU152" s="9"/>
      <c r="BV152" s="9"/>
      <c r="BW152" s="9"/>
      <c r="BX152" s="9"/>
      <c r="BY152" s="9"/>
      <c r="BZ152" s="9"/>
      <c r="CA152" s="9"/>
      <c r="CB152" s="9"/>
      <c r="CC152" s="9"/>
      <c r="CD152" s="9"/>
      <c r="CE152" s="9"/>
      <c r="CF152" s="9"/>
      <c r="CG152" s="9"/>
      <c r="CH152" s="9"/>
      <c r="CI152" s="9"/>
      <c r="CJ152" s="9"/>
      <c r="CK152" s="9"/>
      <c r="CL152" s="9"/>
      <c r="CM152" s="9"/>
      <c r="CN152" s="9"/>
      <c r="CO152" s="9"/>
      <c r="CP152" s="9"/>
      <c r="CQ152" s="10"/>
      <c r="CR152" s="9"/>
      <c r="CS152" s="9"/>
      <c r="CT152" s="9"/>
      <c r="CU152" s="9"/>
      <c r="CV152" s="9"/>
      <c r="CW152" s="9"/>
      <c r="CX152" s="9"/>
      <c r="CY152" s="9"/>
      <c r="CZ152" s="9"/>
      <c r="DA152" s="9"/>
      <c r="DB152" s="9"/>
      <c r="DC152" s="9"/>
      <c r="DD152" s="9"/>
      <c r="DE152" s="9"/>
      <c r="DF152" s="9"/>
      <c r="DG152" s="9"/>
      <c r="DH152" s="9"/>
      <c r="DI152" s="9"/>
      <c r="DJ152" s="9"/>
      <c r="DK152" s="9"/>
      <c r="DL152" s="9"/>
      <c r="DM152" s="9"/>
      <c r="DN152" s="9"/>
      <c r="DO152" s="9"/>
      <c r="DP152" s="9"/>
      <c r="DQ152" s="9"/>
      <c r="DR152" s="9"/>
      <c r="DS152" s="10"/>
      <c r="DT152" s="9"/>
      <c r="DU152" s="9"/>
      <c r="DV152" s="9"/>
      <c r="DW152" s="9"/>
      <c r="DX152" s="9"/>
      <c r="DY152" s="9"/>
      <c r="DZ152" s="9"/>
      <c r="EA152" s="9"/>
      <c r="EB152" s="9"/>
      <c r="EC152" s="9"/>
      <c r="ED152" s="9"/>
      <c r="EE152" s="9"/>
      <c r="EF152" s="9"/>
      <c r="EG152" s="9"/>
      <c r="EH152" s="9"/>
      <c r="EI152" s="9"/>
      <c r="EJ152" s="9"/>
      <c r="EK152" s="9"/>
      <c r="EL152" s="9"/>
      <c r="EM152" s="9"/>
      <c r="EN152" s="9"/>
      <c r="EO152" s="9"/>
      <c r="EP152" s="9"/>
      <c r="EQ152" s="9"/>
      <c r="ER152" s="9"/>
      <c r="ES152" s="9"/>
      <c r="ET152" s="9"/>
      <c r="EU152" s="10"/>
      <c r="EV152" s="9"/>
      <c r="EW152" s="9"/>
      <c r="EX152" s="9"/>
      <c r="EY152" s="9"/>
      <c r="EZ152" s="9"/>
      <c r="FA152" s="9"/>
      <c r="FB152" s="9"/>
      <c r="FC152" s="9"/>
      <c r="FD152" s="9"/>
      <c r="FE152" s="9"/>
      <c r="FF152" s="9"/>
      <c r="FG152" s="9"/>
      <c r="FH152" s="9"/>
      <c r="FI152" s="9"/>
      <c r="FJ152" s="9"/>
      <c r="FK152" s="9"/>
      <c r="FL152" s="9"/>
      <c r="FM152" s="9"/>
      <c r="FN152" s="9"/>
      <c r="FO152" s="9"/>
      <c r="FP152" s="9"/>
      <c r="FQ152" s="9"/>
      <c r="FR152" s="9"/>
      <c r="FS152" s="9"/>
      <c r="FT152" s="9"/>
      <c r="FU152" s="9"/>
      <c r="FV152" s="9"/>
      <c r="FW152" s="10"/>
      <c r="FX152" s="9"/>
      <c r="FY152" s="9"/>
      <c r="FZ152" s="9"/>
      <c r="GA152" s="9"/>
      <c r="GB152" s="9"/>
      <c r="GC152" s="9"/>
      <c r="GD152" s="9"/>
      <c r="GE152" s="9"/>
      <c r="GF152" s="9"/>
      <c r="GG152" s="9"/>
      <c r="GH152" s="9"/>
      <c r="GI152" s="9"/>
      <c r="GJ152" s="9"/>
      <c r="GK152" s="9"/>
      <c r="GL152" s="9"/>
      <c r="GM152" s="9"/>
      <c r="GN152" s="9"/>
      <c r="GO152" s="9"/>
      <c r="GP152" s="9"/>
      <c r="GQ152" s="9"/>
      <c r="GR152" s="9"/>
      <c r="GS152" s="9"/>
      <c r="GT152" s="9"/>
      <c r="GU152" s="9"/>
      <c r="GV152" s="9"/>
      <c r="GW152" s="9"/>
      <c r="GX152" s="9"/>
      <c r="GY152" s="10"/>
      <c r="GZ152" s="9"/>
      <c r="HA152" s="9"/>
    </row>
    <row r="153" spans="1:209" s="2" customFormat="1" ht="17" customHeight="1">
      <c r="A153" s="14" t="s">
        <v>152</v>
      </c>
      <c r="B153" s="35">
        <v>13635</v>
      </c>
      <c r="C153" s="35">
        <v>17662</v>
      </c>
      <c r="D153" s="4">
        <f t="shared" si="42"/>
        <v>1.2095342867620096</v>
      </c>
      <c r="E153" s="11">
        <v>10</v>
      </c>
      <c r="F153" s="5" t="s">
        <v>362</v>
      </c>
      <c r="G153" s="5" t="s">
        <v>362</v>
      </c>
      <c r="H153" s="5" t="s">
        <v>362</v>
      </c>
      <c r="I153" s="5" t="s">
        <v>362</v>
      </c>
      <c r="J153" s="5" t="s">
        <v>362</v>
      </c>
      <c r="K153" s="5" t="s">
        <v>362</v>
      </c>
      <c r="L153" s="5" t="s">
        <v>362</v>
      </c>
      <c r="M153" s="5" t="s">
        <v>362</v>
      </c>
      <c r="N153" s="35">
        <v>440.8</v>
      </c>
      <c r="O153" s="35">
        <v>461.7</v>
      </c>
      <c r="P153" s="4">
        <f t="shared" si="43"/>
        <v>1.0474137931034482</v>
      </c>
      <c r="Q153" s="11">
        <v>20</v>
      </c>
      <c r="R153" s="35">
        <v>11.6</v>
      </c>
      <c r="S153" s="35">
        <v>12.1</v>
      </c>
      <c r="T153" s="4">
        <f t="shared" si="44"/>
        <v>1.0431034482758621</v>
      </c>
      <c r="U153" s="11">
        <v>20</v>
      </c>
      <c r="V153" s="35">
        <v>2</v>
      </c>
      <c r="W153" s="35">
        <v>2.2999999999999998</v>
      </c>
      <c r="X153" s="4">
        <f t="shared" si="45"/>
        <v>1.1499999999999999</v>
      </c>
      <c r="Y153" s="11">
        <v>30</v>
      </c>
      <c r="Z153" s="35">
        <v>12700</v>
      </c>
      <c r="AA153" s="35">
        <v>11146</v>
      </c>
      <c r="AB153" s="4">
        <f t="shared" si="46"/>
        <v>0.8776377952755906</v>
      </c>
      <c r="AC153" s="11">
        <v>5</v>
      </c>
      <c r="AD153" s="11">
        <v>87</v>
      </c>
      <c r="AE153" s="11">
        <v>119</v>
      </c>
      <c r="AF153" s="4">
        <f t="shared" si="47"/>
        <v>1.2167816091954022</v>
      </c>
      <c r="AG153" s="11">
        <v>20</v>
      </c>
      <c r="AH153" s="5" t="s">
        <v>362</v>
      </c>
      <c r="AI153" s="5" t="s">
        <v>362</v>
      </c>
      <c r="AJ153" s="5" t="s">
        <v>362</v>
      </c>
      <c r="AK153" s="5" t="s">
        <v>362</v>
      </c>
      <c r="AL153" s="5" t="s">
        <v>362</v>
      </c>
      <c r="AM153" s="5" t="s">
        <v>362</v>
      </c>
      <c r="AN153" s="5" t="s">
        <v>362</v>
      </c>
      <c r="AO153" s="5" t="s">
        <v>362</v>
      </c>
      <c r="AP153" s="44">
        <f t="shared" si="56"/>
        <v>1.1155191319570694</v>
      </c>
      <c r="AQ153" s="45">
        <v>2838</v>
      </c>
      <c r="AR153" s="35">
        <f t="shared" si="48"/>
        <v>774</v>
      </c>
      <c r="AS153" s="35">
        <f t="shared" si="49"/>
        <v>863.4</v>
      </c>
      <c r="AT153" s="35">
        <f t="shared" si="50"/>
        <v>89.399999999999977</v>
      </c>
      <c r="AU153" s="35">
        <v>294</v>
      </c>
      <c r="AV153" s="35">
        <v>280.2</v>
      </c>
      <c r="AW153" s="35">
        <f t="shared" si="51"/>
        <v>289.2</v>
      </c>
      <c r="AX153" s="35"/>
      <c r="AY153" s="35">
        <f t="shared" si="52"/>
        <v>289.2</v>
      </c>
      <c r="AZ153" s="35">
        <v>0</v>
      </c>
      <c r="BA153" s="35">
        <f t="shared" si="53"/>
        <v>289.2</v>
      </c>
      <c r="BB153" s="35"/>
      <c r="BC153" s="35">
        <f t="shared" si="54"/>
        <v>289.2</v>
      </c>
      <c r="BD153" s="35">
        <v>298.39999999999998</v>
      </c>
      <c r="BE153" s="35">
        <f t="shared" si="55"/>
        <v>-9.1999999999999993</v>
      </c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9"/>
      <c r="BU153" s="9"/>
      <c r="BV153" s="9"/>
      <c r="BW153" s="9"/>
      <c r="BX153" s="9"/>
      <c r="BY153" s="9"/>
      <c r="BZ153" s="9"/>
      <c r="CA153" s="9"/>
      <c r="CB153" s="9"/>
      <c r="CC153" s="9"/>
      <c r="CD153" s="9"/>
      <c r="CE153" s="9"/>
      <c r="CF153" s="9"/>
      <c r="CG153" s="9"/>
      <c r="CH153" s="9"/>
      <c r="CI153" s="9"/>
      <c r="CJ153" s="9"/>
      <c r="CK153" s="9"/>
      <c r="CL153" s="9"/>
      <c r="CM153" s="9"/>
      <c r="CN153" s="9"/>
      <c r="CO153" s="9"/>
      <c r="CP153" s="9"/>
      <c r="CQ153" s="10"/>
      <c r="CR153" s="9"/>
      <c r="CS153" s="9"/>
      <c r="CT153" s="9"/>
      <c r="CU153" s="9"/>
      <c r="CV153" s="9"/>
      <c r="CW153" s="9"/>
      <c r="CX153" s="9"/>
      <c r="CY153" s="9"/>
      <c r="CZ153" s="9"/>
      <c r="DA153" s="9"/>
      <c r="DB153" s="9"/>
      <c r="DC153" s="9"/>
      <c r="DD153" s="9"/>
      <c r="DE153" s="9"/>
      <c r="DF153" s="9"/>
      <c r="DG153" s="9"/>
      <c r="DH153" s="9"/>
      <c r="DI153" s="9"/>
      <c r="DJ153" s="9"/>
      <c r="DK153" s="9"/>
      <c r="DL153" s="9"/>
      <c r="DM153" s="9"/>
      <c r="DN153" s="9"/>
      <c r="DO153" s="9"/>
      <c r="DP153" s="9"/>
      <c r="DQ153" s="9"/>
      <c r="DR153" s="9"/>
      <c r="DS153" s="10"/>
      <c r="DT153" s="9"/>
      <c r="DU153" s="9"/>
      <c r="DV153" s="9"/>
      <c r="DW153" s="9"/>
      <c r="DX153" s="9"/>
      <c r="DY153" s="9"/>
      <c r="DZ153" s="9"/>
      <c r="EA153" s="9"/>
      <c r="EB153" s="9"/>
      <c r="EC153" s="9"/>
      <c r="ED153" s="9"/>
      <c r="EE153" s="9"/>
      <c r="EF153" s="9"/>
      <c r="EG153" s="9"/>
      <c r="EH153" s="9"/>
      <c r="EI153" s="9"/>
      <c r="EJ153" s="9"/>
      <c r="EK153" s="9"/>
      <c r="EL153" s="9"/>
      <c r="EM153" s="9"/>
      <c r="EN153" s="9"/>
      <c r="EO153" s="9"/>
      <c r="EP153" s="9"/>
      <c r="EQ153" s="9"/>
      <c r="ER153" s="9"/>
      <c r="ES153" s="9"/>
      <c r="ET153" s="9"/>
      <c r="EU153" s="10"/>
      <c r="EV153" s="9"/>
      <c r="EW153" s="9"/>
      <c r="EX153" s="9"/>
      <c r="EY153" s="9"/>
      <c r="EZ153" s="9"/>
      <c r="FA153" s="9"/>
      <c r="FB153" s="9"/>
      <c r="FC153" s="9"/>
      <c r="FD153" s="9"/>
      <c r="FE153" s="9"/>
      <c r="FF153" s="9"/>
      <c r="FG153" s="9"/>
      <c r="FH153" s="9"/>
      <c r="FI153" s="9"/>
      <c r="FJ153" s="9"/>
      <c r="FK153" s="9"/>
      <c r="FL153" s="9"/>
      <c r="FM153" s="9"/>
      <c r="FN153" s="9"/>
      <c r="FO153" s="9"/>
      <c r="FP153" s="9"/>
      <c r="FQ153" s="9"/>
      <c r="FR153" s="9"/>
      <c r="FS153" s="9"/>
      <c r="FT153" s="9"/>
      <c r="FU153" s="9"/>
      <c r="FV153" s="9"/>
      <c r="FW153" s="10"/>
      <c r="FX153" s="9"/>
      <c r="FY153" s="9"/>
      <c r="FZ153" s="9"/>
      <c r="GA153" s="9"/>
      <c r="GB153" s="9"/>
      <c r="GC153" s="9"/>
      <c r="GD153" s="9"/>
      <c r="GE153" s="9"/>
      <c r="GF153" s="9"/>
      <c r="GG153" s="9"/>
      <c r="GH153" s="9"/>
      <c r="GI153" s="9"/>
      <c r="GJ153" s="9"/>
      <c r="GK153" s="9"/>
      <c r="GL153" s="9"/>
      <c r="GM153" s="9"/>
      <c r="GN153" s="9"/>
      <c r="GO153" s="9"/>
      <c r="GP153" s="9"/>
      <c r="GQ153" s="9"/>
      <c r="GR153" s="9"/>
      <c r="GS153" s="9"/>
      <c r="GT153" s="9"/>
      <c r="GU153" s="9"/>
      <c r="GV153" s="9"/>
      <c r="GW153" s="9"/>
      <c r="GX153" s="9"/>
      <c r="GY153" s="10"/>
      <c r="GZ153" s="9"/>
      <c r="HA153" s="9"/>
    </row>
    <row r="154" spans="1:209" s="2" customFormat="1" ht="17" customHeight="1">
      <c r="A154" s="14" t="s">
        <v>153</v>
      </c>
      <c r="B154" s="35">
        <v>175</v>
      </c>
      <c r="C154" s="35">
        <v>175</v>
      </c>
      <c r="D154" s="4">
        <f t="shared" si="42"/>
        <v>1</v>
      </c>
      <c r="E154" s="11">
        <v>10</v>
      </c>
      <c r="F154" s="5" t="s">
        <v>362</v>
      </c>
      <c r="G154" s="5" t="s">
        <v>362</v>
      </c>
      <c r="H154" s="5" t="s">
        <v>362</v>
      </c>
      <c r="I154" s="5" t="s">
        <v>362</v>
      </c>
      <c r="J154" s="5" t="s">
        <v>362</v>
      </c>
      <c r="K154" s="5" t="s">
        <v>362</v>
      </c>
      <c r="L154" s="5" t="s">
        <v>362</v>
      </c>
      <c r="M154" s="5" t="s">
        <v>362</v>
      </c>
      <c r="N154" s="35">
        <v>268.10000000000002</v>
      </c>
      <c r="O154" s="35">
        <v>329.2</v>
      </c>
      <c r="P154" s="4">
        <f t="shared" si="43"/>
        <v>1.2027900037299515</v>
      </c>
      <c r="Q154" s="11">
        <v>20</v>
      </c>
      <c r="R154" s="35">
        <v>360</v>
      </c>
      <c r="S154" s="35">
        <v>373.2</v>
      </c>
      <c r="T154" s="4">
        <f t="shared" si="44"/>
        <v>1.0366666666666666</v>
      </c>
      <c r="U154" s="11">
        <v>30</v>
      </c>
      <c r="V154" s="35">
        <v>9.9</v>
      </c>
      <c r="W154" s="35">
        <v>11.7</v>
      </c>
      <c r="X154" s="4">
        <f t="shared" si="45"/>
        <v>1.1818181818181817</v>
      </c>
      <c r="Y154" s="11">
        <v>20</v>
      </c>
      <c r="Z154" s="35">
        <v>4870</v>
      </c>
      <c r="AA154" s="35">
        <v>4858</v>
      </c>
      <c r="AB154" s="4">
        <f t="shared" si="46"/>
        <v>0.99753593429158116</v>
      </c>
      <c r="AC154" s="11">
        <v>5</v>
      </c>
      <c r="AD154" s="11">
        <v>550</v>
      </c>
      <c r="AE154" s="11">
        <v>554</v>
      </c>
      <c r="AF154" s="4">
        <f t="shared" si="47"/>
        <v>1.0072727272727273</v>
      </c>
      <c r="AG154" s="11">
        <v>20</v>
      </c>
      <c r="AH154" s="5" t="s">
        <v>362</v>
      </c>
      <c r="AI154" s="5" t="s">
        <v>362</v>
      </c>
      <c r="AJ154" s="5" t="s">
        <v>362</v>
      </c>
      <c r="AK154" s="5" t="s">
        <v>362</v>
      </c>
      <c r="AL154" s="5" t="s">
        <v>362</v>
      </c>
      <c r="AM154" s="5" t="s">
        <v>362</v>
      </c>
      <c r="AN154" s="5" t="s">
        <v>362</v>
      </c>
      <c r="AO154" s="5" t="s">
        <v>362</v>
      </c>
      <c r="AP154" s="44">
        <f t="shared" si="56"/>
        <v>1.0850028374083343</v>
      </c>
      <c r="AQ154" s="45">
        <v>1863</v>
      </c>
      <c r="AR154" s="35">
        <f t="shared" si="48"/>
        <v>508.09090909090912</v>
      </c>
      <c r="AS154" s="35">
        <f t="shared" si="49"/>
        <v>551.29999999999995</v>
      </c>
      <c r="AT154" s="35">
        <f t="shared" si="50"/>
        <v>43.209090909090833</v>
      </c>
      <c r="AU154" s="35">
        <v>185.8</v>
      </c>
      <c r="AV154" s="35">
        <v>191.1</v>
      </c>
      <c r="AW154" s="35">
        <f t="shared" si="51"/>
        <v>174.4</v>
      </c>
      <c r="AX154" s="35"/>
      <c r="AY154" s="35">
        <f t="shared" si="52"/>
        <v>174.4</v>
      </c>
      <c r="AZ154" s="35">
        <v>0</v>
      </c>
      <c r="BA154" s="35">
        <f t="shared" si="53"/>
        <v>174.4</v>
      </c>
      <c r="BB154" s="35">
        <f>MIN(BA154,44)</f>
        <v>44</v>
      </c>
      <c r="BC154" s="35">
        <f t="shared" si="54"/>
        <v>130.4</v>
      </c>
      <c r="BD154" s="35">
        <v>132.6</v>
      </c>
      <c r="BE154" s="35">
        <f t="shared" si="55"/>
        <v>-2.2000000000000002</v>
      </c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9"/>
      <c r="BU154" s="9"/>
      <c r="BV154" s="9"/>
      <c r="BW154" s="9"/>
      <c r="BX154" s="9"/>
      <c r="BY154" s="9"/>
      <c r="BZ154" s="9"/>
      <c r="CA154" s="9"/>
      <c r="CB154" s="9"/>
      <c r="CC154" s="9"/>
      <c r="CD154" s="9"/>
      <c r="CE154" s="9"/>
      <c r="CF154" s="9"/>
      <c r="CG154" s="9"/>
      <c r="CH154" s="9"/>
      <c r="CI154" s="9"/>
      <c r="CJ154" s="9"/>
      <c r="CK154" s="9"/>
      <c r="CL154" s="9"/>
      <c r="CM154" s="9"/>
      <c r="CN154" s="9"/>
      <c r="CO154" s="9"/>
      <c r="CP154" s="9"/>
      <c r="CQ154" s="10"/>
      <c r="CR154" s="9"/>
      <c r="CS154" s="9"/>
      <c r="CT154" s="9"/>
      <c r="CU154" s="9"/>
      <c r="CV154" s="9"/>
      <c r="CW154" s="9"/>
      <c r="CX154" s="9"/>
      <c r="CY154" s="9"/>
      <c r="CZ154" s="9"/>
      <c r="DA154" s="9"/>
      <c r="DB154" s="9"/>
      <c r="DC154" s="9"/>
      <c r="DD154" s="9"/>
      <c r="DE154" s="9"/>
      <c r="DF154" s="9"/>
      <c r="DG154" s="9"/>
      <c r="DH154" s="9"/>
      <c r="DI154" s="9"/>
      <c r="DJ154" s="9"/>
      <c r="DK154" s="9"/>
      <c r="DL154" s="9"/>
      <c r="DM154" s="9"/>
      <c r="DN154" s="9"/>
      <c r="DO154" s="9"/>
      <c r="DP154" s="9"/>
      <c r="DQ154" s="9"/>
      <c r="DR154" s="9"/>
      <c r="DS154" s="10"/>
      <c r="DT154" s="9"/>
      <c r="DU154" s="9"/>
      <c r="DV154" s="9"/>
      <c r="DW154" s="9"/>
      <c r="DX154" s="9"/>
      <c r="DY154" s="9"/>
      <c r="DZ154" s="9"/>
      <c r="EA154" s="9"/>
      <c r="EB154" s="9"/>
      <c r="EC154" s="9"/>
      <c r="ED154" s="9"/>
      <c r="EE154" s="9"/>
      <c r="EF154" s="9"/>
      <c r="EG154" s="9"/>
      <c r="EH154" s="9"/>
      <c r="EI154" s="9"/>
      <c r="EJ154" s="9"/>
      <c r="EK154" s="9"/>
      <c r="EL154" s="9"/>
      <c r="EM154" s="9"/>
      <c r="EN154" s="9"/>
      <c r="EO154" s="9"/>
      <c r="EP154" s="9"/>
      <c r="EQ154" s="9"/>
      <c r="ER154" s="9"/>
      <c r="ES154" s="9"/>
      <c r="ET154" s="9"/>
      <c r="EU154" s="10"/>
      <c r="EV154" s="9"/>
      <c r="EW154" s="9"/>
      <c r="EX154" s="9"/>
      <c r="EY154" s="9"/>
      <c r="EZ154" s="9"/>
      <c r="FA154" s="9"/>
      <c r="FB154" s="9"/>
      <c r="FC154" s="9"/>
      <c r="FD154" s="9"/>
      <c r="FE154" s="9"/>
      <c r="FF154" s="9"/>
      <c r="FG154" s="9"/>
      <c r="FH154" s="9"/>
      <c r="FI154" s="9"/>
      <c r="FJ154" s="9"/>
      <c r="FK154" s="9"/>
      <c r="FL154" s="9"/>
      <c r="FM154" s="9"/>
      <c r="FN154" s="9"/>
      <c r="FO154" s="9"/>
      <c r="FP154" s="9"/>
      <c r="FQ154" s="9"/>
      <c r="FR154" s="9"/>
      <c r="FS154" s="9"/>
      <c r="FT154" s="9"/>
      <c r="FU154" s="9"/>
      <c r="FV154" s="9"/>
      <c r="FW154" s="10"/>
      <c r="FX154" s="9"/>
      <c r="FY154" s="9"/>
      <c r="FZ154" s="9"/>
      <c r="GA154" s="9"/>
      <c r="GB154" s="9"/>
      <c r="GC154" s="9"/>
      <c r="GD154" s="9"/>
      <c r="GE154" s="9"/>
      <c r="GF154" s="9"/>
      <c r="GG154" s="9"/>
      <c r="GH154" s="9"/>
      <c r="GI154" s="9"/>
      <c r="GJ154" s="9"/>
      <c r="GK154" s="9"/>
      <c r="GL154" s="9"/>
      <c r="GM154" s="9"/>
      <c r="GN154" s="9"/>
      <c r="GO154" s="9"/>
      <c r="GP154" s="9"/>
      <c r="GQ154" s="9"/>
      <c r="GR154" s="9"/>
      <c r="GS154" s="9"/>
      <c r="GT154" s="9"/>
      <c r="GU154" s="9"/>
      <c r="GV154" s="9"/>
      <c r="GW154" s="9"/>
      <c r="GX154" s="9"/>
      <c r="GY154" s="10"/>
      <c r="GZ154" s="9"/>
      <c r="HA154" s="9"/>
    </row>
    <row r="155" spans="1:209" s="2" customFormat="1" ht="17" customHeight="1">
      <c r="A155" s="14" t="s">
        <v>154</v>
      </c>
      <c r="B155" s="35">
        <v>559</v>
      </c>
      <c r="C155" s="35">
        <v>608</v>
      </c>
      <c r="D155" s="4">
        <f t="shared" si="42"/>
        <v>1.0876565295169947</v>
      </c>
      <c r="E155" s="11">
        <v>10</v>
      </c>
      <c r="F155" s="5" t="s">
        <v>362</v>
      </c>
      <c r="G155" s="5" t="s">
        <v>362</v>
      </c>
      <c r="H155" s="5" t="s">
        <v>362</v>
      </c>
      <c r="I155" s="5" t="s">
        <v>362</v>
      </c>
      <c r="J155" s="5" t="s">
        <v>362</v>
      </c>
      <c r="K155" s="5" t="s">
        <v>362</v>
      </c>
      <c r="L155" s="5" t="s">
        <v>362</v>
      </c>
      <c r="M155" s="5" t="s">
        <v>362</v>
      </c>
      <c r="N155" s="35">
        <v>141.5</v>
      </c>
      <c r="O155" s="35">
        <v>338.4</v>
      </c>
      <c r="P155" s="4">
        <f t="shared" si="43"/>
        <v>1.3</v>
      </c>
      <c r="Q155" s="11">
        <v>20</v>
      </c>
      <c r="R155" s="35">
        <v>1.1000000000000001</v>
      </c>
      <c r="S155" s="35">
        <v>1.2</v>
      </c>
      <c r="T155" s="4">
        <f t="shared" si="44"/>
        <v>1.0909090909090908</v>
      </c>
      <c r="U155" s="11">
        <v>15</v>
      </c>
      <c r="V155" s="35">
        <v>1.2</v>
      </c>
      <c r="W155" s="35">
        <v>1.3</v>
      </c>
      <c r="X155" s="4">
        <f t="shared" si="45"/>
        <v>1.0833333333333335</v>
      </c>
      <c r="Y155" s="11">
        <v>35</v>
      </c>
      <c r="Z155" s="35">
        <v>6500</v>
      </c>
      <c r="AA155" s="35">
        <v>6669</v>
      </c>
      <c r="AB155" s="4">
        <f t="shared" si="46"/>
        <v>1.026</v>
      </c>
      <c r="AC155" s="11">
        <v>5</v>
      </c>
      <c r="AD155" s="11">
        <v>144</v>
      </c>
      <c r="AE155" s="11">
        <v>204</v>
      </c>
      <c r="AF155" s="4">
        <f t="shared" si="47"/>
        <v>1.2216666666666667</v>
      </c>
      <c r="AG155" s="11">
        <v>20</v>
      </c>
      <c r="AH155" s="5" t="s">
        <v>362</v>
      </c>
      <c r="AI155" s="5" t="s">
        <v>362</v>
      </c>
      <c r="AJ155" s="5" t="s">
        <v>362</v>
      </c>
      <c r="AK155" s="5" t="s">
        <v>362</v>
      </c>
      <c r="AL155" s="5" t="s">
        <v>362</v>
      </c>
      <c r="AM155" s="5" t="s">
        <v>362</v>
      </c>
      <c r="AN155" s="5" t="s">
        <v>362</v>
      </c>
      <c r="AO155" s="5" t="s">
        <v>362</v>
      </c>
      <c r="AP155" s="44">
        <f t="shared" si="56"/>
        <v>1.1497162062743458</v>
      </c>
      <c r="AQ155" s="45">
        <v>1332</v>
      </c>
      <c r="AR155" s="35">
        <f t="shared" si="48"/>
        <v>363.27272727272725</v>
      </c>
      <c r="AS155" s="35">
        <f t="shared" si="49"/>
        <v>417.7</v>
      </c>
      <c r="AT155" s="35">
        <f t="shared" si="50"/>
        <v>54.427272727272737</v>
      </c>
      <c r="AU155" s="35">
        <v>142.80000000000001</v>
      </c>
      <c r="AV155" s="35">
        <v>130.9</v>
      </c>
      <c r="AW155" s="35">
        <f t="shared" si="51"/>
        <v>144</v>
      </c>
      <c r="AX155" s="35"/>
      <c r="AY155" s="35">
        <f t="shared" si="52"/>
        <v>144</v>
      </c>
      <c r="AZ155" s="35">
        <v>0</v>
      </c>
      <c r="BA155" s="35">
        <f t="shared" si="53"/>
        <v>144</v>
      </c>
      <c r="BB155" s="35"/>
      <c r="BC155" s="35">
        <f t="shared" si="54"/>
        <v>144</v>
      </c>
      <c r="BD155" s="35">
        <v>146.19999999999999</v>
      </c>
      <c r="BE155" s="35">
        <f t="shared" si="55"/>
        <v>-2.2000000000000002</v>
      </c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9"/>
      <c r="BU155" s="9"/>
      <c r="BV155" s="9"/>
      <c r="BW155" s="9"/>
      <c r="BX155" s="9"/>
      <c r="BY155" s="9"/>
      <c r="BZ155" s="9"/>
      <c r="CA155" s="9"/>
      <c r="CB155" s="9"/>
      <c r="CC155" s="9"/>
      <c r="CD155" s="9"/>
      <c r="CE155" s="9"/>
      <c r="CF155" s="9"/>
      <c r="CG155" s="9"/>
      <c r="CH155" s="9"/>
      <c r="CI155" s="9"/>
      <c r="CJ155" s="9"/>
      <c r="CK155" s="9"/>
      <c r="CL155" s="9"/>
      <c r="CM155" s="9"/>
      <c r="CN155" s="9"/>
      <c r="CO155" s="9"/>
      <c r="CP155" s="9"/>
      <c r="CQ155" s="10"/>
      <c r="CR155" s="9"/>
      <c r="CS155" s="9"/>
      <c r="CT155" s="9"/>
      <c r="CU155" s="9"/>
      <c r="CV155" s="9"/>
      <c r="CW155" s="9"/>
      <c r="CX155" s="9"/>
      <c r="CY155" s="9"/>
      <c r="CZ155" s="9"/>
      <c r="DA155" s="9"/>
      <c r="DB155" s="9"/>
      <c r="DC155" s="9"/>
      <c r="DD155" s="9"/>
      <c r="DE155" s="9"/>
      <c r="DF155" s="9"/>
      <c r="DG155" s="9"/>
      <c r="DH155" s="9"/>
      <c r="DI155" s="9"/>
      <c r="DJ155" s="9"/>
      <c r="DK155" s="9"/>
      <c r="DL155" s="9"/>
      <c r="DM155" s="9"/>
      <c r="DN155" s="9"/>
      <c r="DO155" s="9"/>
      <c r="DP155" s="9"/>
      <c r="DQ155" s="9"/>
      <c r="DR155" s="9"/>
      <c r="DS155" s="10"/>
      <c r="DT155" s="9"/>
      <c r="DU155" s="9"/>
      <c r="DV155" s="9"/>
      <c r="DW155" s="9"/>
      <c r="DX155" s="9"/>
      <c r="DY155" s="9"/>
      <c r="DZ155" s="9"/>
      <c r="EA155" s="9"/>
      <c r="EB155" s="9"/>
      <c r="EC155" s="9"/>
      <c r="ED155" s="9"/>
      <c r="EE155" s="9"/>
      <c r="EF155" s="9"/>
      <c r="EG155" s="9"/>
      <c r="EH155" s="9"/>
      <c r="EI155" s="9"/>
      <c r="EJ155" s="9"/>
      <c r="EK155" s="9"/>
      <c r="EL155" s="9"/>
      <c r="EM155" s="9"/>
      <c r="EN155" s="9"/>
      <c r="EO155" s="9"/>
      <c r="EP155" s="9"/>
      <c r="EQ155" s="9"/>
      <c r="ER155" s="9"/>
      <c r="ES155" s="9"/>
      <c r="ET155" s="9"/>
      <c r="EU155" s="10"/>
      <c r="EV155" s="9"/>
      <c r="EW155" s="9"/>
      <c r="EX155" s="9"/>
      <c r="EY155" s="9"/>
      <c r="EZ155" s="9"/>
      <c r="FA155" s="9"/>
      <c r="FB155" s="9"/>
      <c r="FC155" s="9"/>
      <c r="FD155" s="9"/>
      <c r="FE155" s="9"/>
      <c r="FF155" s="9"/>
      <c r="FG155" s="9"/>
      <c r="FH155" s="9"/>
      <c r="FI155" s="9"/>
      <c r="FJ155" s="9"/>
      <c r="FK155" s="9"/>
      <c r="FL155" s="9"/>
      <c r="FM155" s="9"/>
      <c r="FN155" s="9"/>
      <c r="FO155" s="9"/>
      <c r="FP155" s="9"/>
      <c r="FQ155" s="9"/>
      <c r="FR155" s="9"/>
      <c r="FS155" s="9"/>
      <c r="FT155" s="9"/>
      <c r="FU155" s="9"/>
      <c r="FV155" s="9"/>
      <c r="FW155" s="10"/>
      <c r="FX155" s="9"/>
      <c r="FY155" s="9"/>
      <c r="FZ155" s="9"/>
      <c r="GA155" s="9"/>
      <c r="GB155" s="9"/>
      <c r="GC155" s="9"/>
      <c r="GD155" s="9"/>
      <c r="GE155" s="9"/>
      <c r="GF155" s="9"/>
      <c r="GG155" s="9"/>
      <c r="GH155" s="9"/>
      <c r="GI155" s="9"/>
      <c r="GJ155" s="9"/>
      <c r="GK155" s="9"/>
      <c r="GL155" s="9"/>
      <c r="GM155" s="9"/>
      <c r="GN155" s="9"/>
      <c r="GO155" s="9"/>
      <c r="GP155" s="9"/>
      <c r="GQ155" s="9"/>
      <c r="GR155" s="9"/>
      <c r="GS155" s="9"/>
      <c r="GT155" s="9"/>
      <c r="GU155" s="9"/>
      <c r="GV155" s="9"/>
      <c r="GW155" s="9"/>
      <c r="GX155" s="9"/>
      <c r="GY155" s="10"/>
      <c r="GZ155" s="9"/>
      <c r="HA155" s="9"/>
    </row>
    <row r="156" spans="1:209" s="2" customFormat="1" ht="17" customHeight="1">
      <c r="A156" s="14" t="s">
        <v>155</v>
      </c>
      <c r="B156" s="35">
        <v>4240231</v>
      </c>
      <c r="C156" s="35">
        <v>4188631.8</v>
      </c>
      <c r="D156" s="4">
        <f t="shared" si="42"/>
        <v>0.98783104033718916</v>
      </c>
      <c r="E156" s="11">
        <v>10</v>
      </c>
      <c r="F156" s="5" t="s">
        <v>362</v>
      </c>
      <c r="G156" s="5" t="s">
        <v>362</v>
      </c>
      <c r="H156" s="5" t="s">
        <v>362</v>
      </c>
      <c r="I156" s="5" t="s">
        <v>362</v>
      </c>
      <c r="J156" s="5" t="s">
        <v>362</v>
      </c>
      <c r="K156" s="5" t="s">
        <v>362</v>
      </c>
      <c r="L156" s="5" t="s">
        <v>362</v>
      </c>
      <c r="M156" s="5" t="s">
        <v>362</v>
      </c>
      <c r="N156" s="35">
        <v>4541.7</v>
      </c>
      <c r="O156" s="35">
        <v>5217.3999999999996</v>
      </c>
      <c r="P156" s="4">
        <f t="shared" si="43"/>
        <v>1.1487768897109012</v>
      </c>
      <c r="Q156" s="11">
        <v>20</v>
      </c>
      <c r="R156" s="35">
        <v>0.9</v>
      </c>
      <c r="S156" s="35">
        <v>1</v>
      </c>
      <c r="T156" s="4">
        <f t="shared" si="44"/>
        <v>1.1111111111111112</v>
      </c>
      <c r="U156" s="11">
        <v>20</v>
      </c>
      <c r="V156" s="35">
        <v>705</v>
      </c>
      <c r="W156" s="35">
        <v>832.8</v>
      </c>
      <c r="X156" s="4">
        <f t="shared" si="45"/>
        <v>1.1812765957446807</v>
      </c>
      <c r="Y156" s="11">
        <v>30</v>
      </c>
      <c r="Z156" s="35">
        <v>35145</v>
      </c>
      <c r="AA156" s="35">
        <v>35734</v>
      </c>
      <c r="AB156" s="4">
        <f t="shared" si="46"/>
        <v>1.0167591407028027</v>
      </c>
      <c r="AC156" s="11">
        <v>5</v>
      </c>
      <c r="AD156" s="11">
        <v>428</v>
      </c>
      <c r="AE156" s="11">
        <v>454</v>
      </c>
      <c r="AF156" s="4">
        <f t="shared" si="47"/>
        <v>1.0607476635514019</v>
      </c>
      <c r="AG156" s="11">
        <v>20</v>
      </c>
      <c r="AH156" s="5" t="s">
        <v>362</v>
      </c>
      <c r="AI156" s="5" t="s">
        <v>362</v>
      </c>
      <c r="AJ156" s="5" t="s">
        <v>362</v>
      </c>
      <c r="AK156" s="5" t="s">
        <v>362</v>
      </c>
      <c r="AL156" s="5" t="s">
        <v>362</v>
      </c>
      <c r="AM156" s="5" t="s">
        <v>362</v>
      </c>
      <c r="AN156" s="5" t="s">
        <v>362</v>
      </c>
      <c r="AO156" s="5" t="s">
        <v>362</v>
      </c>
      <c r="AP156" s="44">
        <f t="shared" si="56"/>
        <v>1.1125058787304247</v>
      </c>
      <c r="AQ156" s="45">
        <v>1541</v>
      </c>
      <c r="AR156" s="35">
        <f t="shared" si="48"/>
        <v>420.27272727272725</v>
      </c>
      <c r="AS156" s="35">
        <f t="shared" si="49"/>
        <v>467.6</v>
      </c>
      <c r="AT156" s="35">
        <f t="shared" si="50"/>
        <v>47.327272727272771</v>
      </c>
      <c r="AU156" s="35">
        <v>162.9</v>
      </c>
      <c r="AV156" s="35">
        <v>156.1</v>
      </c>
      <c r="AW156" s="35">
        <f t="shared" si="51"/>
        <v>148.6</v>
      </c>
      <c r="AX156" s="35"/>
      <c r="AY156" s="35">
        <f t="shared" si="52"/>
        <v>148.6</v>
      </c>
      <c r="AZ156" s="35">
        <v>0</v>
      </c>
      <c r="BA156" s="35">
        <f t="shared" si="53"/>
        <v>148.6</v>
      </c>
      <c r="BB156" s="35">
        <f>MIN(BA156,16.8)</f>
        <v>16.8</v>
      </c>
      <c r="BC156" s="35">
        <f t="shared" si="54"/>
        <v>131.80000000000001</v>
      </c>
      <c r="BD156" s="35">
        <v>133.80000000000001</v>
      </c>
      <c r="BE156" s="35">
        <f t="shared" si="55"/>
        <v>-2</v>
      </c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9"/>
      <c r="BU156" s="9"/>
      <c r="BV156" s="9"/>
      <c r="BW156" s="9"/>
      <c r="BX156" s="9"/>
      <c r="BY156" s="9"/>
      <c r="BZ156" s="9"/>
      <c r="CA156" s="9"/>
      <c r="CB156" s="9"/>
      <c r="CC156" s="9"/>
      <c r="CD156" s="9"/>
      <c r="CE156" s="9"/>
      <c r="CF156" s="9"/>
      <c r="CG156" s="9"/>
      <c r="CH156" s="9"/>
      <c r="CI156" s="9"/>
      <c r="CJ156" s="9"/>
      <c r="CK156" s="9"/>
      <c r="CL156" s="9"/>
      <c r="CM156" s="9"/>
      <c r="CN156" s="9"/>
      <c r="CO156" s="9"/>
      <c r="CP156" s="9"/>
      <c r="CQ156" s="10"/>
      <c r="CR156" s="9"/>
      <c r="CS156" s="9"/>
      <c r="CT156" s="9"/>
      <c r="CU156" s="9"/>
      <c r="CV156" s="9"/>
      <c r="CW156" s="9"/>
      <c r="CX156" s="9"/>
      <c r="CY156" s="9"/>
      <c r="CZ156" s="9"/>
      <c r="DA156" s="9"/>
      <c r="DB156" s="9"/>
      <c r="DC156" s="9"/>
      <c r="DD156" s="9"/>
      <c r="DE156" s="9"/>
      <c r="DF156" s="9"/>
      <c r="DG156" s="9"/>
      <c r="DH156" s="9"/>
      <c r="DI156" s="9"/>
      <c r="DJ156" s="9"/>
      <c r="DK156" s="9"/>
      <c r="DL156" s="9"/>
      <c r="DM156" s="9"/>
      <c r="DN156" s="9"/>
      <c r="DO156" s="9"/>
      <c r="DP156" s="9"/>
      <c r="DQ156" s="9"/>
      <c r="DR156" s="9"/>
      <c r="DS156" s="10"/>
      <c r="DT156" s="9"/>
      <c r="DU156" s="9"/>
      <c r="DV156" s="9"/>
      <c r="DW156" s="9"/>
      <c r="DX156" s="9"/>
      <c r="DY156" s="9"/>
      <c r="DZ156" s="9"/>
      <c r="EA156" s="9"/>
      <c r="EB156" s="9"/>
      <c r="EC156" s="9"/>
      <c r="ED156" s="9"/>
      <c r="EE156" s="9"/>
      <c r="EF156" s="9"/>
      <c r="EG156" s="9"/>
      <c r="EH156" s="9"/>
      <c r="EI156" s="9"/>
      <c r="EJ156" s="9"/>
      <c r="EK156" s="9"/>
      <c r="EL156" s="9"/>
      <c r="EM156" s="9"/>
      <c r="EN156" s="9"/>
      <c r="EO156" s="9"/>
      <c r="EP156" s="9"/>
      <c r="EQ156" s="9"/>
      <c r="ER156" s="9"/>
      <c r="ES156" s="9"/>
      <c r="ET156" s="9"/>
      <c r="EU156" s="10"/>
      <c r="EV156" s="9"/>
      <c r="EW156" s="9"/>
      <c r="EX156" s="9"/>
      <c r="EY156" s="9"/>
      <c r="EZ156" s="9"/>
      <c r="FA156" s="9"/>
      <c r="FB156" s="9"/>
      <c r="FC156" s="9"/>
      <c r="FD156" s="9"/>
      <c r="FE156" s="9"/>
      <c r="FF156" s="9"/>
      <c r="FG156" s="9"/>
      <c r="FH156" s="9"/>
      <c r="FI156" s="9"/>
      <c r="FJ156" s="9"/>
      <c r="FK156" s="9"/>
      <c r="FL156" s="9"/>
      <c r="FM156" s="9"/>
      <c r="FN156" s="9"/>
      <c r="FO156" s="9"/>
      <c r="FP156" s="9"/>
      <c r="FQ156" s="9"/>
      <c r="FR156" s="9"/>
      <c r="FS156" s="9"/>
      <c r="FT156" s="9"/>
      <c r="FU156" s="9"/>
      <c r="FV156" s="9"/>
      <c r="FW156" s="10"/>
      <c r="FX156" s="9"/>
      <c r="FY156" s="9"/>
      <c r="FZ156" s="9"/>
      <c r="GA156" s="9"/>
      <c r="GB156" s="9"/>
      <c r="GC156" s="9"/>
      <c r="GD156" s="9"/>
      <c r="GE156" s="9"/>
      <c r="GF156" s="9"/>
      <c r="GG156" s="9"/>
      <c r="GH156" s="9"/>
      <c r="GI156" s="9"/>
      <c r="GJ156" s="9"/>
      <c r="GK156" s="9"/>
      <c r="GL156" s="9"/>
      <c r="GM156" s="9"/>
      <c r="GN156" s="9"/>
      <c r="GO156" s="9"/>
      <c r="GP156" s="9"/>
      <c r="GQ156" s="9"/>
      <c r="GR156" s="9"/>
      <c r="GS156" s="9"/>
      <c r="GT156" s="9"/>
      <c r="GU156" s="9"/>
      <c r="GV156" s="9"/>
      <c r="GW156" s="9"/>
      <c r="GX156" s="9"/>
      <c r="GY156" s="10"/>
      <c r="GZ156" s="9"/>
      <c r="HA156" s="9"/>
    </row>
    <row r="157" spans="1:209" s="2" customFormat="1" ht="17" customHeight="1">
      <c r="A157" s="18" t="s">
        <v>156</v>
      </c>
      <c r="B157" s="6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35"/>
      <c r="AA157" s="35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11"/>
      <c r="AX157" s="11"/>
      <c r="AY157" s="11"/>
      <c r="AZ157" s="11"/>
      <c r="BA157" s="11"/>
      <c r="BB157" s="11"/>
      <c r="BC157" s="35"/>
      <c r="BD157" s="35"/>
      <c r="BE157" s="35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9"/>
      <c r="BU157" s="9"/>
      <c r="BV157" s="9"/>
      <c r="BW157" s="9"/>
      <c r="BX157" s="9"/>
      <c r="BY157" s="9"/>
      <c r="BZ157" s="9"/>
      <c r="CA157" s="9"/>
      <c r="CB157" s="9"/>
      <c r="CC157" s="9"/>
      <c r="CD157" s="9"/>
      <c r="CE157" s="9"/>
      <c r="CF157" s="9"/>
      <c r="CG157" s="9"/>
      <c r="CH157" s="9"/>
      <c r="CI157" s="9"/>
      <c r="CJ157" s="9"/>
      <c r="CK157" s="9"/>
      <c r="CL157" s="9"/>
      <c r="CM157" s="9"/>
      <c r="CN157" s="9"/>
      <c r="CO157" s="9"/>
      <c r="CP157" s="9"/>
      <c r="CQ157" s="10"/>
      <c r="CR157" s="9"/>
      <c r="CS157" s="9"/>
      <c r="CT157" s="9"/>
      <c r="CU157" s="9"/>
      <c r="CV157" s="9"/>
      <c r="CW157" s="9"/>
      <c r="CX157" s="9"/>
      <c r="CY157" s="9"/>
      <c r="CZ157" s="9"/>
      <c r="DA157" s="9"/>
      <c r="DB157" s="9"/>
      <c r="DC157" s="9"/>
      <c r="DD157" s="9"/>
      <c r="DE157" s="9"/>
      <c r="DF157" s="9"/>
      <c r="DG157" s="9"/>
      <c r="DH157" s="9"/>
      <c r="DI157" s="9"/>
      <c r="DJ157" s="9"/>
      <c r="DK157" s="9"/>
      <c r="DL157" s="9"/>
      <c r="DM157" s="9"/>
      <c r="DN157" s="9"/>
      <c r="DO157" s="9"/>
      <c r="DP157" s="9"/>
      <c r="DQ157" s="9"/>
      <c r="DR157" s="9"/>
      <c r="DS157" s="10"/>
      <c r="DT157" s="9"/>
      <c r="DU157" s="9"/>
      <c r="DV157" s="9"/>
      <c r="DW157" s="9"/>
      <c r="DX157" s="9"/>
      <c r="DY157" s="9"/>
      <c r="DZ157" s="9"/>
      <c r="EA157" s="9"/>
      <c r="EB157" s="9"/>
      <c r="EC157" s="9"/>
      <c r="ED157" s="9"/>
      <c r="EE157" s="9"/>
      <c r="EF157" s="9"/>
      <c r="EG157" s="9"/>
      <c r="EH157" s="9"/>
      <c r="EI157" s="9"/>
      <c r="EJ157" s="9"/>
      <c r="EK157" s="9"/>
      <c r="EL157" s="9"/>
      <c r="EM157" s="9"/>
      <c r="EN157" s="9"/>
      <c r="EO157" s="9"/>
      <c r="EP157" s="9"/>
      <c r="EQ157" s="9"/>
      <c r="ER157" s="9"/>
      <c r="ES157" s="9"/>
      <c r="ET157" s="9"/>
      <c r="EU157" s="10"/>
      <c r="EV157" s="9"/>
      <c r="EW157" s="9"/>
      <c r="EX157" s="9"/>
      <c r="EY157" s="9"/>
      <c r="EZ157" s="9"/>
      <c r="FA157" s="9"/>
      <c r="FB157" s="9"/>
      <c r="FC157" s="9"/>
      <c r="FD157" s="9"/>
      <c r="FE157" s="9"/>
      <c r="FF157" s="9"/>
      <c r="FG157" s="9"/>
      <c r="FH157" s="9"/>
      <c r="FI157" s="9"/>
      <c r="FJ157" s="9"/>
      <c r="FK157" s="9"/>
      <c r="FL157" s="9"/>
      <c r="FM157" s="9"/>
      <c r="FN157" s="9"/>
      <c r="FO157" s="9"/>
      <c r="FP157" s="9"/>
      <c r="FQ157" s="9"/>
      <c r="FR157" s="9"/>
      <c r="FS157" s="9"/>
      <c r="FT157" s="9"/>
      <c r="FU157" s="9"/>
      <c r="FV157" s="9"/>
      <c r="FW157" s="10"/>
      <c r="FX157" s="9"/>
      <c r="FY157" s="9"/>
      <c r="FZ157" s="9"/>
      <c r="GA157" s="9"/>
      <c r="GB157" s="9"/>
      <c r="GC157" s="9"/>
      <c r="GD157" s="9"/>
      <c r="GE157" s="9"/>
      <c r="GF157" s="9"/>
      <c r="GG157" s="9"/>
      <c r="GH157" s="9"/>
      <c r="GI157" s="9"/>
      <c r="GJ157" s="9"/>
      <c r="GK157" s="9"/>
      <c r="GL157" s="9"/>
      <c r="GM157" s="9"/>
      <c r="GN157" s="9"/>
      <c r="GO157" s="9"/>
      <c r="GP157" s="9"/>
      <c r="GQ157" s="9"/>
      <c r="GR157" s="9"/>
      <c r="GS157" s="9"/>
      <c r="GT157" s="9"/>
      <c r="GU157" s="9"/>
      <c r="GV157" s="9"/>
      <c r="GW157" s="9"/>
      <c r="GX157" s="9"/>
      <c r="GY157" s="10"/>
      <c r="GZ157" s="9"/>
      <c r="HA157" s="9"/>
    </row>
    <row r="158" spans="1:209" s="2" customFormat="1" ht="17" customHeight="1">
      <c r="A158" s="14" t="s">
        <v>71</v>
      </c>
      <c r="B158" s="35">
        <v>0</v>
      </c>
      <c r="C158" s="35">
        <v>0</v>
      </c>
      <c r="D158" s="4">
        <f t="shared" si="42"/>
        <v>0</v>
      </c>
      <c r="E158" s="11">
        <v>0</v>
      </c>
      <c r="F158" s="5" t="s">
        <v>362</v>
      </c>
      <c r="G158" s="5" t="s">
        <v>362</v>
      </c>
      <c r="H158" s="5" t="s">
        <v>362</v>
      </c>
      <c r="I158" s="5" t="s">
        <v>362</v>
      </c>
      <c r="J158" s="5" t="s">
        <v>362</v>
      </c>
      <c r="K158" s="5" t="s">
        <v>362</v>
      </c>
      <c r="L158" s="5" t="s">
        <v>362</v>
      </c>
      <c r="M158" s="5" t="s">
        <v>362</v>
      </c>
      <c r="N158" s="35">
        <v>195.9</v>
      </c>
      <c r="O158" s="35">
        <v>228.3</v>
      </c>
      <c r="P158" s="4">
        <f t="shared" si="43"/>
        <v>1.1653905053598774</v>
      </c>
      <c r="Q158" s="11">
        <v>20</v>
      </c>
      <c r="R158" s="35">
        <v>0</v>
      </c>
      <c r="S158" s="35">
        <v>0</v>
      </c>
      <c r="T158" s="4">
        <f t="shared" si="44"/>
        <v>1</v>
      </c>
      <c r="U158" s="11">
        <v>25</v>
      </c>
      <c r="V158" s="35">
        <v>0</v>
      </c>
      <c r="W158" s="35">
        <v>0.4</v>
      </c>
      <c r="X158" s="4">
        <f t="shared" si="45"/>
        <v>1</v>
      </c>
      <c r="Y158" s="11">
        <v>25</v>
      </c>
      <c r="Z158" s="35">
        <v>1880</v>
      </c>
      <c r="AA158" s="35">
        <v>1634</v>
      </c>
      <c r="AB158" s="4">
        <f t="shared" si="46"/>
        <v>0.86914893617021272</v>
      </c>
      <c r="AC158" s="11">
        <v>5</v>
      </c>
      <c r="AD158" s="11">
        <v>585</v>
      </c>
      <c r="AE158" s="11">
        <v>604</v>
      </c>
      <c r="AF158" s="4">
        <f t="shared" si="47"/>
        <v>1.0324786324786326</v>
      </c>
      <c r="AG158" s="11">
        <v>20</v>
      </c>
      <c r="AH158" s="5" t="s">
        <v>362</v>
      </c>
      <c r="AI158" s="5" t="s">
        <v>362</v>
      </c>
      <c r="AJ158" s="5" t="s">
        <v>362</v>
      </c>
      <c r="AK158" s="5" t="s">
        <v>362</v>
      </c>
      <c r="AL158" s="5" t="s">
        <v>362</v>
      </c>
      <c r="AM158" s="5" t="s">
        <v>362</v>
      </c>
      <c r="AN158" s="5" t="s">
        <v>362</v>
      </c>
      <c r="AO158" s="5" t="s">
        <v>362</v>
      </c>
      <c r="AP158" s="44">
        <f t="shared" si="56"/>
        <v>1.0347697625012766</v>
      </c>
      <c r="AQ158" s="45">
        <v>1893</v>
      </c>
      <c r="AR158" s="35">
        <f t="shared" si="48"/>
        <v>516.27272727272725</v>
      </c>
      <c r="AS158" s="35">
        <f t="shared" si="49"/>
        <v>534.20000000000005</v>
      </c>
      <c r="AT158" s="35">
        <f t="shared" si="50"/>
        <v>17.927272727272793</v>
      </c>
      <c r="AU158" s="35">
        <v>182.2</v>
      </c>
      <c r="AV158" s="35">
        <v>157</v>
      </c>
      <c r="AW158" s="35">
        <f t="shared" si="51"/>
        <v>195</v>
      </c>
      <c r="AX158" s="35"/>
      <c r="AY158" s="35">
        <f t="shared" si="52"/>
        <v>195</v>
      </c>
      <c r="AZ158" s="35">
        <v>0</v>
      </c>
      <c r="BA158" s="35">
        <f t="shared" si="53"/>
        <v>195</v>
      </c>
      <c r="BB158" s="35"/>
      <c r="BC158" s="35">
        <f t="shared" si="54"/>
        <v>195</v>
      </c>
      <c r="BD158" s="35">
        <v>199.8</v>
      </c>
      <c r="BE158" s="35">
        <f t="shared" si="55"/>
        <v>-4.8</v>
      </c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9"/>
      <c r="BU158" s="9"/>
      <c r="BV158" s="9"/>
      <c r="BW158" s="9"/>
      <c r="BX158" s="9"/>
      <c r="BY158" s="9"/>
      <c r="BZ158" s="9"/>
      <c r="CA158" s="9"/>
      <c r="CB158" s="9"/>
      <c r="CC158" s="9"/>
      <c r="CD158" s="9"/>
      <c r="CE158" s="9"/>
      <c r="CF158" s="9"/>
      <c r="CG158" s="9"/>
      <c r="CH158" s="9"/>
      <c r="CI158" s="9"/>
      <c r="CJ158" s="9"/>
      <c r="CK158" s="9"/>
      <c r="CL158" s="9"/>
      <c r="CM158" s="9"/>
      <c r="CN158" s="9"/>
      <c r="CO158" s="9"/>
      <c r="CP158" s="9"/>
      <c r="CQ158" s="10"/>
      <c r="CR158" s="9"/>
      <c r="CS158" s="9"/>
      <c r="CT158" s="9"/>
      <c r="CU158" s="9"/>
      <c r="CV158" s="9"/>
      <c r="CW158" s="9"/>
      <c r="CX158" s="9"/>
      <c r="CY158" s="9"/>
      <c r="CZ158" s="9"/>
      <c r="DA158" s="9"/>
      <c r="DB158" s="9"/>
      <c r="DC158" s="9"/>
      <c r="DD158" s="9"/>
      <c r="DE158" s="9"/>
      <c r="DF158" s="9"/>
      <c r="DG158" s="9"/>
      <c r="DH158" s="9"/>
      <c r="DI158" s="9"/>
      <c r="DJ158" s="9"/>
      <c r="DK158" s="9"/>
      <c r="DL158" s="9"/>
      <c r="DM158" s="9"/>
      <c r="DN158" s="9"/>
      <c r="DO158" s="9"/>
      <c r="DP158" s="9"/>
      <c r="DQ158" s="9"/>
      <c r="DR158" s="9"/>
      <c r="DS158" s="10"/>
      <c r="DT158" s="9"/>
      <c r="DU158" s="9"/>
      <c r="DV158" s="9"/>
      <c r="DW158" s="9"/>
      <c r="DX158" s="9"/>
      <c r="DY158" s="9"/>
      <c r="DZ158" s="9"/>
      <c r="EA158" s="9"/>
      <c r="EB158" s="9"/>
      <c r="EC158" s="9"/>
      <c r="ED158" s="9"/>
      <c r="EE158" s="9"/>
      <c r="EF158" s="9"/>
      <c r="EG158" s="9"/>
      <c r="EH158" s="9"/>
      <c r="EI158" s="9"/>
      <c r="EJ158" s="9"/>
      <c r="EK158" s="9"/>
      <c r="EL158" s="9"/>
      <c r="EM158" s="9"/>
      <c r="EN158" s="9"/>
      <c r="EO158" s="9"/>
      <c r="EP158" s="9"/>
      <c r="EQ158" s="9"/>
      <c r="ER158" s="9"/>
      <c r="ES158" s="9"/>
      <c r="ET158" s="9"/>
      <c r="EU158" s="10"/>
      <c r="EV158" s="9"/>
      <c r="EW158" s="9"/>
      <c r="EX158" s="9"/>
      <c r="EY158" s="9"/>
      <c r="EZ158" s="9"/>
      <c r="FA158" s="9"/>
      <c r="FB158" s="9"/>
      <c r="FC158" s="9"/>
      <c r="FD158" s="9"/>
      <c r="FE158" s="9"/>
      <c r="FF158" s="9"/>
      <c r="FG158" s="9"/>
      <c r="FH158" s="9"/>
      <c r="FI158" s="9"/>
      <c r="FJ158" s="9"/>
      <c r="FK158" s="9"/>
      <c r="FL158" s="9"/>
      <c r="FM158" s="9"/>
      <c r="FN158" s="9"/>
      <c r="FO158" s="9"/>
      <c r="FP158" s="9"/>
      <c r="FQ158" s="9"/>
      <c r="FR158" s="9"/>
      <c r="FS158" s="9"/>
      <c r="FT158" s="9"/>
      <c r="FU158" s="9"/>
      <c r="FV158" s="9"/>
      <c r="FW158" s="10"/>
      <c r="FX158" s="9"/>
      <c r="FY158" s="9"/>
      <c r="FZ158" s="9"/>
      <c r="GA158" s="9"/>
      <c r="GB158" s="9"/>
      <c r="GC158" s="9"/>
      <c r="GD158" s="9"/>
      <c r="GE158" s="9"/>
      <c r="GF158" s="9"/>
      <c r="GG158" s="9"/>
      <c r="GH158" s="9"/>
      <c r="GI158" s="9"/>
      <c r="GJ158" s="9"/>
      <c r="GK158" s="9"/>
      <c r="GL158" s="9"/>
      <c r="GM158" s="9"/>
      <c r="GN158" s="9"/>
      <c r="GO158" s="9"/>
      <c r="GP158" s="9"/>
      <c r="GQ158" s="9"/>
      <c r="GR158" s="9"/>
      <c r="GS158" s="9"/>
      <c r="GT158" s="9"/>
      <c r="GU158" s="9"/>
      <c r="GV158" s="9"/>
      <c r="GW158" s="9"/>
      <c r="GX158" s="9"/>
      <c r="GY158" s="10"/>
      <c r="GZ158" s="9"/>
      <c r="HA158" s="9"/>
    </row>
    <row r="159" spans="1:209" s="2" customFormat="1" ht="17" customHeight="1">
      <c r="A159" s="14" t="s">
        <v>157</v>
      </c>
      <c r="B159" s="35">
        <v>0</v>
      </c>
      <c r="C159" s="35">
        <v>0</v>
      </c>
      <c r="D159" s="4">
        <f t="shared" si="42"/>
        <v>0</v>
      </c>
      <c r="E159" s="11">
        <v>0</v>
      </c>
      <c r="F159" s="5" t="s">
        <v>362</v>
      </c>
      <c r="G159" s="5" t="s">
        <v>362</v>
      </c>
      <c r="H159" s="5" t="s">
        <v>362</v>
      </c>
      <c r="I159" s="5" t="s">
        <v>362</v>
      </c>
      <c r="J159" s="5" t="s">
        <v>362</v>
      </c>
      <c r="K159" s="5" t="s">
        <v>362</v>
      </c>
      <c r="L159" s="5" t="s">
        <v>362</v>
      </c>
      <c r="M159" s="5" t="s">
        <v>362</v>
      </c>
      <c r="N159" s="35">
        <v>312.2</v>
      </c>
      <c r="O159" s="35">
        <v>170.7</v>
      </c>
      <c r="P159" s="4">
        <f t="shared" si="43"/>
        <v>0.54676489429852659</v>
      </c>
      <c r="Q159" s="11">
        <v>20</v>
      </c>
      <c r="R159" s="35">
        <v>0</v>
      </c>
      <c r="S159" s="35">
        <v>0</v>
      </c>
      <c r="T159" s="4">
        <f t="shared" si="44"/>
        <v>1</v>
      </c>
      <c r="U159" s="11">
        <v>45</v>
      </c>
      <c r="V159" s="35">
        <v>0</v>
      </c>
      <c r="W159" s="35">
        <v>0.4</v>
      </c>
      <c r="X159" s="4">
        <f t="shared" si="45"/>
        <v>1</v>
      </c>
      <c r="Y159" s="11">
        <v>5</v>
      </c>
      <c r="Z159" s="35">
        <v>3600</v>
      </c>
      <c r="AA159" s="35">
        <v>3020</v>
      </c>
      <c r="AB159" s="4">
        <f t="shared" si="46"/>
        <v>0.83888888888888891</v>
      </c>
      <c r="AC159" s="11">
        <v>5</v>
      </c>
      <c r="AD159" s="11">
        <v>105</v>
      </c>
      <c r="AE159" s="11">
        <v>105</v>
      </c>
      <c r="AF159" s="4">
        <f t="shared" si="47"/>
        <v>1</v>
      </c>
      <c r="AG159" s="11">
        <v>20</v>
      </c>
      <c r="AH159" s="5" t="s">
        <v>362</v>
      </c>
      <c r="AI159" s="5" t="s">
        <v>362</v>
      </c>
      <c r="AJ159" s="5" t="s">
        <v>362</v>
      </c>
      <c r="AK159" s="5" t="s">
        <v>362</v>
      </c>
      <c r="AL159" s="5" t="s">
        <v>362</v>
      </c>
      <c r="AM159" s="5" t="s">
        <v>362</v>
      </c>
      <c r="AN159" s="5" t="s">
        <v>362</v>
      </c>
      <c r="AO159" s="5" t="s">
        <v>362</v>
      </c>
      <c r="AP159" s="44">
        <f t="shared" si="56"/>
        <v>0.89610255084647339</v>
      </c>
      <c r="AQ159" s="45">
        <v>1439</v>
      </c>
      <c r="AR159" s="35">
        <f t="shared" si="48"/>
        <v>392.45454545454544</v>
      </c>
      <c r="AS159" s="35">
        <f t="shared" si="49"/>
        <v>351.7</v>
      </c>
      <c r="AT159" s="35">
        <f t="shared" si="50"/>
        <v>-40.75454545454545</v>
      </c>
      <c r="AU159" s="35">
        <v>141.6</v>
      </c>
      <c r="AV159" s="35">
        <v>101.1</v>
      </c>
      <c r="AW159" s="35">
        <f t="shared" si="51"/>
        <v>109</v>
      </c>
      <c r="AX159" s="35"/>
      <c r="AY159" s="35">
        <f t="shared" si="52"/>
        <v>109</v>
      </c>
      <c r="AZ159" s="35">
        <v>0</v>
      </c>
      <c r="BA159" s="35">
        <f t="shared" si="53"/>
        <v>109</v>
      </c>
      <c r="BB159" s="35"/>
      <c r="BC159" s="35">
        <f t="shared" si="54"/>
        <v>109</v>
      </c>
      <c r="BD159" s="35">
        <v>110.2</v>
      </c>
      <c r="BE159" s="35">
        <f t="shared" si="55"/>
        <v>-1.2</v>
      </c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9"/>
      <c r="BU159" s="9"/>
      <c r="BV159" s="9"/>
      <c r="BW159" s="9"/>
      <c r="BX159" s="9"/>
      <c r="BY159" s="9"/>
      <c r="BZ159" s="9"/>
      <c r="CA159" s="9"/>
      <c r="CB159" s="9"/>
      <c r="CC159" s="9"/>
      <c r="CD159" s="9"/>
      <c r="CE159" s="9"/>
      <c r="CF159" s="9"/>
      <c r="CG159" s="9"/>
      <c r="CH159" s="9"/>
      <c r="CI159" s="9"/>
      <c r="CJ159" s="9"/>
      <c r="CK159" s="9"/>
      <c r="CL159" s="9"/>
      <c r="CM159" s="9"/>
      <c r="CN159" s="9"/>
      <c r="CO159" s="9"/>
      <c r="CP159" s="9"/>
      <c r="CQ159" s="10"/>
      <c r="CR159" s="9"/>
      <c r="CS159" s="9"/>
      <c r="CT159" s="9"/>
      <c r="CU159" s="9"/>
      <c r="CV159" s="9"/>
      <c r="CW159" s="9"/>
      <c r="CX159" s="9"/>
      <c r="CY159" s="9"/>
      <c r="CZ159" s="9"/>
      <c r="DA159" s="9"/>
      <c r="DB159" s="9"/>
      <c r="DC159" s="9"/>
      <c r="DD159" s="9"/>
      <c r="DE159" s="9"/>
      <c r="DF159" s="9"/>
      <c r="DG159" s="9"/>
      <c r="DH159" s="9"/>
      <c r="DI159" s="9"/>
      <c r="DJ159" s="9"/>
      <c r="DK159" s="9"/>
      <c r="DL159" s="9"/>
      <c r="DM159" s="9"/>
      <c r="DN159" s="9"/>
      <c r="DO159" s="9"/>
      <c r="DP159" s="9"/>
      <c r="DQ159" s="9"/>
      <c r="DR159" s="9"/>
      <c r="DS159" s="10"/>
      <c r="DT159" s="9"/>
      <c r="DU159" s="9"/>
      <c r="DV159" s="9"/>
      <c r="DW159" s="9"/>
      <c r="DX159" s="9"/>
      <c r="DY159" s="9"/>
      <c r="DZ159" s="9"/>
      <c r="EA159" s="9"/>
      <c r="EB159" s="9"/>
      <c r="EC159" s="9"/>
      <c r="ED159" s="9"/>
      <c r="EE159" s="9"/>
      <c r="EF159" s="9"/>
      <c r="EG159" s="9"/>
      <c r="EH159" s="9"/>
      <c r="EI159" s="9"/>
      <c r="EJ159" s="9"/>
      <c r="EK159" s="9"/>
      <c r="EL159" s="9"/>
      <c r="EM159" s="9"/>
      <c r="EN159" s="9"/>
      <c r="EO159" s="9"/>
      <c r="EP159" s="9"/>
      <c r="EQ159" s="9"/>
      <c r="ER159" s="9"/>
      <c r="ES159" s="9"/>
      <c r="ET159" s="9"/>
      <c r="EU159" s="10"/>
      <c r="EV159" s="9"/>
      <c r="EW159" s="9"/>
      <c r="EX159" s="9"/>
      <c r="EY159" s="9"/>
      <c r="EZ159" s="9"/>
      <c r="FA159" s="9"/>
      <c r="FB159" s="9"/>
      <c r="FC159" s="9"/>
      <c r="FD159" s="9"/>
      <c r="FE159" s="9"/>
      <c r="FF159" s="9"/>
      <c r="FG159" s="9"/>
      <c r="FH159" s="9"/>
      <c r="FI159" s="9"/>
      <c r="FJ159" s="9"/>
      <c r="FK159" s="9"/>
      <c r="FL159" s="9"/>
      <c r="FM159" s="9"/>
      <c r="FN159" s="9"/>
      <c r="FO159" s="9"/>
      <c r="FP159" s="9"/>
      <c r="FQ159" s="9"/>
      <c r="FR159" s="9"/>
      <c r="FS159" s="9"/>
      <c r="FT159" s="9"/>
      <c r="FU159" s="9"/>
      <c r="FV159" s="9"/>
      <c r="FW159" s="10"/>
      <c r="FX159" s="9"/>
      <c r="FY159" s="9"/>
      <c r="FZ159" s="9"/>
      <c r="GA159" s="9"/>
      <c r="GB159" s="9"/>
      <c r="GC159" s="9"/>
      <c r="GD159" s="9"/>
      <c r="GE159" s="9"/>
      <c r="GF159" s="9"/>
      <c r="GG159" s="9"/>
      <c r="GH159" s="9"/>
      <c r="GI159" s="9"/>
      <c r="GJ159" s="9"/>
      <c r="GK159" s="9"/>
      <c r="GL159" s="9"/>
      <c r="GM159" s="9"/>
      <c r="GN159" s="9"/>
      <c r="GO159" s="9"/>
      <c r="GP159" s="9"/>
      <c r="GQ159" s="9"/>
      <c r="GR159" s="9"/>
      <c r="GS159" s="9"/>
      <c r="GT159" s="9"/>
      <c r="GU159" s="9"/>
      <c r="GV159" s="9"/>
      <c r="GW159" s="9"/>
      <c r="GX159" s="9"/>
      <c r="GY159" s="10"/>
      <c r="GZ159" s="9"/>
      <c r="HA159" s="9"/>
    </row>
    <row r="160" spans="1:209" s="2" customFormat="1" ht="17" customHeight="1">
      <c r="A160" s="14" t="s">
        <v>158</v>
      </c>
      <c r="B160" s="35">
        <v>0</v>
      </c>
      <c r="C160" s="35">
        <v>0</v>
      </c>
      <c r="D160" s="4">
        <f t="shared" si="42"/>
        <v>0</v>
      </c>
      <c r="E160" s="11">
        <v>0</v>
      </c>
      <c r="F160" s="5" t="s">
        <v>362</v>
      </c>
      <c r="G160" s="5" t="s">
        <v>362</v>
      </c>
      <c r="H160" s="5" t="s">
        <v>362</v>
      </c>
      <c r="I160" s="5" t="s">
        <v>362</v>
      </c>
      <c r="J160" s="5" t="s">
        <v>362</v>
      </c>
      <c r="K160" s="5" t="s">
        <v>362</v>
      </c>
      <c r="L160" s="5" t="s">
        <v>362</v>
      </c>
      <c r="M160" s="5" t="s">
        <v>362</v>
      </c>
      <c r="N160" s="35">
        <v>164.9</v>
      </c>
      <c r="O160" s="35">
        <v>282.5</v>
      </c>
      <c r="P160" s="4">
        <f t="shared" si="43"/>
        <v>1.2513159490600363</v>
      </c>
      <c r="Q160" s="11">
        <v>20</v>
      </c>
      <c r="R160" s="35">
        <v>0</v>
      </c>
      <c r="S160" s="35">
        <v>0</v>
      </c>
      <c r="T160" s="4">
        <f t="shared" si="44"/>
        <v>1</v>
      </c>
      <c r="U160" s="11">
        <v>20</v>
      </c>
      <c r="V160" s="35">
        <v>1</v>
      </c>
      <c r="W160" s="35">
        <v>2</v>
      </c>
      <c r="X160" s="4">
        <f t="shared" si="45"/>
        <v>1.28</v>
      </c>
      <c r="Y160" s="11">
        <v>30</v>
      </c>
      <c r="Z160" s="35">
        <v>4680</v>
      </c>
      <c r="AA160" s="35">
        <v>4088</v>
      </c>
      <c r="AB160" s="4">
        <f t="shared" si="46"/>
        <v>0.87350427350427351</v>
      </c>
      <c r="AC160" s="11">
        <v>5</v>
      </c>
      <c r="AD160" s="11">
        <v>260</v>
      </c>
      <c r="AE160" s="11">
        <v>260</v>
      </c>
      <c r="AF160" s="4">
        <f t="shared" si="47"/>
        <v>1</v>
      </c>
      <c r="AG160" s="11">
        <v>20</v>
      </c>
      <c r="AH160" s="5" t="s">
        <v>362</v>
      </c>
      <c r="AI160" s="5" t="s">
        <v>362</v>
      </c>
      <c r="AJ160" s="5" t="s">
        <v>362</v>
      </c>
      <c r="AK160" s="5" t="s">
        <v>362</v>
      </c>
      <c r="AL160" s="5" t="s">
        <v>362</v>
      </c>
      <c r="AM160" s="5" t="s">
        <v>362</v>
      </c>
      <c r="AN160" s="5" t="s">
        <v>362</v>
      </c>
      <c r="AO160" s="5" t="s">
        <v>362</v>
      </c>
      <c r="AP160" s="44">
        <f t="shared" si="56"/>
        <v>1.1346720036707587</v>
      </c>
      <c r="AQ160" s="45">
        <v>2134</v>
      </c>
      <c r="AR160" s="35">
        <f t="shared" si="48"/>
        <v>582</v>
      </c>
      <c r="AS160" s="35">
        <f t="shared" si="49"/>
        <v>660.4</v>
      </c>
      <c r="AT160" s="35">
        <f t="shared" si="50"/>
        <v>78.399999999999977</v>
      </c>
      <c r="AU160" s="35">
        <v>210.6</v>
      </c>
      <c r="AV160" s="35">
        <v>199.2</v>
      </c>
      <c r="AW160" s="35">
        <f t="shared" si="51"/>
        <v>250.6</v>
      </c>
      <c r="AX160" s="35"/>
      <c r="AY160" s="35">
        <f t="shared" si="52"/>
        <v>250.6</v>
      </c>
      <c r="AZ160" s="35">
        <v>0</v>
      </c>
      <c r="BA160" s="35">
        <f t="shared" si="53"/>
        <v>250.6</v>
      </c>
      <c r="BB160" s="35"/>
      <c r="BC160" s="35">
        <f t="shared" si="54"/>
        <v>250.6</v>
      </c>
      <c r="BD160" s="35">
        <v>259</v>
      </c>
      <c r="BE160" s="35">
        <f t="shared" si="55"/>
        <v>-8.4</v>
      </c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9"/>
      <c r="BU160" s="9"/>
      <c r="BV160" s="9"/>
      <c r="BW160" s="9"/>
      <c r="BX160" s="9"/>
      <c r="BY160" s="9"/>
      <c r="BZ160" s="9"/>
      <c r="CA160" s="9"/>
      <c r="CB160" s="9"/>
      <c r="CC160" s="9"/>
      <c r="CD160" s="9"/>
      <c r="CE160" s="9"/>
      <c r="CF160" s="9"/>
      <c r="CG160" s="9"/>
      <c r="CH160" s="9"/>
      <c r="CI160" s="9"/>
      <c r="CJ160" s="9"/>
      <c r="CK160" s="9"/>
      <c r="CL160" s="9"/>
      <c r="CM160" s="9"/>
      <c r="CN160" s="9"/>
      <c r="CO160" s="9"/>
      <c r="CP160" s="9"/>
      <c r="CQ160" s="10"/>
      <c r="CR160" s="9"/>
      <c r="CS160" s="9"/>
      <c r="CT160" s="9"/>
      <c r="CU160" s="9"/>
      <c r="CV160" s="9"/>
      <c r="CW160" s="9"/>
      <c r="CX160" s="9"/>
      <c r="CY160" s="9"/>
      <c r="CZ160" s="9"/>
      <c r="DA160" s="9"/>
      <c r="DB160" s="9"/>
      <c r="DC160" s="9"/>
      <c r="DD160" s="9"/>
      <c r="DE160" s="9"/>
      <c r="DF160" s="9"/>
      <c r="DG160" s="9"/>
      <c r="DH160" s="9"/>
      <c r="DI160" s="9"/>
      <c r="DJ160" s="9"/>
      <c r="DK160" s="9"/>
      <c r="DL160" s="9"/>
      <c r="DM160" s="9"/>
      <c r="DN160" s="9"/>
      <c r="DO160" s="9"/>
      <c r="DP160" s="9"/>
      <c r="DQ160" s="9"/>
      <c r="DR160" s="9"/>
      <c r="DS160" s="10"/>
      <c r="DT160" s="9"/>
      <c r="DU160" s="9"/>
      <c r="DV160" s="9"/>
      <c r="DW160" s="9"/>
      <c r="DX160" s="9"/>
      <c r="DY160" s="9"/>
      <c r="DZ160" s="9"/>
      <c r="EA160" s="9"/>
      <c r="EB160" s="9"/>
      <c r="EC160" s="9"/>
      <c r="ED160" s="9"/>
      <c r="EE160" s="9"/>
      <c r="EF160" s="9"/>
      <c r="EG160" s="9"/>
      <c r="EH160" s="9"/>
      <c r="EI160" s="9"/>
      <c r="EJ160" s="9"/>
      <c r="EK160" s="9"/>
      <c r="EL160" s="9"/>
      <c r="EM160" s="9"/>
      <c r="EN160" s="9"/>
      <c r="EO160" s="9"/>
      <c r="EP160" s="9"/>
      <c r="EQ160" s="9"/>
      <c r="ER160" s="9"/>
      <c r="ES160" s="9"/>
      <c r="ET160" s="9"/>
      <c r="EU160" s="10"/>
      <c r="EV160" s="9"/>
      <c r="EW160" s="9"/>
      <c r="EX160" s="9"/>
      <c r="EY160" s="9"/>
      <c r="EZ160" s="9"/>
      <c r="FA160" s="9"/>
      <c r="FB160" s="9"/>
      <c r="FC160" s="9"/>
      <c r="FD160" s="9"/>
      <c r="FE160" s="9"/>
      <c r="FF160" s="9"/>
      <c r="FG160" s="9"/>
      <c r="FH160" s="9"/>
      <c r="FI160" s="9"/>
      <c r="FJ160" s="9"/>
      <c r="FK160" s="9"/>
      <c r="FL160" s="9"/>
      <c r="FM160" s="9"/>
      <c r="FN160" s="9"/>
      <c r="FO160" s="9"/>
      <c r="FP160" s="9"/>
      <c r="FQ160" s="9"/>
      <c r="FR160" s="9"/>
      <c r="FS160" s="9"/>
      <c r="FT160" s="9"/>
      <c r="FU160" s="9"/>
      <c r="FV160" s="9"/>
      <c r="FW160" s="10"/>
      <c r="FX160" s="9"/>
      <c r="FY160" s="9"/>
      <c r="FZ160" s="9"/>
      <c r="GA160" s="9"/>
      <c r="GB160" s="9"/>
      <c r="GC160" s="9"/>
      <c r="GD160" s="9"/>
      <c r="GE160" s="9"/>
      <c r="GF160" s="9"/>
      <c r="GG160" s="9"/>
      <c r="GH160" s="9"/>
      <c r="GI160" s="9"/>
      <c r="GJ160" s="9"/>
      <c r="GK160" s="9"/>
      <c r="GL160" s="9"/>
      <c r="GM160" s="9"/>
      <c r="GN160" s="9"/>
      <c r="GO160" s="9"/>
      <c r="GP160" s="9"/>
      <c r="GQ160" s="9"/>
      <c r="GR160" s="9"/>
      <c r="GS160" s="9"/>
      <c r="GT160" s="9"/>
      <c r="GU160" s="9"/>
      <c r="GV160" s="9"/>
      <c r="GW160" s="9"/>
      <c r="GX160" s="9"/>
      <c r="GY160" s="10"/>
      <c r="GZ160" s="9"/>
      <c r="HA160" s="9"/>
    </row>
    <row r="161" spans="1:209" s="2" customFormat="1" ht="17" customHeight="1">
      <c r="A161" s="14" t="s">
        <v>159</v>
      </c>
      <c r="B161" s="35">
        <v>0</v>
      </c>
      <c r="C161" s="35">
        <v>0</v>
      </c>
      <c r="D161" s="4">
        <f t="shared" si="42"/>
        <v>0</v>
      </c>
      <c r="E161" s="11">
        <v>0</v>
      </c>
      <c r="F161" s="5" t="s">
        <v>362</v>
      </c>
      <c r="G161" s="5" t="s">
        <v>362</v>
      </c>
      <c r="H161" s="5" t="s">
        <v>362</v>
      </c>
      <c r="I161" s="5" t="s">
        <v>362</v>
      </c>
      <c r="J161" s="5" t="s">
        <v>362</v>
      </c>
      <c r="K161" s="5" t="s">
        <v>362</v>
      </c>
      <c r="L161" s="5" t="s">
        <v>362</v>
      </c>
      <c r="M161" s="5" t="s">
        <v>362</v>
      </c>
      <c r="N161" s="35">
        <v>502.1</v>
      </c>
      <c r="O161" s="35">
        <v>770.4</v>
      </c>
      <c r="P161" s="4">
        <f t="shared" si="43"/>
        <v>1.2334355706034654</v>
      </c>
      <c r="Q161" s="11">
        <v>20</v>
      </c>
      <c r="R161" s="35">
        <v>0</v>
      </c>
      <c r="S161" s="35">
        <v>0</v>
      </c>
      <c r="T161" s="4">
        <f t="shared" si="44"/>
        <v>1</v>
      </c>
      <c r="U161" s="11">
        <v>25</v>
      </c>
      <c r="V161" s="35">
        <v>1</v>
      </c>
      <c r="W161" s="35">
        <v>2.6</v>
      </c>
      <c r="X161" s="4">
        <f t="shared" si="45"/>
        <v>1.3</v>
      </c>
      <c r="Y161" s="11">
        <v>25</v>
      </c>
      <c r="Z161" s="35">
        <v>9210</v>
      </c>
      <c r="AA161" s="35">
        <v>7910</v>
      </c>
      <c r="AB161" s="4">
        <f t="shared" si="46"/>
        <v>0.85884907709011948</v>
      </c>
      <c r="AC161" s="11">
        <v>5</v>
      </c>
      <c r="AD161" s="11">
        <v>210</v>
      </c>
      <c r="AE161" s="11">
        <v>251</v>
      </c>
      <c r="AF161" s="4">
        <f t="shared" si="47"/>
        <v>1.1952380952380952</v>
      </c>
      <c r="AG161" s="11">
        <v>20</v>
      </c>
      <c r="AH161" s="5" t="s">
        <v>362</v>
      </c>
      <c r="AI161" s="5" t="s">
        <v>362</v>
      </c>
      <c r="AJ161" s="5" t="s">
        <v>362</v>
      </c>
      <c r="AK161" s="5" t="s">
        <v>362</v>
      </c>
      <c r="AL161" s="5" t="s">
        <v>362</v>
      </c>
      <c r="AM161" s="5" t="s">
        <v>362</v>
      </c>
      <c r="AN161" s="5" t="s">
        <v>362</v>
      </c>
      <c r="AO161" s="5" t="s">
        <v>362</v>
      </c>
      <c r="AP161" s="44">
        <f t="shared" si="56"/>
        <v>1.1617654600240193</v>
      </c>
      <c r="AQ161" s="45">
        <v>2179</v>
      </c>
      <c r="AR161" s="35">
        <f t="shared" si="48"/>
        <v>594.27272727272725</v>
      </c>
      <c r="AS161" s="35">
        <f t="shared" si="49"/>
        <v>690.4</v>
      </c>
      <c r="AT161" s="35">
        <f t="shared" si="50"/>
        <v>96.127272727272725</v>
      </c>
      <c r="AU161" s="35">
        <v>210.9</v>
      </c>
      <c r="AV161" s="35">
        <v>212.6</v>
      </c>
      <c r="AW161" s="35">
        <f t="shared" si="51"/>
        <v>266.89999999999998</v>
      </c>
      <c r="AX161" s="35"/>
      <c r="AY161" s="35">
        <f t="shared" si="52"/>
        <v>266.89999999999998</v>
      </c>
      <c r="AZ161" s="35">
        <v>0</v>
      </c>
      <c r="BA161" s="35">
        <f t="shared" si="53"/>
        <v>266.89999999999998</v>
      </c>
      <c r="BB161" s="35"/>
      <c r="BC161" s="35">
        <f t="shared" si="54"/>
        <v>266.89999999999998</v>
      </c>
      <c r="BD161" s="35">
        <v>276.89999999999998</v>
      </c>
      <c r="BE161" s="35">
        <f t="shared" si="55"/>
        <v>-10</v>
      </c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9"/>
      <c r="BU161" s="9"/>
      <c r="BV161" s="9"/>
      <c r="BW161" s="9"/>
      <c r="BX161" s="9"/>
      <c r="BY161" s="9"/>
      <c r="BZ161" s="9"/>
      <c r="CA161" s="9"/>
      <c r="CB161" s="9"/>
      <c r="CC161" s="9"/>
      <c r="CD161" s="9"/>
      <c r="CE161" s="9"/>
      <c r="CF161" s="9"/>
      <c r="CG161" s="9"/>
      <c r="CH161" s="9"/>
      <c r="CI161" s="9"/>
      <c r="CJ161" s="9"/>
      <c r="CK161" s="9"/>
      <c r="CL161" s="9"/>
      <c r="CM161" s="9"/>
      <c r="CN161" s="9"/>
      <c r="CO161" s="9"/>
      <c r="CP161" s="9"/>
      <c r="CQ161" s="10"/>
      <c r="CR161" s="9"/>
      <c r="CS161" s="9"/>
      <c r="CT161" s="9"/>
      <c r="CU161" s="9"/>
      <c r="CV161" s="9"/>
      <c r="CW161" s="9"/>
      <c r="CX161" s="9"/>
      <c r="CY161" s="9"/>
      <c r="CZ161" s="9"/>
      <c r="DA161" s="9"/>
      <c r="DB161" s="9"/>
      <c r="DC161" s="9"/>
      <c r="DD161" s="9"/>
      <c r="DE161" s="9"/>
      <c r="DF161" s="9"/>
      <c r="DG161" s="9"/>
      <c r="DH161" s="9"/>
      <c r="DI161" s="9"/>
      <c r="DJ161" s="9"/>
      <c r="DK161" s="9"/>
      <c r="DL161" s="9"/>
      <c r="DM161" s="9"/>
      <c r="DN161" s="9"/>
      <c r="DO161" s="9"/>
      <c r="DP161" s="9"/>
      <c r="DQ161" s="9"/>
      <c r="DR161" s="9"/>
      <c r="DS161" s="10"/>
      <c r="DT161" s="9"/>
      <c r="DU161" s="9"/>
      <c r="DV161" s="9"/>
      <c r="DW161" s="9"/>
      <c r="DX161" s="9"/>
      <c r="DY161" s="9"/>
      <c r="DZ161" s="9"/>
      <c r="EA161" s="9"/>
      <c r="EB161" s="9"/>
      <c r="EC161" s="9"/>
      <c r="ED161" s="9"/>
      <c r="EE161" s="9"/>
      <c r="EF161" s="9"/>
      <c r="EG161" s="9"/>
      <c r="EH161" s="9"/>
      <c r="EI161" s="9"/>
      <c r="EJ161" s="9"/>
      <c r="EK161" s="9"/>
      <c r="EL161" s="9"/>
      <c r="EM161" s="9"/>
      <c r="EN161" s="9"/>
      <c r="EO161" s="9"/>
      <c r="EP161" s="9"/>
      <c r="EQ161" s="9"/>
      <c r="ER161" s="9"/>
      <c r="ES161" s="9"/>
      <c r="ET161" s="9"/>
      <c r="EU161" s="10"/>
      <c r="EV161" s="9"/>
      <c r="EW161" s="9"/>
      <c r="EX161" s="9"/>
      <c r="EY161" s="9"/>
      <c r="EZ161" s="9"/>
      <c r="FA161" s="9"/>
      <c r="FB161" s="9"/>
      <c r="FC161" s="9"/>
      <c r="FD161" s="9"/>
      <c r="FE161" s="9"/>
      <c r="FF161" s="9"/>
      <c r="FG161" s="9"/>
      <c r="FH161" s="9"/>
      <c r="FI161" s="9"/>
      <c r="FJ161" s="9"/>
      <c r="FK161" s="9"/>
      <c r="FL161" s="9"/>
      <c r="FM161" s="9"/>
      <c r="FN161" s="9"/>
      <c r="FO161" s="9"/>
      <c r="FP161" s="9"/>
      <c r="FQ161" s="9"/>
      <c r="FR161" s="9"/>
      <c r="FS161" s="9"/>
      <c r="FT161" s="9"/>
      <c r="FU161" s="9"/>
      <c r="FV161" s="9"/>
      <c r="FW161" s="10"/>
      <c r="FX161" s="9"/>
      <c r="FY161" s="9"/>
      <c r="FZ161" s="9"/>
      <c r="GA161" s="9"/>
      <c r="GB161" s="9"/>
      <c r="GC161" s="9"/>
      <c r="GD161" s="9"/>
      <c r="GE161" s="9"/>
      <c r="GF161" s="9"/>
      <c r="GG161" s="9"/>
      <c r="GH161" s="9"/>
      <c r="GI161" s="9"/>
      <c r="GJ161" s="9"/>
      <c r="GK161" s="9"/>
      <c r="GL161" s="9"/>
      <c r="GM161" s="9"/>
      <c r="GN161" s="9"/>
      <c r="GO161" s="9"/>
      <c r="GP161" s="9"/>
      <c r="GQ161" s="9"/>
      <c r="GR161" s="9"/>
      <c r="GS161" s="9"/>
      <c r="GT161" s="9"/>
      <c r="GU161" s="9"/>
      <c r="GV161" s="9"/>
      <c r="GW161" s="9"/>
      <c r="GX161" s="9"/>
      <c r="GY161" s="10"/>
      <c r="GZ161" s="9"/>
      <c r="HA161" s="9"/>
    </row>
    <row r="162" spans="1:209" s="2" customFormat="1" ht="17" customHeight="1">
      <c r="A162" s="14" t="s">
        <v>160</v>
      </c>
      <c r="B162" s="35">
        <v>273090</v>
      </c>
      <c r="C162" s="35">
        <v>327635.09999999998</v>
      </c>
      <c r="D162" s="4">
        <f t="shared" si="42"/>
        <v>1.1997330550368011</v>
      </c>
      <c r="E162" s="11">
        <v>10</v>
      </c>
      <c r="F162" s="5" t="s">
        <v>362</v>
      </c>
      <c r="G162" s="5" t="s">
        <v>362</v>
      </c>
      <c r="H162" s="5" t="s">
        <v>362</v>
      </c>
      <c r="I162" s="5" t="s">
        <v>362</v>
      </c>
      <c r="J162" s="5" t="s">
        <v>362</v>
      </c>
      <c r="K162" s="5" t="s">
        <v>362</v>
      </c>
      <c r="L162" s="5" t="s">
        <v>362</v>
      </c>
      <c r="M162" s="5" t="s">
        <v>362</v>
      </c>
      <c r="N162" s="35">
        <v>6211</v>
      </c>
      <c r="O162" s="35">
        <v>6536.8</v>
      </c>
      <c r="P162" s="4">
        <f t="shared" si="43"/>
        <v>1.0524553212043151</v>
      </c>
      <c r="Q162" s="11">
        <v>20</v>
      </c>
      <c r="R162" s="35">
        <v>428</v>
      </c>
      <c r="S162" s="35">
        <v>431.4</v>
      </c>
      <c r="T162" s="4">
        <f t="shared" si="44"/>
        <v>1.0079439252336448</v>
      </c>
      <c r="U162" s="11">
        <v>25</v>
      </c>
      <c r="V162" s="35">
        <v>7</v>
      </c>
      <c r="W162" s="35">
        <v>11.8</v>
      </c>
      <c r="X162" s="4">
        <f t="shared" si="45"/>
        <v>1.2485714285714284</v>
      </c>
      <c r="Y162" s="11">
        <v>25</v>
      </c>
      <c r="Z162" s="35">
        <v>288750</v>
      </c>
      <c r="AA162" s="35">
        <v>257022</v>
      </c>
      <c r="AB162" s="4">
        <f t="shared" si="46"/>
        <v>0.89011948051948053</v>
      </c>
      <c r="AC162" s="11">
        <v>5</v>
      </c>
      <c r="AD162" s="11">
        <v>1140</v>
      </c>
      <c r="AE162" s="11">
        <v>1144</v>
      </c>
      <c r="AF162" s="4">
        <f t="shared" si="47"/>
        <v>1.0035087719298246</v>
      </c>
      <c r="AG162" s="11">
        <v>20</v>
      </c>
      <c r="AH162" s="5" t="s">
        <v>362</v>
      </c>
      <c r="AI162" s="5" t="s">
        <v>362</v>
      </c>
      <c r="AJ162" s="5" t="s">
        <v>362</v>
      </c>
      <c r="AK162" s="5" t="s">
        <v>362</v>
      </c>
      <c r="AL162" s="5" t="s">
        <v>362</v>
      </c>
      <c r="AM162" s="5" t="s">
        <v>362</v>
      </c>
      <c r="AN162" s="5" t="s">
        <v>362</v>
      </c>
      <c r="AO162" s="5" t="s">
        <v>362</v>
      </c>
      <c r="AP162" s="44">
        <f t="shared" si="56"/>
        <v>1.0855247015311906</v>
      </c>
      <c r="AQ162" s="45">
        <v>3142</v>
      </c>
      <c r="AR162" s="35">
        <f t="shared" si="48"/>
        <v>856.90909090909088</v>
      </c>
      <c r="AS162" s="35">
        <f t="shared" si="49"/>
        <v>930.2</v>
      </c>
      <c r="AT162" s="35">
        <f t="shared" si="50"/>
        <v>73.290909090909167</v>
      </c>
      <c r="AU162" s="35">
        <v>314.2</v>
      </c>
      <c r="AV162" s="35">
        <v>316.5</v>
      </c>
      <c r="AW162" s="35">
        <f t="shared" si="51"/>
        <v>299.5</v>
      </c>
      <c r="AX162" s="35"/>
      <c r="AY162" s="35">
        <f t="shared" si="52"/>
        <v>299.5</v>
      </c>
      <c r="AZ162" s="35">
        <v>0</v>
      </c>
      <c r="BA162" s="35">
        <f t="shared" si="53"/>
        <v>299.5</v>
      </c>
      <c r="BB162" s="35">
        <f>MIN(BA162,128.6)</f>
        <v>128.6</v>
      </c>
      <c r="BC162" s="35">
        <f t="shared" si="54"/>
        <v>170.9</v>
      </c>
      <c r="BD162" s="35">
        <v>179.3</v>
      </c>
      <c r="BE162" s="35">
        <f t="shared" si="55"/>
        <v>-8.4</v>
      </c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9"/>
      <c r="BU162" s="9"/>
      <c r="BV162" s="9"/>
      <c r="BW162" s="9"/>
      <c r="BX162" s="9"/>
      <c r="BY162" s="9"/>
      <c r="BZ162" s="9"/>
      <c r="CA162" s="9"/>
      <c r="CB162" s="9"/>
      <c r="CC162" s="9"/>
      <c r="CD162" s="9"/>
      <c r="CE162" s="9"/>
      <c r="CF162" s="9"/>
      <c r="CG162" s="9"/>
      <c r="CH162" s="9"/>
      <c r="CI162" s="9"/>
      <c r="CJ162" s="9"/>
      <c r="CK162" s="9"/>
      <c r="CL162" s="9"/>
      <c r="CM162" s="9"/>
      <c r="CN162" s="9"/>
      <c r="CO162" s="9"/>
      <c r="CP162" s="9"/>
      <c r="CQ162" s="10"/>
      <c r="CR162" s="9"/>
      <c r="CS162" s="9"/>
      <c r="CT162" s="9"/>
      <c r="CU162" s="9"/>
      <c r="CV162" s="9"/>
      <c r="CW162" s="9"/>
      <c r="CX162" s="9"/>
      <c r="CY162" s="9"/>
      <c r="CZ162" s="9"/>
      <c r="DA162" s="9"/>
      <c r="DB162" s="9"/>
      <c r="DC162" s="9"/>
      <c r="DD162" s="9"/>
      <c r="DE162" s="9"/>
      <c r="DF162" s="9"/>
      <c r="DG162" s="9"/>
      <c r="DH162" s="9"/>
      <c r="DI162" s="9"/>
      <c r="DJ162" s="9"/>
      <c r="DK162" s="9"/>
      <c r="DL162" s="9"/>
      <c r="DM162" s="9"/>
      <c r="DN162" s="9"/>
      <c r="DO162" s="9"/>
      <c r="DP162" s="9"/>
      <c r="DQ162" s="9"/>
      <c r="DR162" s="9"/>
      <c r="DS162" s="10"/>
      <c r="DT162" s="9"/>
      <c r="DU162" s="9"/>
      <c r="DV162" s="9"/>
      <c r="DW162" s="9"/>
      <c r="DX162" s="9"/>
      <c r="DY162" s="9"/>
      <c r="DZ162" s="9"/>
      <c r="EA162" s="9"/>
      <c r="EB162" s="9"/>
      <c r="EC162" s="9"/>
      <c r="ED162" s="9"/>
      <c r="EE162" s="9"/>
      <c r="EF162" s="9"/>
      <c r="EG162" s="9"/>
      <c r="EH162" s="9"/>
      <c r="EI162" s="9"/>
      <c r="EJ162" s="9"/>
      <c r="EK162" s="9"/>
      <c r="EL162" s="9"/>
      <c r="EM162" s="9"/>
      <c r="EN162" s="9"/>
      <c r="EO162" s="9"/>
      <c r="EP162" s="9"/>
      <c r="EQ162" s="9"/>
      <c r="ER162" s="9"/>
      <c r="ES162" s="9"/>
      <c r="ET162" s="9"/>
      <c r="EU162" s="10"/>
      <c r="EV162" s="9"/>
      <c r="EW162" s="9"/>
      <c r="EX162" s="9"/>
      <c r="EY162" s="9"/>
      <c r="EZ162" s="9"/>
      <c r="FA162" s="9"/>
      <c r="FB162" s="9"/>
      <c r="FC162" s="9"/>
      <c r="FD162" s="9"/>
      <c r="FE162" s="9"/>
      <c r="FF162" s="9"/>
      <c r="FG162" s="9"/>
      <c r="FH162" s="9"/>
      <c r="FI162" s="9"/>
      <c r="FJ162" s="9"/>
      <c r="FK162" s="9"/>
      <c r="FL162" s="9"/>
      <c r="FM162" s="9"/>
      <c r="FN162" s="9"/>
      <c r="FO162" s="9"/>
      <c r="FP162" s="9"/>
      <c r="FQ162" s="9"/>
      <c r="FR162" s="9"/>
      <c r="FS162" s="9"/>
      <c r="FT162" s="9"/>
      <c r="FU162" s="9"/>
      <c r="FV162" s="9"/>
      <c r="FW162" s="10"/>
      <c r="FX162" s="9"/>
      <c r="FY162" s="9"/>
      <c r="FZ162" s="9"/>
      <c r="GA162" s="9"/>
      <c r="GB162" s="9"/>
      <c r="GC162" s="9"/>
      <c r="GD162" s="9"/>
      <c r="GE162" s="9"/>
      <c r="GF162" s="9"/>
      <c r="GG162" s="9"/>
      <c r="GH162" s="9"/>
      <c r="GI162" s="9"/>
      <c r="GJ162" s="9"/>
      <c r="GK162" s="9"/>
      <c r="GL162" s="9"/>
      <c r="GM162" s="9"/>
      <c r="GN162" s="9"/>
      <c r="GO162" s="9"/>
      <c r="GP162" s="9"/>
      <c r="GQ162" s="9"/>
      <c r="GR162" s="9"/>
      <c r="GS162" s="9"/>
      <c r="GT162" s="9"/>
      <c r="GU162" s="9"/>
      <c r="GV162" s="9"/>
      <c r="GW162" s="9"/>
      <c r="GX162" s="9"/>
      <c r="GY162" s="10"/>
      <c r="GZ162" s="9"/>
      <c r="HA162" s="9"/>
    </row>
    <row r="163" spans="1:209" s="2" customFormat="1" ht="17" customHeight="1">
      <c r="A163" s="14" t="s">
        <v>161</v>
      </c>
      <c r="B163" s="35">
        <v>0</v>
      </c>
      <c r="C163" s="35">
        <v>0</v>
      </c>
      <c r="D163" s="4">
        <f t="shared" si="42"/>
        <v>0</v>
      </c>
      <c r="E163" s="11">
        <v>0</v>
      </c>
      <c r="F163" s="5" t="s">
        <v>362</v>
      </c>
      <c r="G163" s="5" t="s">
        <v>362</v>
      </c>
      <c r="H163" s="5" t="s">
        <v>362</v>
      </c>
      <c r="I163" s="5" t="s">
        <v>362</v>
      </c>
      <c r="J163" s="5" t="s">
        <v>362</v>
      </c>
      <c r="K163" s="5" t="s">
        <v>362</v>
      </c>
      <c r="L163" s="5" t="s">
        <v>362</v>
      </c>
      <c r="M163" s="5" t="s">
        <v>362</v>
      </c>
      <c r="N163" s="35">
        <v>217</v>
      </c>
      <c r="O163" s="35">
        <v>427.2</v>
      </c>
      <c r="P163" s="4">
        <f t="shared" si="43"/>
        <v>1.2768663594470047</v>
      </c>
      <c r="Q163" s="11">
        <v>20</v>
      </c>
      <c r="R163" s="35">
        <v>0</v>
      </c>
      <c r="S163" s="35">
        <v>0</v>
      </c>
      <c r="T163" s="4">
        <f t="shared" si="44"/>
        <v>1</v>
      </c>
      <c r="U163" s="11">
        <v>25</v>
      </c>
      <c r="V163" s="35">
        <v>2</v>
      </c>
      <c r="W163" s="35">
        <v>2</v>
      </c>
      <c r="X163" s="4">
        <f t="shared" si="45"/>
        <v>1</v>
      </c>
      <c r="Y163" s="11">
        <v>25</v>
      </c>
      <c r="Z163" s="35">
        <v>5240</v>
      </c>
      <c r="AA163" s="35">
        <v>4445</v>
      </c>
      <c r="AB163" s="4">
        <f t="shared" si="46"/>
        <v>0.84828244274809161</v>
      </c>
      <c r="AC163" s="11">
        <v>5</v>
      </c>
      <c r="AD163" s="11">
        <v>145</v>
      </c>
      <c r="AE163" s="11">
        <v>147</v>
      </c>
      <c r="AF163" s="4">
        <f t="shared" si="47"/>
        <v>1.0137931034482759</v>
      </c>
      <c r="AG163" s="11">
        <v>20</v>
      </c>
      <c r="AH163" s="5" t="s">
        <v>362</v>
      </c>
      <c r="AI163" s="5" t="s">
        <v>362</v>
      </c>
      <c r="AJ163" s="5" t="s">
        <v>362</v>
      </c>
      <c r="AK163" s="5" t="s">
        <v>362</v>
      </c>
      <c r="AL163" s="5" t="s">
        <v>362</v>
      </c>
      <c r="AM163" s="5" t="s">
        <v>362</v>
      </c>
      <c r="AN163" s="5" t="s">
        <v>362</v>
      </c>
      <c r="AO163" s="5" t="s">
        <v>362</v>
      </c>
      <c r="AP163" s="44">
        <f t="shared" si="56"/>
        <v>1.0532063312804849</v>
      </c>
      <c r="AQ163" s="45">
        <v>1514</v>
      </c>
      <c r="AR163" s="35">
        <f t="shared" si="48"/>
        <v>412.90909090909088</v>
      </c>
      <c r="AS163" s="35">
        <f t="shared" si="49"/>
        <v>434.9</v>
      </c>
      <c r="AT163" s="35">
        <f t="shared" si="50"/>
        <v>21.990909090909099</v>
      </c>
      <c r="AU163" s="35">
        <v>120.7</v>
      </c>
      <c r="AV163" s="35">
        <v>119.9</v>
      </c>
      <c r="AW163" s="35">
        <f t="shared" si="51"/>
        <v>194.3</v>
      </c>
      <c r="AX163" s="35"/>
      <c r="AY163" s="35">
        <f t="shared" si="52"/>
        <v>194.3</v>
      </c>
      <c r="AZ163" s="35">
        <v>0</v>
      </c>
      <c r="BA163" s="35">
        <f t="shared" si="53"/>
        <v>194.3</v>
      </c>
      <c r="BB163" s="35"/>
      <c r="BC163" s="35">
        <f t="shared" si="54"/>
        <v>194.3</v>
      </c>
      <c r="BD163" s="35">
        <v>199</v>
      </c>
      <c r="BE163" s="35">
        <f t="shared" si="55"/>
        <v>-4.7</v>
      </c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9"/>
      <c r="BU163" s="9"/>
      <c r="BV163" s="9"/>
      <c r="BW163" s="9"/>
      <c r="BX163" s="9"/>
      <c r="BY163" s="9"/>
      <c r="BZ163" s="9"/>
      <c r="CA163" s="9"/>
      <c r="CB163" s="9"/>
      <c r="CC163" s="9"/>
      <c r="CD163" s="9"/>
      <c r="CE163" s="9"/>
      <c r="CF163" s="9"/>
      <c r="CG163" s="9"/>
      <c r="CH163" s="9"/>
      <c r="CI163" s="9"/>
      <c r="CJ163" s="9"/>
      <c r="CK163" s="9"/>
      <c r="CL163" s="9"/>
      <c r="CM163" s="9"/>
      <c r="CN163" s="9"/>
      <c r="CO163" s="9"/>
      <c r="CP163" s="9"/>
      <c r="CQ163" s="10"/>
      <c r="CR163" s="9"/>
      <c r="CS163" s="9"/>
      <c r="CT163" s="9"/>
      <c r="CU163" s="9"/>
      <c r="CV163" s="9"/>
      <c r="CW163" s="9"/>
      <c r="CX163" s="9"/>
      <c r="CY163" s="9"/>
      <c r="CZ163" s="9"/>
      <c r="DA163" s="9"/>
      <c r="DB163" s="9"/>
      <c r="DC163" s="9"/>
      <c r="DD163" s="9"/>
      <c r="DE163" s="9"/>
      <c r="DF163" s="9"/>
      <c r="DG163" s="9"/>
      <c r="DH163" s="9"/>
      <c r="DI163" s="9"/>
      <c r="DJ163" s="9"/>
      <c r="DK163" s="9"/>
      <c r="DL163" s="9"/>
      <c r="DM163" s="9"/>
      <c r="DN163" s="9"/>
      <c r="DO163" s="9"/>
      <c r="DP163" s="9"/>
      <c r="DQ163" s="9"/>
      <c r="DR163" s="9"/>
      <c r="DS163" s="10"/>
      <c r="DT163" s="9"/>
      <c r="DU163" s="9"/>
      <c r="DV163" s="9"/>
      <c r="DW163" s="9"/>
      <c r="DX163" s="9"/>
      <c r="DY163" s="9"/>
      <c r="DZ163" s="9"/>
      <c r="EA163" s="9"/>
      <c r="EB163" s="9"/>
      <c r="EC163" s="9"/>
      <c r="ED163" s="9"/>
      <c r="EE163" s="9"/>
      <c r="EF163" s="9"/>
      <c r="EG163" s="9"/>
      <c r="EH163" s="9"/>
      <c r="EI163" s="9"/>
      <c r="EJ163" s="9"/>
      <c r="EK163" s="9"/>
      <c r="EL163" s="9"/>
      <c r="EM163" s="9"/>
      <c r="EN163" s="9"/>
      <c r="EO163" s="9"/>
      <c r="EP163" s="9"/>
      <c r="EQ163" s="9"/>
      <c r="ER163" s="9"/>
      <c r="ES163" s="9"/>
      <c r="ET163" s="9"/>
      <c r="EU163" s="10"/>
      <c r="EV163" s="9"/>
      <c r="EW163" s="9"/>
      <c r="EX163" s="9"/>
      <c r="EY163" s="9"/>
      <c r="EZ163" s="9"/>
      <c r="FA163" s="9"/>
      <c r="FB163" s="9"/>
      <c r="FC163" s="9"/>
      <c r="FD163" s="9"/>
      <c r="FE163" s="9"/>
      <c r="FF163" s="9"/>
      <c r="FG163" s="9"/>
      <c r="FH163" s="9"/>
      <c r="FI163" s="9"/>
      <c r="FJ163" s="9"/>
      <c r="FK163" s="9"/>
      <c r="FL163" s="9"/>
      <c r="FM163" s="9"/>
      <c r="FN163" s="9"/>
      <c r="FO163" s="9"/>
      <c r="FP163" s="9"/>
      <c r="FQ163" s="9"/>
      <c r="FR163" s="9"/>
      <c r="FS163" s="9"/>
      <c r="FT163" s="9"/>
      <c r="FU163" s="9"/>
      <c r="FV163" s="9"/>
      <c r="FW163" s="10"/>
      <c r="FX163" s="9"/>
      <c r="FY163" s="9"/>
      <c r="FZ163" s="9"/>
      <c r="GA163" s="9"/>
      <c r="GB163" s="9"/>
      <c r="GC163" s="9"/>
      <c r="GD163" s="9"/>
      <c r="GE163" s="9"/>
      <c r="GF163" s="9"/>
      <c r="GG163" s="9"/>
      <c r="GH163" s="9"/>
      <c r="GI163" s="9"/>
      <c r="GJ163" s="9"/>
      <c r="GK163" s="9"/>
      <c r="GL163" s="9"/>
      <c r="GM163" s="9"/>
      <c r="GN163" s="9"/>
      <c r="GO163" s="9"/>
      <c r="GP163" s="9"/>
      <c r="GQ163" s="9"/>
      <c r="GR163" s="9"/>
      <c r="GS163" s="9"/>
      <c r="GT163" s="9"/>
      <c r="GU163" s="9"/>
      <c r="GV163" s="9"/>
      <c r="GW163" s="9"/>
      <c r="GX163" s="9"/>
      <c r="GY163" s="10"/>
      <c r="GZ163" s="9"/>
      <c r="HA163" s="9"/>
    </row>
    <row r="164" spans="1:209" s="2" customFormat="1" ht="17" customHeight="1">
      <c r="A164" s="14" t="s">
        <v>162</v>
      </c>
      <c r="B164" s="35">
        <v>20800</v>
      </c>
      <c r="C164" s="35">
        <v>21226.1</v>
      </c>
      <c r="D164" s="4">
        <f t="shared" si="42"/>
        <v>1.020485576923077</v>
      </c>
      <c r="E164" s="11">
        <v>10</v>
      </c>
      <c r="F164" s="5" t="s">
        <v>362</v>
      </c>
      <c r="G164" s="5" t="s">
        <v>362</v>
      </c>
      <c r="H164" s="5" t="s">
        <v>362</v>
      </c>
      <c r="I164" s="5" t="s">
        <v>362</v>
      </c>
      <c r="J164" s="5" t="s">
        <v>362</v>
      </c>
      <c r="K164" s="5" t="s">
        <v>362</v>
      </c>
      <c r="L164" s="5" t="s">
        <v>362</v>
      </c>
      <c r="M164" s="5" t="s">
        <v>362</v>
      </c>
      <c r="N164" s="35">
        <v>2140.5</v>
      </c>
      <c r="O164" s="35">
        <v>2557.3000000000002</v>
      </c>
      <c r="P164" s="4">
        <f t="shared" si="43"/>
        <v>1.1947208596122403</v>
      </c>
      <c r="Q164" s="11">
        <v>20</v>
      </c>
      <c r="R164" s="35">
        <v>0</v>
      </c>
      <c r="S164" s="35">
        <v>0.8</v>
      </c>
      <c r="T164" s="4">
        <f t="shared" si="44"/>
        <v>1</v>
      </c>
      <c r="U164" s="11">
        <v>35</v>
      </c>
      <c r="V164" s="35">
        <v>0</v>
      </c>
      <c r="W164" s="35">
        <v>0</v>
      </c>
      <c r="X164" s="4">
        <f t="shared" si="45"/>
        <v>1</v>
      </c>
      <c r="Y164" s="11">
        <v>15</v>
      </c>
      <c r="Z164" s="35">
        <v>43470</v>
      </c>
      <c r="AA164" s="35">
        <v>64093</v>
      </c>
      <c r="AB164" s="4">
        <f t="shared" si="46"/>
        <v>1.227441913963653</v>
      </c>
      <c r="AC164" s="11">
        <v>5</v>
      </c>
      <c r="AD164" s="11">
        <v>140</v>
      </c>
      <c r="AE164" s="11">
        <v>140</v>
      </c>
      <c r="AF164" s="4">
        <f t="shared" si="47"/>
        <v>1</v>
      </c>
      <c r="AG164" s="11">
        <v>20</v>
      </c>
      <c r="AH164" s="5" t="s">
        <v>362</v>
      </c>
      <c r="AI164" s="5" t="s">
        <v>362</v>
      </c>
      <c r="AJ164" s="5" t="s">
        <v>362</v>
      </c>
      <c r="AK164" s="5" t="s">
        <v>362</v>
      </c>
      <c r="AL164" s="5" t="s">
        <v>362</v>
      </c>
      <c r="AM164" s="5" t="s">
        <v>362</v>
      </c>
      <c r="AN164" s="5" t="s">
        <v>362</v>
      </c>
      <c r="AO164" s="5" t="s">
        <v>362</v>
      </c>
      <c r="AP164" s="44">
        <f t="shared" si="56"/>
        <v>1.0498712622027986</v>
      </c>
      <c r="AQ164" s="45">
        <v>2525</v>
      </c>
      <c r="AR164" s="35">
        <f t="shared" si="48"/>
        <v>688.63636363636363</v>
      </c>
      <c r="AS164" s="35">
        <f t="shared" si="49"/>
        <v>723</v>
      </c>
      <c r="AT164" s="35">
        <f t="shared" si="50"/>
        <v>34.363636363636374</v>
      </c>
      <c r="AU164" s="35">
        <v>229.6</v>
      </c>
      <c r="AV164" s="35">
        <v>245</v>
      </c>
      <c r="AW164" s="35">
        <f t="shared" si="51"/>
        <v>248.4</v>
      </c>
      <c r="AX164" s="35"/>
      <c r="AY164" s="35">
        <f t="shared" si="52"/>
        <v>248.4</v>
      </c>
      <c r="AZ164" s="35">
        <v>0</v>
      </c>
      <c r="BA164" s="35">
        <f t="shared" si="53"/>
        <v>248.4</v>
      </c>
      <c r="BB164" s="35"/>
      <c r="BC164" s="35">
        <f t="shared" si="54"/>
        <v>248.4</v>
      </c>
      <c r="BD164" s="35">
        <v>242.3</v>
      </c>
      <c r="BE164" s="35">
        <f t="shared" si="55"/>
        <v>6.1</v>
      </c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9"/>
      <c r="BU164" s="9"/>
      <c r="BV164" s="9"/>
      <c r="BW164" s="9"/>
      <c r="BX164" s="9"/>
      <c r="BY164" s="9"/>
      <c r="BZ164" s="9"/>
      <c r="CA164" s="9"/>
      <c r="CB164" s="9"/>
      <c r="CC164" s="9"/>
      <c r="CD164" s="9"/>
      <c r="CE164" s="9"/>
      <c r="CF164" s="9"/>
      <c r="CG164" s="9"/>
      <c r="CH164" s="9"/>
      <c r="CI164" s="9"/>
      <c r="CJ164" s="9"/>
      <c r="CK164" s="9"/>
      <c r="CL164" s="9"/>
      <c r="CM164" s="9"/>
      <c r="CN164" s="9"/>
      <c r="CO164" s="9"/>
      <c r="CP164" s="9"/>
      <c r="CQ164" s="10"/>
      <c r="CR164" s="9"/>
      <c r="CS164" s="9"/>
      <c r="CT164" s="9"/>
      <c r="CU164" s="9"/>
      <c r="CV164" s="9"/>
      <c r="CW164" s="9"/>
      <c r="CX164" s="9"/>
      <c r="CY164" s="9"/>
      <c r="CZ164" s="9"/>
      <c r="DA164" s="9"/>
      <c r="DB164" s="9"/>
      <c r="DC164" s="9"/>
      <c r="DD164" s="9"/>
      <c r="DE164" s="9"/>
      <c r="DF164" s="9"/>
      <c r="DG164" s="9"/>
      <c r="DH164" s="9"/>
      <c r="DI164" s="9"/>
      <c r="DJ164" s="9"/>
      <c r="DK164" s="9"/>
      <c r="DL164" s="9"/>
      <c r="DM164" s="9"/>
      <c r="DN164" s="9"/>
      <c r="DO164" s="9"/>
      <c r="DP164" s="9"/>
      <c r="DQ164" s="9"/>
      <c r="DR164" s="9"/>
      <c r="DS164" s="10"/>
      <c r="DT164" s="9"/>
      <c r="DU164" s="9"/>
      <c r="DV164" s="9"/>
      <c r="DW164" s="9"/>
      <c r="DX164" s="9"/>
      <c r="DY164" s="9"/>
      <c r="DZ164" s="9"/>
      <c r="EA164" s="9"/>
      <c r="EB164" s="9"/>
      <c r="EC164" s="9"/>
      <c r="ED164" s="9"/>
      <c r="EE164" s="9"/>
      <c r="EF164" s="9"/>
      <c r="EG164" s="9"/>
      <c r="EH164" s="9"/>
      <c r="EI164" s="9"/>
      <c r="EJ164" s="9"/>
      <c r="EK164" s="9"/>
      <c r="EL164" s="9"/>
      <c r="EM164" s="9"/>
      <c r="EN164" s="9"/>
      <c r="EO164" s="9"/>
      <c r="EP164" s="9"/>
      <c r="EQ164" s="9"/>
      <c r="ER164" s="9"/>
      <c r="ES164" s="9"/>
      <c r="ET164" s="9"/>
      <c r="EU164" s="10"/>
      <c r="EV164" s="9"/>
      <c r="EW164" s="9"/>
      <c r="EX164" s="9"/>
      <c r="EY164" s="9"/>
      <c r="EZ164" s="9"/>
      <c r="FA164" s="9"/>
      <c r="FB164" s="9"/>
      <c r="FC164" s="9"/>
      <c r="FD164" s="9"/>
      <c r="FE164" s="9"/>
      <c r="FF164" s="9"/>
      <c r="FG164" s="9"/>
      <c r="FH164" s="9"/>
      <c r="FI164" s="9"/>
      <c r="FJ164" s="9"/>
      <c r="FK164" s="9"/>
      <c r="FL164" s="9"/>
      <c r="FM164" s="9"/>
      <c r="FN164" s="9"/>
      <c r="FO164" s="9"/>
      <c r="FP164" s="9"/>
      <c r="FQ164" s="9"/>
      <c r="FR164" s="9"/>
      <c r="FS164" s="9"/>
      <c r="FT164" s="9"/>
      <c r="FU164" s="9"/>
      <c r="FV164" s="9"/>
      <c r="FW164" s="10"/>
      <c r="FX164" s="9"/>
      <c r="FY164" s="9"/>
      <c r="FZ164" s="9"/>
      <c r="GA164" s="9"/>
      <c r="GB164" s="9"/>
      <c r="GC164" s="9"/>
      <c r="GD164" s="9"/>
      <c r="GE164" s="9"/>
      <c r="GF164" s="9"/>
      <c r="GG164" s="9"/>
      <c r="GH164" s="9"/>
      <c r="GI164" s="9"/>
      <c r="GJ164" s="9"/>
      <c r="GK164" s="9"/>
      <c r="GL164" s="9"/>
      <c r="GM164" s="9"/>
      <c r="GN164" s="9"/>
      <c r="GO164" s="9"/>
      <c r="GP164" s="9"/>
      <c r="GQ164" s="9"/>
      <c r="GR164" s="9"/>
      <c r="GS164" s="9"/>
      <c r="GT164" s="9"/>
      <c r="GU164" s="9"/>
      <c r="GV164" s="9"/>
      <c r="GW164" s="9"/>
      <c r="GX164" s="9"/>
      <c r="GY164" s="10"/>
      <c r="GZ164" s="9"/>
      <c r="HA164" s="9"/>
    </row>
    <row r="165" spans="1:209" s="2" customFormat="1" ht="17" customHeight="1">
      <c r="A165" s="14" t="s">
        <v>163</v>
      </c>
      <c r="B165" s="35">
        <v>0</v>
      </c>
      <c r="C165" s="35">
        <v>0</v>
      </c>
      <c r="D165" s="4">
        <f t="shared" si="42"/>
        <v>0</v>
      </c>
      <c r="E165" s="11">
        <v>0</v>
      </c>
      <c r="F165" s="5" t="s">
        <v>362</v>
      </c>
      <c r="G165" s="5" t="s">
        <v>362</v>
      </c>
      <c r="H165" s="5" t="s">
        <v>362</v>
      </c>
      <c r="I165" s="5" t="s">
        <v>362</v>
      </c>
      <c r="J165" s="5" t="s">
        <v>362</v>
      </c>
      <c r="K165" s="5" t="s">
        <v>362</v>
      </c>
      <c r="L165" s="5" t="s">
        <v>362</v>
      </c>
      <c r="M165" s="5" t="s">
        <v>362</v>
      </c>
      <c r="N165" s="35">
        <v>285.2</v>
      </c>
      <c r="O165" s="35">
        <v>584.6</v>
      </c>
      <c r="P165" s="4">
        <f t="shared" si="43"/>
        <v>1.2849789621318373</v>
      </c>
      <c r="Q165" s="11">
        <v>20</v>
      </c>
      <c r="R165" s="35">
        <v>0</v>
      </c>
      <c r="S165" s="35">
        <v>0</v>
      </c>
      <c r="T165" s="4">
        <f t="shared" si="44"/>
        <v>1</v>
      </c>
      <c r="U165" s="11">
        <v>15</v>
      </c>
      <c r="V165" s="35">
        <v>0</v>
      </c>
      <c r="W165" s="35">
        <v>0</v>
      </c>
      <c r="X165" s="4">
        <f t="shared" si="45"/>
        <v>1</v>
      </c>
      <c r="Y165" s="11">
        <v>35</v>
      </c>
      <c r="Z165" s="35">
        <v>8720</v>
      </c>
      <c r="AA165" s="35">
        <v>10410</v>
      </c>
      <c r="AB165" s="4">
        <f t="shared" si="46"/>
        <v>1.1938073394495412</v>
      </c>
      <c r="AC165" s="11">
        <v>5</v>
      </c>
      <c r="AD165" s="11">
        <v>180</v>
      </c>
      <c r="AE165" s="11">
        <v>181</v>
      </c>
      <c r="AF165" s="4">
        <f t="shared" si="47"/>
        <v>1.0055555555555555</v>
      </c>
      <c r="AG165" s="11">
        <v>20</v>
      </c>
      <c r="AH165" s="5" t="s">
        <v>362</v>
      </c>
      <c r="AI165" s="5" t="s">
        <v>362</v>
      </c>
      <c r="AJ165" s="5" t="s">
        <v>362</v>
      </c>
      <c r="AK165" s="5" t="s">
        <v>362</v>
      </c>
      <c r="AL165" s="5" t="s">
        <v>362</v>
      </c>
      <c r="AM165" s="5" t="s">
        <v>362</v>
      </c>
      <c r="AN165" s="5" t="s">
        <v>362</v>
      </c>
      <c r="AO165" s="5" t="s">
        <v>362</v>
      </c>
      <c r="AP165" s="44">
        <f t="shared" si="56"/>
        <v>1.0713655479052164</v>
      </c>
      <c r="AQ165" s="45">
        <v>1092</v>
      </c>
      <c r="AR165" s="35">
        <f t="shared" si="48"/>
        <v>297.81818181818181</v>
      </c>
      <c r="AS165" s="35">
        <f t="shared" si="49"/>
        <v>319.10000000000002</v>
      </c>
      <c r="AT165" s="35">
        <f t="shared" si="50"/>
        <v>21.28181818181821</v>
      </c>
      <c r="AU165" s="35">
        <v>107.8</v>
      </c>
      <c r="AV165" s="35">
        <v>107.8</v>
      </c>
      <c r="AW165" s="35">
        <f t="shared" si="51"/>
        <v>103.5</v>
      </c>
      <c r="AX165" s="35"/>
      <c r="AY165" s="35">
        <f t="shared" si="52"/>
        <v>103.5</v>
      </c>
      <c r="AZ165" s="35">
        <v>0</v>
      </c>
      <c r="BA165" s="35">
        <f t="shared" si="53"/>
        <v>103.5</v>
      </c>
      <c r="BB165" s="35">
        <f>MIN(BA165,6)</f>
        <v>6</v>
      </c>
      <c r="BC165" s="35">
        <f t="shared" si="54"/>
        <v>97.5</v>
      </c>
      <c r="BD165" s="35">
        <v>95.4</v>
      </c>
      <c r="BE165" s="35">
        <f t="shared" si="55"/>
        <v>2.1</v>
      </c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9"/>
      <c r="BU165" s="9"/>
      <c r="BV165" s="9"/>
      <c r="BW165" s="9"/>
      <c r="BX165" s="9"/>
      <c r="BY165" s="9"/>
      <c r="BZ165" s="9"/>
      <c r="CA165" s="9"/>
      <c r="CB165" s="9"/>
      <c r="CC165" s="9"/>
      <c r="CD165" s="9"/>
      <c r="CE165" s="9"/>
      <c r="CF165" s="9"/>
      <c r="CG165" s="9"/>
      <c r="CH165" s="9"/>
      <c r="CI165" s="9"/>
      <c r="CJ165" s="9"/>
      <c r="CK165" s="9"/>
      <c r="CL165" s="9"/>
      <c r="CM165" s="9"/>
      <c r="CN165" s="9"/>
      <c r="CO165" s="9"/>
      <c r="CP165" s="9"/>
      <c r="CQ165" s="10"/>
      <c r="CR165" s="9"/>
      <c r="CS165" s="9"/>
      <c r="CT165" s="9"/>
      <c r="CU165" s="9"/>
      <c r="CV165" s="9"/>
      <c r="CW165" s="9"/>
      <c r="CX165" s="9"/>
      <c r="CY165" s="9"/>
      <c r="CZ165" s="9"/>
      <c r="DA165" s="9"/>
      <c r="DB165" s="9"/>
      <c r="DC165" s="9"/>
      <c r="DD165" s="9"/>
      <c r="DE165" s="9"/>
      <c r="DF165" s="9"/>
      <c r="DG165" s="9"/>
      <c r="DH165" s="9"/>
      <c r="DI165" s="9"/>
      <c r="DJ165" s="9"/>
      <c r="DK165" s="9"/>
      <c r="DL165" s="9"/>
      <c r="DM165" s="9"/>
      <c r="DN165" s="9"/>
      <c r="DO165" s="9"/>
      <c r="DP165" s="9"/>
      <c r="DQ165" s="9"/>
      <c r="DR165" s="9"/>
      <c r="DS165" s="10"/>
      <c r="DT165" s="9"/>
      <c r="DU165" s="9"/>
      <c r="DV165" s="9"/>
      <c r="DW165" s="9"/>
      <c r="DX165" s="9"/>
      <c r="DY165" s="9"/>
      <c r="DZ165" s="9"/>
      <c r="EA165" s="9"/>
      <c r="EB165" s="9"/>
      <c r="EC165" s="9"/>
      <c r="ED165" s="9"/>
      <c r="EE165" s="9"/>
      <c r="EF165" s="9"/>
      <c r="EG165" s="9"/>
      <c r="EH165" s="9"/>
      <c r="EI165" s="9"/>
      <c r="EJ165" s="9"/>
      <c r="EK165" s="9"/>
      <c r="EL165" s="9"/>
      <c r="EM165" s="9"/>
      <c r="EN165" s="9"/>
      <c r="EO165" s="9"/>
      <c r="EP165" s="9"/>
      <c r="EQ165" s="9"/>
      <c r="ER165" s="9"/>
      <c r="ES165" s="9"/>
      <c r="ET165" s="9"/>
      <c r="EU165" s="10"/>
      <c r="EV165" s="9"/>
      <c r="EW165" s="9"/>
      <c r="EX165" s="9"/>
      <c r="EY165" s="9"/>
      <c r="EZ165" s="9"/>
      <c r="FA165" s="9"/>
      <c r="FB165" s="9"/>
      <c r="FC165" s="9"/>
      <c r="FD165" s="9"/>
      <c r="FE165" s="9"/>
      <c r="FF165" s="9"/>
      <c r="FG165" s="9"/>
      <c r="FH165" s="9"/>
      <c r="FI165" s="9"/>
      <c r="FJ165" s="9"/>
      <c r="FK165" s="9"/>
      <c r="FL165" s="9"/>
      <c r="FM165" s="9"/>
      <c r="FN165" s="9"/>
      <c r="FO165" s="9"/>
      <c r="FP165" s="9"/>
      <c r="FQ165" s="9"/>
      <c r="FR165" s="9"/>
      <c r="FS165" s="9"/>
      <c r="FT165" s="9"/>
      <c r="FU165" s="9"/>
      <c r="FV165" s="9"/>
      <c r="FW165" s="10"/>
      <c r="FX165" s="9"/>
      <c r="FY165" s="9"/>
      <c r="FZ165" s="9"/>
      <c r="GA165" s="9"/>
      <c r="GB165" s="9"/>
      <c r="GC165" s="9"/>
      <c r="GD165" s="9"/>
      <c r="GE165" s="9"/>
      <c r="GF165" s="9"/>
      <c r="GG165" s="9"/>
      <c r="GH165" s="9"/>
      <c r="GI165" s="9"/>
      <c r="GJ165" s="9"/>
      <c r="GK165" s="9"/>
      <c r="GL165" s="9"/>
      <c r="GM165" s="9"/>
      <c r="GN165" s="9"/>
      <c r="GO165" s="9"/>
      <c r="GP165" s="9"/>
      <c r="GQ165" s="9"/>
      <c r="GR165" s="9"/>
      <c r="GS165" s="9"/>
      <c r="GT165" s="9"/>
      <c r="GU165" s="9"/>
      <c r="GV165" s="9"/>
      <c r="GW165" s="9"/>
      <c r="GX165" s="9"/>
      <c r="GY165" s="10"/>
      <c r="GZ165" s="9"/>
      <c r="HA165" s="9"/>
    </row>
    <row r="166" spans="1:209" s="2" customFormat="1" ht="17" customHeight="1">
      <c r="A166" s="14" t="s">
        <v>164</v>
      </c>
      <c r="B166" s="35">
        <v>0</v>
      </c>
      <c r="C166" s="35">
        <v>0</v>
      </c>
      <c r="D166" s="4">
        <f t="shared" si="42"/>
        <v>0</v>
      </c>
      <c r="E166" s="11">
        <v>0</v>
      </c>
      <c r="F166" s="5" t="s">
        <v>362</v>
      </c>
      <c r="G166" s="5" t="s">
        <v>362</v>
      </c>
      <c r="H166" s="5" t="s">
        <v>362</v>
      </c>
      <c r="I166" s="5" t="s">
        <v>362</v>
      </c>
      <c r="J166" s="5" t="s">
        <v>362</v>
      </c>
      <c r="K166" s="5" t="s">
        <v>362</v>
      </c>
      <c r="L166" s="5" t="s">
        <v>362</v>
      </c>
      <c r="M166" s="5" t="s">
        <v>362</v>
      </c>
      <c r="N166" s="35">
        <v>234.7</v>
      </c>
      <c r="O166" s="35">
        <v>392.5</v>
      </c>
      <c r="P166" s="4">
        <f t="shared" si="43"/>
        <v>1.2472347677886664</v>
      </c>
      <c r="Q166" s="11">
        <v>20</v>
      </c>
      <c r="R166" s="35">
        <v>0</v>
      </c>
      <c r="S166" s="35">
        <v>0</v>
      </c>
      <c r="T166" s="4">
        <f t="shared" si="44"/>
        <v>1</v>
      </c>
      <c r="U166" s="11">
        <v>35</v>
      </c>
      <c r="V166" s="35">
        <v>0</v>
      </c>
      <c r="W166" s="35">
        <v>1.4</v>
      </c>
      <c r="X166" s="4">
        <f t="shared" si="45"/>
        <v>1</v>
      </c>
      <c r="Y166" s="11">
        <v>15</v>
      </c>
      <c r="Z166" s="35">
        <v>2730</v>
      </c>
      <c r="AA166" s="35">
        <v>2281</v>
      </c>
      <c r="AB166" s="4">
        <f t="shared" si="46"/>
        <v>0.83553113553113556</v>
      </c>
      <c r="AC166" s="11">
        <v>5</v>
      </c>
      <c r="AD166" s="11">
        <v>95</v>
      </c>
      <c r="AE166" s="11">
        <v>95</v>
      </c>
      <c r="AF166" s="4">
        <f t="shared" si="47"/>
        <v>1</v>
      </c>
      <c r="AG166" s="11">
        <v>20</v>
      </c>
      <c r="AH166" s="5" t="s">
        <v>362</v>
      </c>
      <c r="AI166" s="5" t="s">
        <v>362</v>
      </c>
      <c r="AJ166" s="5" t="s">
        <v>362</v>
      </c>
      <c r="AK166" s="5" t="s">
        <v>362</v>
      </c>
      <c r="AL166" s="5" t="s">
        <v>362</v>
      </c>
      <c r="AM166" s="5" t="s">
        <v>362</v>
      </c>
      <c r="AN166" s="5" t="s">
        <v>362</v>
      </c>
      <c r="AO166" s="5" t="s">
        <v>362</v>
      </c>
      <c r="AP166" s="44">
        <f t="shared" si="56"/>
        <v>1.0433931687729368</v>
      </c>
      <c r="AQ166" s="45">
        <v>1745</v>
      </c>
      <c r="AR166" s="35">
        <f t="shared" si="48"/>
        <v>475.90909090909088</v>
      </c>
      <c r="AS166" s="35">
        <f t="shared" si="49"/>
        <v>496.6</v>
      </c>
      <c r="AT166" s="35">
        <f t="shared" si="50"/>
        <v>20.690909090909145</v>
      </c>
      <c r="AU166" s="35">
        <v>144.6</v>
      </c>
      <c r="AV166" s="35">
        <v>163.9</v>
      </c>
      <c r="AW166" s="35">
        <f t="shared" si="51"/>
        <v>188.1</v>
      </c>
      <c r="AX166" s="35"/>
      <c r="AY166" s="35">
        <f t="shared" si="52"/>
        <v>188.1</v>
      </c>
      <c r="AZ166" s="35">
        <v>0</v>
      </c>
      <c r="BA166" s="35">
        <f t="shared" si="53"/>
        <v>188.1</v>
      </c>
      <c r="BB166" s="35"/>
      <c r="BC166" s="35">
        <f t="shared" si="54"/>
        <v>188.1</v>
      </c>
      <c r="BD166" s="35">
        <v>193.6</v>
      </c>
      <c r="BE166" s="35">
        <f t="shared" si="55"/>
        <v>-5.5</v>
      </c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9"/>
      <c r="BU166" s="9"/>
      <c r="BV166" s="9"/>
      <c r="BW166" s="9"/>
      <c r="BX166" s="9"/>
      <c r="BY166" s="9"/>
      <c r="BZ166" s="9"/>
      <c r="CA166" s="9"/>
      <c r="CB166" s="9"/>
      <c r="CC166" s="9"/>
      <c r="CD166" s="9"/>
      <c r="CE166" s="9"/>
      <c r="CF166" s="9"/>
      <c r="CG166" s="9"/>
      <c r="CH166" s="9"/>
      <c r="CI166" s="9"/>
      <c r="CJ166" s="9"/>
      <c r="CK166" s="9"/>
      <c r="CL166" s="9"/>
      <c r="CM166" s="9"/>
      <c r="CN166" s="9"/>
      <c r="CO166" s="9"/>
      <c r="CP166" s="9"/>
      <c r="CQ166" s="10"/>
      <c r="CR166" s="9"/>
      <c r="CS166" s="9"/>
      <c r="CT166" s="9"/>
      <c r="CU166" s="9"/>
      <c r="CV166" s="9"/>
      <c r="CW166" s="9"/>
      <c r="CX166" s="9"/>
      <c r="CY166" s="9"/>
      <c r="CZ166" s="9"/>
      <c r="DA166" s="9"/>
      <c r="DB166" s="9"/>
      <c r="DC166" s="9"/>
      <c r="DD166" s="9"/>
      <c r="DE166" s="9"/>
      <c r="DF166" s="9"/>
      <c r="DG166" s="9"/>
      <c r="DH166" s="9"/>
      <c r="DI166" s="9"/>
      <c r="DJ166" s="9"/>
      <c r="DK166" s="9"/>
      <c r="DL166" s="9"/>
      <c r="DM166" s="9"/>
      <c r="DN166" s="9"/>
      <c r="DO166" s="9"/>
      <c r="DP166" s="9"/>
      <c r="DQ166" s="9"/>
      <c r="DR166" s="9"/>
      <c r="DS166" s="10"/>
      <c r="DT166" s="9"/>
      <c r="DU166" s="9"/>
      <c r="DV166" s="9"/>
      <c r="DW166" s="9"/>
      <c r="DX166" s="9"/>
      <c r="DY166" s="9"/>
      <c r="DZ166" s="9"/>
      <c r="EA166" s="9"/>
      <c r="EB166" s="9"/>
      <c r="EC166" s="9"/>
      <c r="ED166" s="9"/>
      <c r="EE166" s="9"/>
      <c r="EF166" s="9"/>
      <c r="EG166" s="9"/>
      <c r="EH166" s="9"/>
      <c r="EI166" s="9"/>
      <c r="EJ166" s="9"/>
      <c r="EK166" s="9"/>
      <c r="EL166" s="9"/>
      <c r="EM166" s="9"/>
      <c r="EN166" s="9"/>
      <c r="EO166" s="9"/>
      <c r="EP166" s="9"/>
      <c r="EQ166" s="9"/>
      <c r="ER166" s="9"/>
      <c r="ES166" s="9"/>
      <c r="ET166" s="9"/>
      <c r="EU166" s="10"/>
      <c r="EV166" s="9"/>
      <c r="EW166" s="9"/>
      <c r="EX166" s="9"/>
      <c r="EY166" s="9"/>
      <c r="EZ166" s="9"/>
      <c r="FA166" s="9"/>
      <c r="FB166" s="9"/>
      <c r="FC166" s="9"/>
      <c r="FD166" s="9"/>
      <c r="FE166" s="9"/>
      <c r="FF166" s="9"/>
      <c r="FG166" s="9"/>
      <c r="FH166" s="9"/>
      <c r="FI166" s="9"/>
      <c r="FJ166" s="9"/>
      <c r="FK166" s="9"/>
      <c r="FL166" s="9"/>
      <c r="FM166" s="9"/>
      <c r="FN166" s="9"/>
      <c r="FO166" s="9"/>
      <c r="FP166" s="9"/>
      <c r="FQ166" s="9"/>
      <c r="FR166" s="9"/>
      <c r="FS166" s="9"/>
      <c r="FT166" s="9"/>
      <c r="FU166" s="9"/>
      <c r="FV166" s="9"/>
      <c r="FW166" s="10"/>
      <c r="FX166" s="9"/>
      <c r="FY166" s="9"/>
      <c r="FZ166" s="9"/>
      <c r="GA166" s="9"/>
      <c r="GB166" s="9"/>
      <c r="GC166" s="9"/>
      <c r="GD166" s="9"/>
      <c r="GE166" s="9"/>
      <c r="GF166" s="9"/>
      <c r="GG166" s="9"/>
      <c r="GH166" s="9"/>
      <c r="GI166" s="9"/>
      <c r="GJ166" s="9"/>
      <c r="GK166" s="9"/>
      <c r="GL166" s="9"/>
      <c r="GM166" s="9"/>
      <c r="GN166" s="9"/>
      <c r="GO166" s="9"/>
      <c r="GP166" s="9"/>
      <c r="GQ166" s="9"/>
      <c r="GR166" s="9"/>
      <c r="GS166" s="9"/>
      <c r="GT166" s="9"/>
      <c r="GU166" s="9"/>
      <c r="GV166" s="9"/>
      <c r="GW166" s="9"/>
      <c r="GX166" s="9"/>
      <c r="GY166" s="10"/>
      <c r="GZ166" s="9"/>
      <c r="HA166" s="9"/>
    </row>
    <row r="167" spans="1:209" s="2" customFormat="1" ht="17" customHeight="1">
      <c r="A167" s="14" t="s">
        <v>99</v>
      </c>
      <c r="B167" s="35">
        <v>31360</v>
      </c>
      <c r="C167" s="35">
        <v>31096.400000000001</v>
      </c>
      <c r="D167" s="4">
        <f t="shared" si="42"/>
        <v>0.99159438775510211</v>
      </c>
      <c r="E167" s="11">
        <v>10</v>
      </c>
      <c r="F167" s="5" t="s">
        <v>362</v>
      </c>
      <c r="G167" s="5" t="s">
        <v>362</v>
      </c>
      <c r="H167" s="5" t="s">
        <v>362</v>
      </c>
      <c r="I167" s="5" t="s">
        <v>362</v>
      </c>
      <c r="J167" s="5" t="s">
        <v>362</v>
      </c>
      <c r="K167" s="5" t="s">
        <v>362</v>
      </c>
      <c r="L167" s="5" t="s">
        <v>362</v>
      </c>
      <c r="M167" s="5" t="s">
        <v>362</v>
      </c>
      <c r="N167" s="35">
        <v>250.2</v>
      </c>
      <c r="O167" s="35">
        <v>714.2</v>
      </c>
      <c r="P167" s="4">
        <f t="shared" si="43"/>
        <v>1.3</v>
      </c>
      <c r="Q167" s="11">
        <v>20</v>
      </c>
      <c r="R167" s="35">
        <v>0</v>
      </c>
      <c r="S167" s="35">
        <v>1.3</v>
      </c>
      <c r="T167" s="4">
        <f t="shared" si="44"/>
        <v>1</v>
      </c>
      <c r="U167" s="11">
        <v>25</v>
      </c>
      <c r="V167" s="35">
        <v>0</v>
      </c>
      <c r="W167" s="35">
        <v>0.7</v>
      </c>
      <c r="X167" s="4">
        <f t="shared" si="45"/>
        <v>1</v>
      </c>
      <c r="Y167" s="11">
        <v>25</v>
      </c>
      <c r="Z167" s="35">
        <v>3020</v>
      </c>
      <c r="AA167" s="35">
        <v>2550</v>
      </c>
      <c r="AB167" s="4">
        <f t="shared" si="46"/>
        <v>0.8443708609271523</v>
      </c>
      <c r="AC167" s="11">
        <v>5</v>
      </c>
      <c r="AD167" s="11">
        <v>115</v>
      </c>
      <c r="AE167" s="11">
        <v>115</v>
      </c>
      <c r="AF167" s="4">
        <f t="shared" si="47"/>
        <v>1</v>
      </c>
      <c r="AG167" s="11">
        <v>20</v>
      </c>
      <c r="AH167" s="5" t="s">
        <v>362</v>
      </c>
      <c r="AI167" s="5" t="s">
        <v>362</v>
      </c>
      <c r="AJ167" s="5" t="s">
        <v>362</v>
      </c>
      <c r="AK167" s="5" t="s">
        <v>362</v>
      </c>
      <c r="AL167" s="5" t="s">
        <v>362</v>
      </c>
      <c r="AM167" s="5" t="s">
        <v>362</v>
      </c>
      <c r="AN167" s="5" t="s">
        <v>362</v>
      </c>
      <c r="AO167" s="5" t="s">
        <v>362</v>
      </c>
      <c r="AP167" s="44">
        <f t="shared" si="56"/>
        <v>1.0489314112589219</v>
      </c>
      <c r="AQ167" s="45">
        <v>1630</v>
      </c>
      <c r="AR167" s="35">
        <f t="shared" si="48"/>
        <v>444.54545454545456</v>
      </c>
      <c r="AS167" s="35">
        <f t="shared" si="49"/>
        <v>466.3</v>
      </c>
      <c r="AT167" s="35">
        <f t="shared" si="50"/>
        <v>21.75454545454545</v>
      </c>
      <c r="AU167" s="35">
        <v>127.7</v>
      </c>
      <c r="AV167" s="35">
        <v>158.5</v>
      </c>
      <c r="AW167" s="35">
        <f t="shared" si="51"/>
        <v>180.1</v>
      </c>
      <c r="AX167" s="35"/>
      <c r="AY167" s="35">
        <f t="shared" si="52"/>
        <v>180.1</v>
      </c>
      <c r="AZ167" s="35">
        <v>0</v>
      </c>
      <c r="BA167" s="35">
        <f t="shared" si="53"/>
        <v>180.1</v>
      </c>
      <c r="BB167" s="35">
        <f>MIN(BA167,74.1)</f>
        <v>74.099999999999994</v>
      </c>
      <c r="BC167" s="35">
        <f t="shared" si="54"/>
        <v>106</v>
      </c>
      <c r="BD167" s="35">
        <v>110.5</v>
      </c>
      <c r="BE167" s="35">
        <f t="shared" si="55"/>
        <v>-4.5</v>
      </c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9"/>
      <c r="BU167" s="9"/>
      <c r="BV167" s="9"/>
      <c r="BW167" s="9"/>
      <c r="BX167" s="9"/>
      <c r="BY167" s="9"/>
      <c r="BZ167" s="9"/>
      <c r="CA167" s="9"/>
      <c r="CB167" s="9"/>
      <c r="CC167" s="9"/>
      <c r="CD167" s="9"/>
      <c r="CE167" s="9"/>
      <c r="CF167" s="9"/>
      <c r="CG167" s="9"/>
      <c r="CH167" s="9"/>
      <c r="CI167" s="9"/>
      <c r="CJ167" s="9"/>
      <c r="CK167" s="9"/>
      <c r="CL167" s="9"/>
      <c r="CM167" s="9"/>
      <c r="CN167" s="9"/>
      <c r="CO167" s="9"/>
      <c r="CP167" s="9"/>
      <c r="CQ167" s="10"/>
      <c r="CR167" s="9"/>
      <c r="CS167" s="9"/>
      <c r="CT167" s="9"/>
      <c r="CU167" s="9"/>
      <c r="CV167" s="9"/>
      <c r="CW167" s="9"/>
      <c r="CX167" s="9"/>
      <c r="CY167" s="9"/>
      <c r="CZ167" s="9"/>
      <c r="DA167" s="9"/>
      <c r="DB167" s="9"/>
      <c r="DC167" s="9"/>
      <c r="DD167" s="9"/>
      <c r="DE167" s="9"/>
      <c r="DF167" s="9"/>
      <c r="DG167" s="9"/>
      <c r="DH167" s="9"/>
      <c r="DI167" s="9"/>
      <c r="DJ167" s="9"/>
      <c r="DK167" s="9"/>
      <c r="DL167" s="9"/>
      <c r="DM167" s="9"/>
      <c r="DN167" s="9"/>
      <c r="DO167" s="9"/>
      <c r="DP167" s="9"/>
      <c r="DQ167" s="9"/>
      <c r="DR167" s="9"/>
      <c r="DS167" s="10"/>
      <c r="DT167" s="9"/>
      <c r="DU167" s="9"/>
      <c r="DV167" s="9"/>
      <c r="DW167" s="9"/>
      <c r="DX167" s="9"/>
      <c r="DY167" s="9"/>
      <c r="DZ167" s="9"/>
      <c r="EA167" s="9"/>
      <c r="EB167" s="9"/>
      <c r="EC167" s="9"/>
      <c r="ED167" s="9"/>
      <c r="EE167" s="9"/>
      <c r="EF167" s="9"/>
      <c r="EG167" s="9"/>
      <c r="EH167" s="9"/>
      <c r="EI167" s="9"/>
      <c r="EJ167" s="9"/>
      <c r="EK167" s="9"/>
      <c r="EL167" s="9"/>
      <c r="EM167" s="9"/>
      <c r="EN167" s="9"/>
      <c r="EO167" s="9"/>
      <c r="EP167" s="9"/>
      <c r="EQ167" s="9"/>
      <c r="ER167" s="9"/>
      <c r="ES167" s="9"/>
      <c r="ET167" s="9"/>
      <c r="EU167" s="10"/>
      <c r="EV167" s="9"/>
      <c r="EW167" s="9"/>
      <c r="EX167" s="9"/>
      <c r="EY167" s="9"/>
      <c r="EZ167" s="9"/>
      <c r="FA167" s="9"/>
      <c r="FB167" s="9"/>
      <c r="FC167" s="9"/>
      <c r="FD167" s="9"/>
      <c r="FE167" s="9"/>
      <c r="FF167" s="9"/>
      <c r="FG167" s="9"/>
      <c r="FH167" s="9"/>
      <c r="FI167" s="9"/>
      <c r="FJ167" s="9"/>
      <c r="FK167" s="9"/>
      <c r="FL167" s="9"/>
      <c r="FM167" s="9"/>
      <c r="FN167" s="9"/>
      <c r="FO167" s="9"/>
      <c r="FP167" s="9"/>
      <c r="FQ167" s="9"/>
      <c r="FR167" s="9"/>
      <c r="FS167" s="9"/>
      <c r="FT167" s="9"/>
      <c r="FU167" s="9"/>
      <c r="FV167" s="9"/>
      <c r="FW167" s="10"/>
      <c r="FX167" s="9"/>
      <c r="FY167" s="9"/>
      <c r="FZ167" s="9"/>
      <c r="GA167" s="9"/>
      <c r="GB167" s="9"/>
      <c r="GC167" s="9"/>
      <c r="GD167" s="9"/>
      <c r="GE167" s="9"/>
      <c r="GF167" s="9"/>
      <c r="GG167" s="9"/>
      <c r="GH167" s="9"/>
      <c r="GI167" s="9"/>
      <c r="GJ167" s="9"/>
      <c r="GK167" s="9"/>
      <c r="GL167" s="9"/>
      <c r="GM167" s="9"/>
      <c r="GN167" s="9"/>
      <c r="GO167" s="9"/>
      <c r="GP167" s="9"/>
      <c r="GQ167" s="9"/>
      <c r="GR167" s="9"/>
      <c r="GS167" s="9"/>
      <c r="GT167" s="9"/>
      <c r="GU167" s="9"/>
      <c r="GV167" s="9"/>
      <c r="GW167" s="9"/>
      <c r="GX167" s="9"/>
      <c r="GY167" s="10"/>
      <c r="GZ167" s="9"/>
      <c r="HA167" s="9"/>
    </row>
    <row r="168" spans="1:209" s="2" customFormat="1" ht="17" customHeight="1">
      <c r="A168" s="14" t="s">
        <v>165</v>
      </c>
      <c r="B168" s="35">
        <v>607570</v>
      </c>
      <c r="C168" s="35">
        <v>782159</v>
      </c>
      <c r="D168" s="4">
        <f t="shared" si="42"/>
        <v>1.2087356189410272</v>
      </c>
      <c r="E168" s="11">
        <v>10</v>
      </c>
      <c r="F168" s="5" t="s">
        <v>362</v>
      </c>
      <c r="G168" s="5" t="s">
        <v>362</v>
      </c>
      <c r="H168" s="5" t="s">
        <v>362</v>
      </c>
      <c r="I168" s="5" t="s">
        <v>362</v>
      </c>
      <c r="J168" s="5" t="s">
        <v>362</v>
      </c>
      <c r="K168" s="5" t="s">
        <v>362</v>
      </c>
      <c r="L168" s="5" t="s">
        <v>362</v>
      </c>
      <c r="M168" s="5" t="s">
        <v>362</v>
      </c>
      <c r="N168" s="35">
        <v>568.9</v>
      </c>
      <c r="O168" s="35">
        <v>1016.8</v>
      </c>
      <c r="P168" s="4">
        <f t="shared" si="43"/>
        <v>1.2587308841624187</v>
      </c>
      <c r="Q168" s="11">
        <v>20</v>
      </c>
      <c r="R168" s="35">
        <v>591</v>
      </c>
      <c r="S168" s="35">
        <v>595.20000000000005</v>
      </c>
      <c r="T168" s="4">
        <f t="shared" si="44"/>
        <v>1.0071065989847716</v>
      </c>
      <c r="U168" s="11">
        <v>5</v>
      </c>
      <c r="V168" s="35">
        <v>6800</v>
      </c>
      <c r="W168" s="35">
        <v>10173.799999999999</v>
      </c>
      <c r="X168" s="4">
        <f t="shared" si="45"/>
        <v>1.2296147058823528</v>
      </c>
      <c r="Y168" s="11">
        <v>45</v>
      </c>
      <c r="Z168" s="35">
        <v>16270</v>
      </c>
      <c r="AA168" s="35">
        <v>14279</v>
      </c>
      <c r="AB168" s="4">
        <f t="shared" si="46"/>
        <v>0.87762753534111859</v>
      </c>
      <c r="AC168" s="11">
        <v>5</v>
      </c>
      <c r="AD168" s="11">
        <v>557</v>
      </c>
      <c r="AE168" s="11">
        <v>557</v>
      </c>
      <c r="AF168" s="4">
        <f t="shared" si="47"/>
        <v>1</v>
      </c>
      <c r="AG168" s="11">
        <v>20</v>
      </c>
      <c r="AH168" s="5" t="s">
        <v>362</v>
      </c>
      <c r="AI168" s="5" t="s">
        <v>362</v>
      </c>
      <c r="AJ168" s="5" t="s">
        <v>362</v>
      </c>
      <c r="AK168" s="5" t="s">
        <v>362</v>
      </c>
      <c r="AL168" s="5" t="s">
        <v>362</v>
      </c>
      <c r="AM168" s="5" t="s">
        <v>362</v>
      </c>
      <c r="AN168" s="5" t="s">
        <v>362</v>
      </c>
      <c r="AO168" s="5" t="s">
        <v>362</v>
      </c>
      <c r="AP168" s="44">
        <f t="shared" si="56"/>
        <v>1.1620791077047046</v>
      </c>
      <c r="AQ168" s="45">
        <v>1880</v>
      </c>
      <c r="AR168" s="35">
        <f t="shared" si="48"/>
        <v>512.72727272727275</v>
      </c>
      <c r="AS168" s="35">
        <f t="shared" si="49"/>
        <v>595.79999999999995</v>
      </c>
      <c r="AT168" s="35">
        <f t="shared" si="50"/>
        <v>83.072727272727207</v>
      </c>
      <c r="AU168" s="35">
        <v>211.1</v>
      </c>
      <c r="AV168" s="35">
        <v>201.4</v>
      </c>
      <c r="AW168" s="35">
        <f t="shared" si="51"/>
        <v>183.3</v>
      </c>
      <c r="AX168" s="35"/>
      <c r="AY168" s="35">
        <f t="shared" si="52"/>
        <v>183.3</v>
      </c>
      <c r="AZ168" s="35">
        <v>0</v>
      </c>
      <c r="BA168" s="35">
        <f t="shared" si="53"/>
        <v>183.3</v>
      </c>
      <c r="BB168" s="35">
        <f>MIN(BA168,85.5)</f>
        <v>85.5</v>
      </c>
      <c r="BC168" s="35">
        <f t="shared" si="54"/>
        <v>97.8</v>
      </c>
      <c r="BD168" s="35">
        <v>105.1</v>
      </c>
      <c r="BE168" s="35">
        <f t="shared" si="55"/>
        <v>-7.3</v>
      </c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9"/>
      <c r="BU168" s="9"/>
      <c r="BV168" s="9"/>
      <c r="BW168" s="9"/>
      <c r="BX168" s="9"/>
      <c r="BY168" s="9"/>
      <c r="BZ168" s="9"/>
      <c r="CA168" s="9"/>
      <c r="CB168" s="9"/>
      <c r="CC168" s="9"/>
      <c r="CD168" s="9"/>
      <c r="CE168" s="9"/>
      <c r="CF168" s="9"/>
      <c r="CG168" s="9"/>
      <c r="CH168" s="9"/>
      <c r="CI168" s="9"/>
      <c r="CJ168" s="9"/>
      <c r="CK168" s="9"/>
      <c r="CL168" s="9"/>
      <c r="CM168" s="9"/>
      <c r="CN168" s="9"/>
      <c r="CO168" s="9"/>
      <c r="CP168" s="9"/>
      <c r="CQ168" s="10"/>
      <c r="CR168" s="9"/>
      <c r="CS168" s="9"/>
      <c r="CT168" s="9"/>
      <c r="CU168" s="9"/>
      <c r="CV168" s="9"/>
      <c r="CW168" s="9"/>
      <c r="CX168" s="9"/>
      <c r="CY168" s="9"/>
      <c r="CZ168" s="9"/>
      <c r="DA168" s="9"/>
      <c r="DB168" s="9"/>
      <c r="DC168" s="9"/>
      <c r="DD168" s="9"/>
      <c r="DE168" s="9"/>
      <c r="DF168" s="9"/>
      <c r="DG168" s="9"/>
      <c r="DH168" s="9"/>
      <c r="DI168" s="9"/>
      <c r="DJ168" s="9"/>
      <c r="DK168" s="9"/>
      <c r="DL168" s="9"/>
      <c r="DM168" s="9"/>
      <c r="DN168" s="9"/>
      <c r="DO168" s="9"/>
      <c r="DP168" s="9"/>
      <c r="DQ168" s="9"/>
      <c r="DR168" s="9"/>
      <c r="DS168" s="10"/>
      <c r="DT168" s="9"/>
      <c r="DU168" s="9"/>
      <c r="DV168" s="9"/>
      <c r="DW168" s="9"/>
      <c r="DX168" s="9"/>
      <c r="DY168" s="9"/>
      <c r="DZ168" s="9"/>
      <c r="EA168" s="9"/>
      <c r="EB168" s="9"/>
      <c r="EC168" s="9"/>
      <c r="ED168" s="9"/>
      <c r="EE168" s="9"/>
      <c r="EF168" s="9"/>
      <c r="EG168" s="9"/>
      <c r="EH168" s="9"/>
      <c r="EI168" s="9"/>
      <c r="EJ168" s="9"/>
      <c r="EK168" s="9"/>
      <c r="EL168" s="9"/>
      <c r="EM168" s="9"/>
      <c r="EN168" s="9"/>
      <c r="EO168" s="9"/>
      <c r="EP168" s="9"/>
      <c r="EQ168" s="9"/>
      <c r="ER168" s="9"/>
      <c r="ES168" s="9"/>
      <c r="ET168" s="9"/>
      <c r="EU168" s="10"/>
      <c r="EV168" s="9"/>
      <c r="EW168" s="9"/>
      <c r="EX168" s="9"/>
      <c r="EY168" s="9"/>
      <c r="EZ168" s="9"/>
      <c r="FA168" s="9"/>
      <c r="FB168" s="9"/>
      <c r="FC168" s="9"/>
      <c r="FD168" s="9"/>
      <c r="FE168" s="9"/>
      <c r="FF168" s="9"/>
      <c r="FG168" s="9"/>
      <c r="FH168" s="9"/>
      <c r="FI168" s="9"/>
      <c r="FJ168" s="9"/>
      <c r="FK168" s="9"/>
      <c r="FL168" s="9"/>
      <c r="FM168" s="9"/>
      <c r="FN168" s="9"/>
      <c r="FO168" s="9"/>
      <c r="FP168" s="9"/>
      <c r="FQ168" s="9"/>
      <c r="FR168" s="9"/>
      <c r="FS168" s="9"/>
      <c r="FT168" s="9"/>
      <c r="FU168" s="9"/>
      <c r="FV168" s="9"/>
      <c r="FW168" s="10"/>
      <c r="FX168" s="9"/>
      <c r="FY168" s="9"/>
      <c r="FZ168" s="9"/>
      <c r="GA168" s="9"/>
      <c r="GB168" s="9"/>
      <c r="GC168" s="9"/>
      <c r="GD168" s="9"/>
      <c r="GE168" s="9"/>
      <c r="GF168" s="9"/>
      <c r="GG168" s="9"/>
      <c r="GH168" s="9"/>
      <c r="GI168" s="9"/>
      <c r="GJ168" s="9"/>
      <c r="GK168" s="9"/>
      <c r="GL168" s="9"/>
      <c r="GM168" s="9"/>
      <c r="GN168" s="9"/>
      <c r="GO168" s="9"/>
      <c r="GP168" s="9"/>
      <c r="GQ168" s="9"/>
      <c r="GR168" s="9"/>
      <c r="GS168" s="9"/>
      <c r="GT168" s="9"/>
      <c r="GU168" s="9"/>
      <c r="GV168" s="9"/>
      <c r="GW168" s="9"/>
      <c r="GX168" s="9"/>
      <c r="GY168" s="10"/>
      <c r="GZ168" s="9"/>
      <c r="HA168" s="9"/>
    </row>
    <row r="169" spans="1:209" s="2" customFormat="1" ht="17" customHeight="1">
      <c r="A169" s="14" t="s">
        <v>166</v>
      </c>
      <c r="B169" s="35">
        <v>44460</v>
      </c>
      <c r="C169" s="35">
        <v>60349.9</v>
      </c>
      <c r="D169" s="4">
        <f t="shared" si="42"/>
        <v>1.2157397660818714</v>
      </c>
      <c r="E169" s="11">
        <v>10</v>
      </c>
      <c r="F169" s="5" t="s">
        <v>362</v>
      </c>
      <c r="G169" s="5" t="s">
        <v>362</v>
      </c>
      <c r="H169" s="5" t="s">
        <v>362</v>
      </c>
      <c r="I169" s="5" t="s">
        <v>362</v>
      </c>
      <c r="J169" s="5" t="s">
        <v>362</v>
      </c>
      <c r="K169" s="5" t="s">
        <v>362</v>
      </c>
      <c r="L169" s="5" t="s">
        <v>362</v>
      </c>
      <c r="M169" s="5" t="s">
        <v>362</v>
      </c>
      <c r="N169" s="35">
        <v>1055</v>
      </c>
      <c r="O169" s="35">
        <v>1164.9000000000001</v>
      </c>
      <c r="P169" s="4">
        <f t="shared" si="43"/>
        <v>1.1041706161137441</v>
      </c>
      <c r="Q169" s="11">
        <v>20</v>
      </c>
      <c r="R169" s="35">
        <v>160</v>
      </c>
      <c r="S169" s="35">
        <v>161.69999999999999</v>
      </c>
      <c r="T169" s="4">
        <f t="shared" si="44"/>
        <v>1.0106249999999999</v>
      </c>
      <c r="U169" s="11">
        <v>45</v>
      </c>
      <c r="V169" s="35">
        <v>0</v>
      </c>
      <c r="W169" s="35">
        <v>0</v>
      </c>
      <c r="X169" s="4">
        <f t="shared" si="45"/>
        <v>1</v>
      </c>
      <c r="Y169" s="11">
        <v>5</v>
      </c>
      <c r="Z169" s="35">
        <v>27630</v>
      </c>
      <c r="AA169" s="35">
        <v>26726</v>
      </c>
      <c r="AB169" s="4">
        <f t="shared" si="46"/>
        <v>0.96728193992037637</v>
      </c>
      <c r="AC169" s="11">
        <v>5</v>
      </c>
      <c r="AD169" s="11">
        <v>205</v>
      </c>
      <c r="AE169" s="11">
        <v>210</v>
      </c>
      <c r="AF169" s="4">
        <f t="shared" si="47"/>
        <v>1.024390243902439</v>
      </c>
      <c r="AG169" s="11">
        <v>20</v>
      </c>
      <c r="AH169" s="5" t="s">
        <v>362</v>
      </c>
      <c r="AI169" s="5" t="s">
        <v>362</v>
      </c>
      <c r="AJ169" s="5" t="s">
        <v>362</v>
      </c>
      <c r="AK169" s="5" t="s">
        <v>362</v>
      </c>
      <c r="AL169" s="5" t="s">
        <v>362</v>
      </c>
      <c r="AM169" s="5" t="s">
        <v>362</v>
      </c>
      <c r="AN169" s="5" t="s">
        <v>362</v>
      </c>
      <c r="AO169" s="5" t="s">
        <v>362</v>
      </c>
      <c r="AP169" s="44">
        <f t="shared" si="56"/>
        <v>1.0480299958166119</v>
      </c>
      <c r="AQ169" s="45">
        <v>3145</v>
      </c>
      <c r="AR169" s="35">
        <f t="shared" si="48"/>
        <v>857.72727272727275</v>
      </c>
      <c r="AS169" s="35">
        <f t="shared" si="49"/>
        <v>898.9</v>
      </c>
      <c r="AT169" s="35">
        <f t="shared" si="50"/>
        <v>41.172727272727229</v>
      </c>
      <c r="AU169" s="35">
        <v>314</v>
      </c>
      <c r="AV169" s="35">
        <v>284.89999999999998</v>
      </c>
      <c r="AW169" s="35">
        <f t="shared" si="51"/>
        <v>300</v>
      </c>
      <c r="AX169" s="35"/>
      <c r="AY169" s="35">
        <f t="shared" si="52"/>
        <v>300</v>
      </c>
      <c r="AZ169" s="35">
        <v>0</v>
      </c>
      <c r="BA169" s="35">
        <f t="shared" si="53"/>
        <v>300</v>
      </c>
      <c r="BB169" s="35">
        <f>MIN(BA169,107.6)</f>
        <v>107.6</v>
      </c>
      <c r="BC169" s="35">
        <f t="shared" si="54"/>
        <v>192.4</v>
      </c>
      <c r="BD169" s="35">
        <v>195.9</v>
      </c>
      <c r="BE169" s="35">
        <f t="shared" si="55"/>
        <v>-3.5</v>
      </c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9"/>
      <c r="BU169" s="9"/>
      <c r="BV169" s="9"/>
      <c r="BW169" s="9"/>
      <c r="BX169" s="9"/>
      <c r="BY169" s="9"/>
      <c r="BZ169" s="9"/>
      <c r="CA169" s="9"/>
      <c r="CB169" s="9"/>
      <c r="CC169" s="9"/>
      <c r="CD169" s="9"/>
      <c r="CE169" s="9"/>
      <c r="CF169" s="9"/>
      <c r="CG169" s="9"/>
      <c r="CH169" s="9"/>
      <c r="CI169" s="9"/>
      <c r="CJ169" s="9"/>
      <c r="CK169" s="9"/>
      <c r="CL169" s="9"/>
      <c r="CM169" s="9"/>
      <c r="CN169" s="9"/>
      <c r="CO169" s="9"/>
      <c r="CP169" s="9"/>
      <c r="CQ169" s="10"/>
      <c r="CR169" s="9"/>
      <c r="CS169" s="9"/>
      <c r="CT169" s="9"/>
      <c r="CU169" s="9"/>
      <c r="CV169" s="9"/>
      <c r="CW169" s="9"/>
      <c r="CX169" s="9"/>
      <c r="CY169" s="9"/>
      <c r="CZ169" s="9"/>
      <c r="DA169" s="9"/>
      <c r="DB169" s="9"/>
      <c r="DC169" s="9"/>
      <c r="DD169" s="9"/>
      <c r="DE169" s="9"/>
      <c r="DF169" s="9"/>
      <c r="DG169" s="9"/>
      <c r="DH169" s="9"/>
      <c r="DI169" s="9"/>
      <c r="DJ169" s="9"/>
      <c r="DK169" s="9"/>
      <c r="DL169" s="9"/>
      <c r="DM169" s="9"/>
      <c r="DN169" s="9"/>
      <c r="DO169" s="9"/>
      <c r="DP169" s="9"/>
      <c r="DQ169" s="9"/>
      <c r="DR169" s="9"/>
      <c r="DS169" s="10"/>
      <c r="DT169" s="9"/>
      <c r="DU169" s="9"/>
      <c r="DV169" s="9"/>
      <c r="DW169" s="9"/>
      <c r="DX169" s="9"/>
      <c r="DY169" s="9"/>
      <c r="DZ169" s="9"/>
      <c r="EA169" s="9"/>
      <c r="EB169" s="9"/>
      <c r="EC169" s="9"/>
      <c r="ED169" s="9"/>
      <c r="EE169" s="9"/>
      <c r="EF169" s="9"/>
      <c r="EG169" s="9"/>
      <c r="EH169" s="9"/>
      <c r="EI169" s="9"/>
      <c r="EJ169" s="9"/>
      <c r="EK169" s="9"/>
      <c r="EL169" s="9"/>
      <c r="EM169" s="9"/>
      <c r="EN169" s="9"/>
      <c r="EO169" s="9"/>
      <c r="EP169" s="9"/>
      <c r="EQ169" s="9"/>
      <c r="ER169" s="9"/>
      <c r="ES169" s="9"/>
      <c r="ET169" s="9"/>
      <c r="EU169" s="10"/>
      <c r="EV169" s="9"/>
      <c r="EW169" s="9"/>
      <c r="EX169" s="9"/>
      <c r="EY169" s="9"/>
      <c r="EZ169" s="9"/>
      <c r="FA169" s="9"/>
      <c r="FB169" s="9"/>
      <c r="FC169" s="9"/>
      <c r="FD169" s="9"/>
      <c r="FE169" s="9"/>
      <c r="FF169" s="9"/>
      <c r="FG169" s="9"/>
      <c r="FH169" s="9"/>
      <c r="FI169" s="9"/>
      <c r="FJ169" s="9"/>
      <c r="FK169" s="9"/>
      <c r="FL169" s="9"/>
      <c r="FM169" s="9"/>
      <c r="FN169" s="9"/>
      <c r="FO169" s="9"/>
      <c r="FP169" s="9"/>
      <c r="FQ169" s="9"/>
      <c r="FR169" s="9"/>
      <c r="FS169" s="9"/>
      <c r="FT169" s="9"/>
      <c r="FU169" s="9"/>
      <c r="FV169" s="9"/>
      <c r="FW169" s="10"/>
      <c r="FX169" s="9"/>
      <c r="FY169" s="9"/>
      <c r="FZ169" s="9"/>
      <c r="GA169" s="9"/>
      <c r="GB169" s="9"/>
      <c r="GC169" s="9"/>
      <c r="GD169" s="9"/>
      <c r="GE169" s="9"/>
      <c r="GF169" s="9"/>
      <c r="GG169" s="9"/>
      <c r="GH169" s="9"/>
      <c r="GI169" s="9"/>
      <c r="GJ169" s="9"/>
      <c r="GK169" s="9"/>
      <c r="GL169" s="9"/>
      <c r="GM169" s="9"/>
      <c r="GN169" s="9"/>
      <c r="GO169" s="9"/>
      <c r="GP169" s="9"/>
      <c r="GQ169" s="9"/>
      <c r="GR169" s="9"/>
      <c r="GS169" s="9"/>
      <c r="GT169" s="9"/>
      <c r="GU169" s="9"/>
      <c r="GV169" s="9"/>
      <c r="GW169" s="9"/>
      <c r="GX169" s="9"/>
      <c r="GY169" s="10"/>
      <c r="GZ169" s="9"/>
      <c r="HA169" s="9"/>
    </row>
    <row r="170" spans="1:209" s="2" customFormat="1" ht="17" customHeight="1">
      <c r="A170" s="14" t="s">
        <v>167</v>
      </c>
      <c r="B170" s="35">
        <v>6490</v>
      </c>
      <c r="C170" s="35">
        <v>6503.8</v>
      </c>
      <c r="D170" s="4">
        <f t="shared" si="42"/>
        <v>1.0021263482280431</v>
      </c>
      <c r="E170" s="11">
        <v>10</v>
      </c>
      <c r="F170" s="5" t="s">
        <v>362</v>
      </c>
      <c r="G170" s="5" t="s">
        <v>362</v>
      </c>
      <c r="H170" s="5" t="s">
        <v>362</v>
      </c>
      <c r="I170" s="5" t="s">
        <v>362</v>
      </c>
      <c r="J170" s="5" t="s">
        <v>362</v>
      </c>
      <c r="K170" s="5" t="s">
        <v>362</v>
      </c>
      <c r="L170" s="5" t="s">
        <v>362</v>
      </c>
      <c r="M170" s="5" t="s">
        <v>362</v>
      </c>
      <c r="N170" s="35">
        <v>354.8</v>
      </c>
      <c r="O170" s="35">
        <v>375.7</v>
      </c>
      <c r="P170" s="4">
        <f t="shared" si="43"/>
        <v>1.0589064261555805</v>
      </c>
      <c r="Q170" s="11">
        <v>20</v>
      </c>
      <c r="R170" s="35">
        <v>0</v>
      </c>
      <c r="S170" s="35">
        <v>0</v>
      </c>
      <c r="T170" s="4">
        <f t="shared" si="44"/>
        <v>1</v>
      </c>
      <c r="U170" s="11">
        <v>45</v>
      </c>
      <c r="V170" s="35">
        <v>0</v>
      </c>
      <c r="W170" s="35">
        <v>0</v>
      </c>
      <c r="X170" s="4">
        <f t="shared" si="45"/>
        <v>1</v>
      </c>
      <c r="Y170" s="11">
        <v>5</v>
      </c>
      <c r="Z170" s="35">
        <v>3320</v>
      </c>
      <c r="AA170" s="35">
        <v>3076</v>
      </c>
      <c r="AB170" s="4">
        <f t="shared" si="46"/>
        <v>0.92650602409638549</v>
      </c>
      <c r="AC170" s="11">
        <v>5</v>
      </c>
      <c r="AD170" s="11">
        <v>67</v>
      </c>
      <c r="AE170" s="11">
        <v>67</v>
      </c>
      <c r="AF170" s="4">
        <f t="shared" si="47"/>
        <v>1</v>
      </c>
      <c r="AG170" s="11">
        <v>20</v>
      </c>
      <c r="AH170" s="5" t="s">
        <v>362</v>
      </c>
      <c r="AI170" s="5" t="s">
        <v>362</v>
      </c>
      <c r="AJ170" s="5" t="s">
        <v>362</v>
      </c>
      <c r="AK170" s="5" t="s">
        <v>362</v>
      </c>
      <c r="AL170" s="5" t="s">
        <v>362</v>
      </c>
      <c r="AM170" s="5" t="s">
        <v>362</v>
      </c>
      <c r="AN170" s="5" t="s">
        <v>362</v>
      </c>
      <c r="AO170" s="5" t="s">
        <v>362</v>
      </c>
      <c r="AP170" s="44">
        <f t="shared" si="56"/>
        <v>1.0079230678654665</v>
      </c>
      <c r="AQ170" s="45">
        <v>2089</v>
      </c>
      <c r="AR170" s="35">
        <f t="shared" si="48"/>
        <v>569.72727272727275</v>
      </c>
      <c r="AS170" s="35">
        <f t="shared" si="49"/>
        <v>574.20000000000005</v>
      </c>
      <c r="AT170" s="35">
        <f t="shared" si="50"/>
        <v>4.4727272727272975</v>
      </c>
      <c r="AU170" s="35">
        <v>200.7</v>
      </c>
      <c r="AV170" s="35">
        <v>180.4</v>
      </c>
      <c r="AW170" s="35">
        <f t="shared" si="51"/>
        <v>193.1</v>
      </c>
      <c r="AX170" s="35"/>
      <c r="AY170" s="35">
        <f t="shared" si="52"/>
        <v>193.1</v>
      </c>
      <c r="AZ170" s="35">
        <v>0</v>
      </c>
      <c r="BA170" s="35">
        <f t="shared" si="53"/>
        <v>193.1</v>
      </c>
      <c r="BB170" s="35"/>
      <c r="BC170" s="35">
        <f t="shared" si="54"/>
        <v>193.1</v>
      </c>
      <c r="BD170" s="35">
        <v>195.5</v>
      </c>
      <c r="BE170" s="35">
        <f t="shared" si="55"/>
        <v>-2.4</v>
      </c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9"/>
      <c r="BU170" s="9"/>
      <c r="BV170" s="9"/>
      <c r="BW170" s="9"/>
      <c r="BX170" s="9"/>
      <c r="BY170" s="9"/>
      <c r="BZ170" s="9"/>
      <c r="CA170" s="9"/>
      <c r="CB170" s="9"/>
      <c r="CC170" s="9"/>
      <c r="CD170" s="9"/>
      <c r="CE170" s="9"/>
      <c r="CF170" s="9"/>
      <c r="CG170" s="9"/>
      <c r="CH170" s="9"/>
      <c r="CI170" s="9"/>
      <c r="CJ170" s="9"/>
      <c r="CK170" s="9"/>
      <c r="CL170" s="9"/>
      <c r="CM170" s="9"/>
      <c r="CN170" s="9"/>
      <c r="CO170" s="9"/>
      <c r="CP170" s="9"/>
      <c r="CQ170" s="10"/>
      <c r="CR170" s="9"/>
      <c r="CS170" s="9"/>
      <c r="CT170" s="9"/>
      <c r="CU170" s="9"/>
      <c r="CV170" s="9"/>
      <c r="CW170" s="9"/>
      <c r="CX170" s="9"/>
      <c r="CY170" s="9"/>
      <c r="CZ170" s="9"/>
      <c r="DA170" s="9"/>
      <c r="DB170" s="9"/>
      <c r="DC170" s="9"/>
      <c r="DD170" s="9"/>
      <c r="DE170" s="9"/>
      <c r="DF170" s="9"/>
      <c r="DG170" s="9"/>
      <c r="DH170" s="9"/>
      <c r="DI170" s="9"/>
      <c r="DJ170" s="9"/>
      <c r="DK170" s="9"/>
      <c r="DL170" s="9"/>
      <c r="DM170" s="9"/>
      <c r="DN170" s="9"/>
      <c r="DO170" s="9"/>
      <c r="DP170" s="9"/>
      <c r="DQ170" s="9"/>
      <c r="DR170" s="9"/>
      <c r="DS170" s="10"/>
      <c r="DT170" s="9"/>
      <c r="DU170" s="9"/>
      <c r="DV170" s="9"/>
      <c r="DW170" s="9"/>
      <c r="DX170" s="9"/>
      <c r="DY170" s="9"/>
      <c r="DZ170" s="9"/>
      <c r="EA170" s="9"/>
      <c r="EB170" s="9"/>
      <c r="EC170" s="9"/>
      <c r="ED170" s="9"/>
      <c r="EE170" s="9"/>
      <c r="EF170" s="9"/>
      <c r="EG170" s="9"/>
      <c r="EH170" s="9"/>
      <c r="EI170" s="9"/>
      <c r="EJ170" s="9"/>
      <c r="EK170" s="9"/>
      <c r="EL170" s="9"/>
      <c r="EM170" s="9"/>
      <c r="EN170" s="9"/>
      <c r="EO170" s="9"/>
      <c r="EP170" s="9"/>
      <c r="EQ170" s="9"/>
      <c r="ER170" s="9"/>
      <c r="ES170" s="9"/>
      <c r="ET170" s="9"/>
      <c r="EU170" s="10"/>
      <c r="EV170" s="9"/>
      <c r="EW170" s="9"/>
      <c r="EX170" s="9"/>
      <c r="EY170" s="9"/>
      <c r="EZ170" s="9"/>
      <c r="FA170" s="9"/>
      <c r="FB170" s="9"/>
      <c r="FC170" s="9"/>
      <c r="FD170" s="9"/>
      <c r="FE170" s="9"/>
      <c r="FF170" s="9"/>
      <c r="FG170" s="9"/>
      <c r="FH170" s="9"/>
      <c r="FI170" s="9"/>
      <c r="FJ170" s="9"/>
      <c r="FK170" s="9"/>
      <c r="FL170" s="9"/>
      <c r="FM170" s="9"/>
      <c r="FN170" s="9"/>
      <c r="FO170" s="9"/>
      <c r="FP170" s="9"/>
      <c r="FQ170" s="9"/>
      <c r="FR170" s="9"/>
      <c r="FS170" s="9"/>
      <c r="FT170" s="9"/>
      <c r="FU170" s="9"/>
      <c r="FV170" s="9"/>
      <c r="FW170" s="10"/>
      <c r="FX170" s="9"/>
      <c r="FY170" s="9"/>
      <c r="FZ170" s="9"/>
      <c r="GA170" s="9"/>
      <c r="GB170" s="9"/>
      <c r="GC170" s="9"/>
      <c r="GD170" s="9"/>
      <c r="GE170" s="9"/>
      <c r="GF170" s="9"/>
      <c r="GG170" s="9"/>
      <c r="GH170" s="9"/>
      <c r="GI170" s="9"/>
      <c r="GJ170" s="9"/>
      <c r="GK170" s="9"/>
      <c r="GL170" s="9"/>
      <c r="GM170" s="9"/>
      <c r="GN170" s="9"/>
      <c r="GO170" s="9"/>
      <c r="GP170" s="9"/>
      <c r="GQ170" s="9"/>
      <c r="GR170" s="9"/>
      <c r="GS170" s="9"/>
      <c r="GT170" s="9"/>
      <c r="GU170" s="9"/>
      <c r="GV170" s="9"/>
      <c r="GW170" s="9"/>
      <c r="GX170" s="9"/>
      <c r="GY170" s="10"/>
      <c r="GZ170" s="9"/>
      <c r="HA170" s="9"/>
    </row>
    <row r="171" spans="1:209" s="2" customFormat="1" ht="17" customHeight="1">
      <c r="A171" s="18" t="s">
        <v>168</v>
      </c>
      <c r="B171" s="6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35"/>
      <c r="AA171" s="35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  <c r="AT171" s="11"/>
      <c r="AU171" s="11"/>
      <c r="AV171" s="11"/>
      <c r="AW171" s="11"/>
      <c r="AX171" s="11"/>
      <c r="AY171" s="11"/>
      <c r="AZ171" s="11"/>
      <c r="BA171" s="11"/>
      <c r="BB171" s="11"/>
      <c r="BC171" s="35"/>
      <c r="BD171" s="35"/>
      <c r="BE171" s="35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9"/>
      <c r="BU171" s="9"/>
      <c r="BV171" s="9"/>
      <c r="BW171" s="9"/>
      <c r="BX171" s="9"/>
      <c r="BY171" s="9"/>
      <c r="BZ171" s="9"/>
      <c r="CA171" s="9"/>
      <c r="CB171" s="9"/>
      <c r="CC171" s="9"/>
      <c r="CD171" s="9"/>
      <c r="CE171" s="9"/>
      <c r="CF171" s="9"/>
      <c r="CG171" s="9"/>
      <c r="CH171" s="9"/>
      <c r="CI171" s="9"/>
      <c r="CJ171" s="9"/>
      <c r="CK171" s="9"/>
      <c r="CL171" s="9"/>
      <c r="CM171" s="9"/>
      <c r="CN171" s="9"/>
      <c r="CO171" s="9"/>
      <c r="CP171" s="9"/>
      <c r="CQ171" s="10"/>
      <c r="CR171" s="9"/>
      <c r="CS171" s="9"/>
      <c r="CT171" s="9"/>
      <c r="CU171" s="9"/>
      <c r="CV171" s="9"/>
      <c r="CW171" s="9"/>
      <c r="CX171" s="9"/>
      <c r="CY171" s="9"/>
      <c r="CZ171" s="9"/>
      <c r="DA171" s="9"/>
      <c r="DB171" s="9"/>
      <c r="DC171" s="9"/>
      <c r="DD171" s="9"/>
      <c r="DE171" s="9"/>
      <c r="DF171" s="9"/>
      <c r="DG171" s="9"/>
      <c r="DH171" s="9"/>
      <c r="DI171" s="9"/>
      <c r="DJ171" s="9"/>
      <c r="DK171" s="9"/>
      <c r="DL171" s="9"/>
      <c r="DM171" s="9"/>
      <c r="DN171" s="9"/>
      <c r="DO171" s="9"/>
      <c r="DP171" s="9"/>
      <c r="DQ171" s="9"/>
      <c r="DR171" s="9"/>
      <c r="DS171" s="10"/>
      <c r="DT171" s="9"/>
      <c r="DU171" s="9"/>
      <c r="DV171" s="9"/>
      <c r="DW171" s="9"/>
      <c r="DX171" s="9"/>
      <c r="DY171" s="9"/>
      <c r="DZ171" s="9"/>
      <c r="EA171" s="9"/>
      <c r="EB171" s="9"/>
      <c r="EC171" s="9"/>
      <c r="ED171" s="9"/>
      <c r="EE171" s="9"/>
      <c r="EF171" s="9"/>
      <c r="EG171" s="9"/>
      <c r="EH171" s="9"/>
      <c r="EI171" s="9"/>
      <c r="EJ171" s="9"/>
      <c r="EK171" s="9"/>
      <c r="EL171" s="9"/>
      <c r="EM171" s="9"/>
      <c r="EN171" s="9"/>
      <c r="EO171" s="9"/>
      <c r="EP171" s="9"/>
      <c r="EQ171" s="9"/>
      <c r="ER171" s="9"/>
      <c r="ES171" s="9"/>
      <c r="ET171" s="9"/>
      <c r="EU171" s="10"/>
      <c r="EV171" s="9"/>
      <c r="EW171" s="9"/>
      <c r="EX171" s="9"/>
      <c r="EY171" s="9"/>
      <c r="EZ171" s="9"/>
      <c r="FA171" s="9"/>
      <c r="FB171" s="9"/>
      <c r="FC171" s="9"/>
      <c r="FD171" s="9"/>
      <c r="FE171" s="9"/>
      <c r="FF171" s="9"/>
      <c r="FG171" s="9"/>
      <c r="FH171" s="9"/>
      <c r="FI171" s="9"/>
      <c r="FJ171" s="9"/>
      <c r="FK171" s="9"/>
      <c r="FL171" s="9"/>
      <c r="FM171" s="9"/>
      <c r="FN171" s="9"/>
      <c r="FO171" s="9"/>
      <c r="FP171" s="9"/>
      <c r="FQ171" s="9"/>
      <c r="FR171" s="9"/>
      <c r="FS171" s="9"/>
      <c r="FT171" s="9"/>
      <c r="FU171" s="9"/>
      <c r="FV171" s="9"/>
      <c r="FW171" s="10"/>
      <c r="FX171" s="9"/>
      <c r="FY171" s="9"/>
      <c r="FZ171" s="9"/>
      <c r="GA171" s="9"/>
      <c r="GB171" s="9"/>
      <c r="GC171" s="9"/>
      <c r="GD171" s="9"/>
      <c r="GE171" s="9"/>
      <c r="GF171" s="9"/>
      <c r="GG171" s="9"/>
      <c r="GH171" s="9"/>
      <c r="GI171" s="9"/>
      <c r="GJ171" s="9"/>
      <c r="GK171" s="9"/>
      <c r="GL171" s="9"/>
      <c r="GM171" s="9"/>
      <c r="GN171" s="9"/>
      <c r="GO171" s="9"/>
      <c r="GP171" s="9"/>
      <c r="GQ171" s="9"/>
      <c r="GR171" s="9"/>
      <c r="GS171" s="9"/>
      <c r="GT171" s="9"/>
      <c r="GU171" s="9"/>
      <c r="GV171" s="9"/>
      <c r="GW171" s="9"/>
      <c r="GX171" s="9"/>
      <c r="GY171" s="10"/>
      <c r="GZ171" s="9"/>
      <c r="HA171" s="9"/>
    </row>
    <row r="172" spans="1:209" s="2" customFormat="1" ht="17" customHeight="1">
      <c r="A172" s="14" t="s">
        <v>169</v>
      </c>
      <c r="B172" s="35">
        <v>0</v>
      </c>
      <c r="C172" s="35">
        <v>0</v>
      </c>
      <c r="D172" s="4">
        <f t="shared" si="42"/>
        <v>0</v>
      </c>
      <c r="E172" s="11">
        <v>0</v>
      </c>
      <c r="F172" s="5" t="s">
        <v>362</v>
      </c>
      <c r="G172" s="5" t="s">
        <v>362</v>
      </c>
      <c r="H172" s="5" t="s">
        <v>362</v>
      </c>
      <c r="I172" s="5" t="s">
        <v>362</v>
      </c>
      <c r="J172" s="5" t="s">
        <v>362</v>
      </c>
      <c r="K172" s="5" t="s">
        <v>362</v>
      </c>
      <c r="L172" s="5" t="s">
        <v>362</v>
      </c>
      <c r="M172" s="5" t="s">
        <v>362</v>
      </c>
      <c r="N172" s="35">
        <v>497.6</v>
      </c>
      <c r="O172" s="35">
        <v>381.2</v>
      </c>
      <c r="P172" s="4">
        <f t="shared" si="43"/>
        <v>0.76607717041800638</v>
      </c>
      <c r="Q172" s="11">
        <v>20</v>
      </c>
      <c r="R172" s="35">
        <v>302</v>
      </c>
      <c r="S172" s="35">
        <v>237.7</v>
      </c>
      <c r="T172" s="4">
        <f t="shared" si="44"/>
        <v>0.78708609271523178</v>
      </c>
      <c r="U172" s="11">
        <v>35</v>
      </c>
      <c r="V172" s="35">
        <v>4.2</v>
      </c>
      <c r="W172" s="35">
        <v>11.8</v>
      </c>
      <c r="X172" s="4">
        <f t="shared" si="45"/>
        <v>1.3</v>
      </c>
      <c r="Y172" s="11">
        <v>15</v>
      </c>
      <c r="Z172" s="35">
        <v>4970</v>
      </c>
      <c r="AA172" s="35">
        <v>4513</v>
      </c>
      <c r="AB172" s="4">
        <f t="shared" si="46"/>
        <v>0.90804828973843055</v>
      </c>
      <c r="AC172" s="11">
        <v>5</v>
      </c>
      <c r="AD172" s="11">
        <v>530</v>
      </c>
      <c r="AE172" s="11">
        <v>524</v>
      </c>
      <c r="AF172" s="4">
        <f t="shared" si="47"/>
        <v>0.98867924528301887</v>
      </c>
      <c r="AG172" s="11">
        <v>20</v>
      </c>
      <c r="AH172" s="5" t="s">
        <v>362</v>
      </c>
      <c r="AI172" s="5" t="s">
        <v>362</v>
      </c>
      <c r="AJ172" s="5" t="s">
        <v>362</v>
      </c>
      <c r="AK172" s="5" t="s">
        <v>362</v>
      </c>
      <c r="AL172" s="5" t="s">
        <v>362</v>
      </c>
      <c r="AM172" s="5" t="s">
        <v>362</v>
      </c>
      <c r="AN172" s="5" t="s">
        <v>362</v>
      </c>
      <c r="AO172" s="5" t="s">
        <v>362</v>
      </c>
      <c r="AP172" s="44">
        <f t="shared" si="56"/>
        <v>0.91245666323942909</v>
      </c>
      <c r="AQ172" s="45">
        <v>1189</v>
      </c>
      <c r="AR172" s="35">
        <f t="shared" si="48"/>
        <v>324.27272727272725</v>
      </c>
      <c r="AS172" s="35">
        <f t="shared" si="49"/>
        <v>295.89999999999998</v>
      </c>
      <c r="AT172" s="35">
        <f t="shared" si="50"/>
        <v>-28.372727272727275</v>
      </c>
      <c r="AU172" s="35">
        <v>114.9</v>
      </c>
      <c r="AV172" s="35">
        <v>65.900000000000006</v>
      </c>
      <c r="AW172" s="35">
        <f t="shared" si="51"/>
        <v>115.1</v>
      </c>
      <c r="AX172" s="35"/>
      <c r="AY172" s="35">
        <f t="shared" si="52"/>
        <v>115.1</v>
      </c>
      <c r="AZ172" s="35">
        <v>0</v>
      </c>
      <c r="BA172" s="35">
        <f t="shared" si="53"/>
        <v>115.1</v>
      </c>
      <c r="BB172" s="35">
        <f>MIN(BA172,54)</f>
        <v>54</v>
      </c>
      <c r="BC172" s="35">
        <f t="shared" si="54"/>
        <v>61.1</v>
      </c>
      <c r="BD172" s="35">
        <v>61.2</v>
      </c>
      <c r="BE172" s="35">
        <f t="shared" si="55"/>
        <v>-0.1</v>
      </c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9"/>
      <c r="BU172" s="9"/>
      <c r="BV172" s="9"/>
      <c r="BW172" s="9"/>
      <c r="BX172" s="9"/>
      <c r="BY172" s="9"/>
      <c r="BZ172" s="9"/>
      <c r="CA172" s="9"/>
      <c r="CB172" s="9"/>
      <c r="CC172" s="9"/>
      <c r="CD172" s="9"/>
      <c r="CE172" s="9"/>
      <c r="CF172" s="9"/>
      <c r="CG172" s="9"/>
      <c r="CH172" s="9"/>
      <c r="CI172" s="9"/>
      <c r="CJ172" s="9"/>
      <c r="CK172" s="9"/>
      <c r="CL172" s="9"/>
      <c r="CM172" s="9"/>
      <c r="CN172" s="9"/>
      <c r="CO172" s="9"/>
      <c r="CP172" s="9"/>
      <c r="CQ172" s="10"/>
      <c r="CR172" s="9"/>
      <c r="CS172" s="9"/>
      <c r="CT172" s="9"/>
      <c r="CU172" s="9"/>
      <c r="CV172" s="9"/>
      <c r="CW172" s="9"/>
      <c r="CX172" s="9"/>
      <c r="CY172" s="9"/>
      <c r="CZ172" s="9"/>
      <c r="DA172" s="9"/>
      <c r="DB172" s="9"/>
      <c r="DC172" s="9"/>
      <c r="DD172" s="9"/>
      <c r="DE172" s="9"/>
      <c r="DF172" s="9"/>
      <c r="DG172" s="9"/>
      <c r="DH172" s="9"/>
      <c r="DI172" s="9"/>
      <c r="DJ172" s="9"/>
      <c r="DK172" s="9"/>
      <c r="DL172" s="9"/>
      <c r="DM172" s="9"/>
      <c r="DN172" s="9"/>
      <c r="DO172" s="9"/>
      <c r="DP172" s="9"/>
      <c r="DQ172" s="9"/>
      <c r="DR172" s="9"/>
      <c r="DS172" s="10"/>
      <c r="DT172" s="9"/>
      <c r="DU172" s="9"/>
      <c r="DV172" s="9"/>
      <c r="DW172" s="9"/>
      <c r="DX172" s="9"/>
      <c r="DY172" s="9"/>
      <c r="DZ172" s="9"/>
      <c r="EA172" s="9"/>
      <c r="EB172" s="9"/>
      <c r="EC172" s="9"/>
      <c r="ED172" s="9"/>
      <c r="EE172" s="9"/>
      <c r="EF172" s="9"/>
      <c r="EG172" s="9"/>
      <c r="EH172" s="9"/>
      <c r="EI172" s="9"/>
      <c r="EJ172" s="9"/>
      <c r="EK172" s="9"/>
      <c r="EL172" s="9"/>
      <c r="EM172" s="9"/>
      <c r="EN172" s="9"/>
      <c r="EO172" s="9"/>
      <c r="EP172" s="9"/>
      <c r="EQ172" s="9"/>
      <c r="ER172" s="9"/>
      <c r="ES172" s="9"/>
      <c r="ET172" s="9"/>
      <c r="EU172" s="10"/>
      <c r="EV172" s="9"/>
      <c r="EW172" s="9"/>
      <c r="EX172" s="9"/>
      <c r="EY172" s="9"/>
      <c r="EZ172" s="9"/>
      <c r="FA172" s="9"/>
      <c r="FB172" s="9"/>
      <c r="FC172" s="9"/>
      <c r="FD172" s="9"/>
      <c r="FE172" s="9"/>
      <c r="FF172" s="9"/>
      <c r="FG172" s="9"/>
      <c r="FH172" s="9"/>
      <c r="FI172" s="9"/>
      <c r="FJ172" s="9"/>
      <c r="FK172" s="9"/>
      <c r="FL172" s="9"/>
      <c r="FM172" s="9"/>
      <c r="FN172" s="9"/>
      <c r="FO172" s="9"/>
      <c r="FP172" s="9"/>
      <c r="FQ172" s="9"/>
      <c r="FR172" s="9"/>
      <c r="FS172" s="9"/>
      <c r="FT172" s="9"/>
      <c r="FU172" s="9"/>
      <c r="FV172" s="9"/>
      <c r="FW172" s="10"/>
      <c r="FX172" s="9"/>
      <c r="FY172" s="9"/>
      <c r="FZ172" s="9"/>
      <c r="GA172" s="9"/>
      <c r="GB172" s="9"/>
      <c r="GC172" s="9"/>
      <c r="GD172" s="9"/>
      <c r="GE172" s="9"/>
      <c r="GF172" s="9"/>
      <c r="GG172" s="9"/>
      <c r="GH172" s="9"/>
      <c r="GI172" s="9"/>
      <c r="GJ172" s="9"/>
      <c r="GK172" s="9"/>
      <c r="GL172" s="9"/>
      <c r="GM172" s="9"/>
      <c r="GN172" s="9"/>
      <c r="GO172" s="9"/>
      <c r="GP172" s="9"/>
      <c r="GQ172" s="9"/>
      <c r="GR172" s="9"/>
      <c r="GS172" s="9"/>
      <c r="GT172" s="9"/>
      <c r="GU172" s="9"/>
      <c r="GV172" s="9"/>
      <c r="GW172" s="9"/>
      <c r="GX172" s="9"/>
      <c r="GY172" s="10"/>
      <c r="GZ172" s="9"/>
      <c r="HA172" s="9"/>
    </row>
    <row r="173" spans="1:209" s="2" customFormat="1" ht="17" customHeight="1">
      <c r="A173" s="14" t="s">
        <v>170</v>
      </c>
      <c r="B173" s="35">
        <v>64810</v>
      </c>
      <c r="C173" s="35">
        <v>65050.7</v>
      </c>
      <c r="D173" s="4">
        <f t="shared" si="42"/>
        <v>1.0037139330350253</v>
      </c>
      <c r="E173" s="11">
        <v>10</v>
      </c>
      <c r="F173" s="5" t="s">
        <v>362</v>
      </c>
      <c r="G173" s="5" t="s">
        <v>362</v>
      </c>
      <c r="H173" s="5" t="s">
        <v>362</v>
      </c>
      <c r="I173" s="5" t="s">
        <v>362</v>
      </c>
      <c r="J173" s="5" t="s">
        <v>362</v>
      </c>
      <c r="K173" s="5" t="s">
        <v>362</v>
      </c>
      <c r="L173" s="5" t="s">
        <v>362</v>
      </c>
      <c r="M173" s="5" t="s">
        <v>362</v>
      </c>
      <c r="N173" s="35">
        <v>3145.7</v>
      </c>
      <c r="O173" s="35">
        <v>2092</v>
      </c>
      <c r="P173" s="4">
        <f t="shared" si="43"/>
        <v>0.66503480942238613</v>
      </c>
      <c r="Q173" s="11">
        <v>20</v>
      </c>
      <c r="R173" s="35">
        <v>160.69999999999999</v>
      </c>
      <c r="S173" s="35">
        <v>202</v>
      </c>
      <c r="T173" s="4">
        <f t="shared" si="44"/>
        <v>1.2057000622277536</v>
      </c>
      <c r="U173" s="11">
        <v>25</v>
      </c>
      <c r="V173" s="35">
        <v>7.2</v>
      </c>
      <c r="W173" s="35">
        <v>7.6</v>
      </c>
      <c r="X173" s="4">
        <f t="shared" si="45"/>
        <v>1.0555555555555556</v>
      </c>
      <c r="Y173" s="11">
        <v>25</v>
      </c>
      <c r="Z173" s="35">
        <v>148170</v>
      </c>
      <c r="AA173" s="35">
        <v>141451</v>
      </c>
      <c r="AB173" s="4">
        <f t="shared" si="46"/>
        <v>0.95465343861780383</v>
      </c>
      <c r="AC173" s="11">
        <v>5</v>
      </c>
      <c r="AD173" s="11">
        <v>416</v>
      </c>
      <c r="AE173" s="11">
        <v>355</v>
      </c>
      <c r="AF173" s="4">
        <f t="shared" si="47"/>
        <v>0.85336538461538458</v>
      </c>
      <c r="AG173" s="11">
        <v>20</v>
      </c>
      <c r="AH173" s="5" t="s">
        <v>362</v>
      </c>
      <c r="AI173" s="5" t="s">
        <v>362</v>
      </c>
      <c r="AJ173" s="5" t="s">
        <v>362</v>
      </c>
      <c r="AK173" s="5" t="s">
        <v>362</v>
      </c>
      <c r="AL173" s="5" t="s">
        <v>362</v>
      </c>
      <c r="AM173" s="5" t="s">
        <v>362</v>
      </c>
      <c r="AN173" s="5" t="s">
        <v>362</v>
      </c>
      <c r="AO173" s="5" t="s">
        <v>362</v>
      </c>
      <c r="AP173" s="44">
        <f t="shared" si="56"/>
        <v>0.96866476998835638</v>
      </c>
      <c r="AQ173" s="45">
        <v>2139</v>
      </c>
      <c r="AR173" s="35">
        <f t="shared" si="48"/>
        <v>583.36363636363637</v>
      </c>
      <c r="AS173" s="35">
        <f t="shared" si="49"/>
        <v>565.1</v>
      </c>
      <c r="AT173" s="35">
        <f t="shared" si="50"/>
        <v>-18.263636363636351</v>
      </c>
      <c r="AU173" s="35">
        <v>216.7</v>
      </c>
      <c r="AV173" s="35">
        <v>210.3</v>
      </c>
      <c r="AW173" s="35">
        <f t="shared" si="51"/>
        <v>138.1</v>
      </c>
      <c r="AX173" s="35"/>
      <c r="AY173" s="35">
        <f t="shared" si="52"/>
        <v>138.1</v>
      </c>
      <c r="AZ173" s="35">
        <v>0</v>
      </c>
      <c r="BA173" s="35">
        <f t="shared" si="53"/>
        <v>138.1</v>
      </c>
      <c r="BB173" s="35">
        <f>MIN(BA173,21.2)</f>
        <v>21.2</v>
      </c>
      <c r="BC173" s="35">
        <f t="shared" si="54"/>
        <v>116.9</v>
      </c>
      <c r="BD173" s="35">
        <v>117.3</v>
      </c>
      <c r="BE173" s="35">
        <f t="shared" si="55"/>
        <v>-0.4</v>
      </c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9"/>
      <c r="BU173" s="9"/>
      <c r="BV173" s="9"/>
      <c r="BW173" s="9"/>
      <c r="BX173" s="9"/>
      <c r="BY173" s="9"/>
      <c r="BZ173" s="9"/>
      <c r="CA173" s="9"/>
      <c r="CB173" s="9"/>
      <c r="CC173" s="9"/>
      <c r="CD173" s="9"/>
      <c r="CE173" s="9"/>
      <c r="CF173" s="9"/>
      <c r="CG173" s="9"/>
      <c r="CH173" s="9"/>
      <c r="CI173" s="9"/>
      <c r="CJ173" s="9"/>
      <c r="CK173" s="9"/>
      <c r="CL173" s="9"/>
      <c r="CM173" s="9"/>
      <c r="CN173" s="9"/>
      <c r="CO173" s="9"/>
      <c r="CP173" s="9"/>
      <c r="CQ173" s="10"/>
      <c r="CR173" s="9"/>
      <c r="CS173" s="9"/>
      <c r="CT173" s="9"/>
      <c r="CU173" s="9"/>
      <c r="CV173" s="9"/>
      <c r="CW173" s="9"/>
      <c r="CX173" s="9"/>
      <c r="CY173" s="9"/>
      <c r="CZ173" s="9"/>
      <c r="DA173" s="9"/>
      <c r="DB173" s="9"/>
      <c r="DC173" s="9"/>
      <c r="DD173" s="9"/>
      <c r="DE173" s="9"/>
      <c r="DF173" s="9"/>
      <c r="DG173" s="9"/>
      <c r="DH173" s="9"/>
      <c r="DI173" s="9"/>
      <c r="DJ173" s="9"/>
      <c r="DK173" s="9"/>
      <c r="DL173" s="9"/>
      <c r="DM173" s="9"/>
      <c r="DN173" s="9"/>
      <c r="DO173" s="9"/>
      <c r="DP173" s="9"/>
      <c r="DQ173" s="9"/>
      <c r="DR173" s="9"/>
      <c r="DS173" s="10"/>
      <c r="DT173" s="9"/>
      <c r="DU173" s="9"/>
      <c r="DV173" s="9"/>
      <c r="DW173" s="9"/>
      <c r="DX173" s="9"/>
      <c r="DY173" s="9"/>
      <c r="DZ173" s="9"/>
      <c r="EA173" s="9"/>
      <c r="EB173" s="9"/>
      <c r="EC173" s="9"/>
      <c r="ED173" s="9"/>
      <c r="EE173" s="9"/>
      <c r="EF173" s="9"/>
      <c r="EG173" s="9"/>
      <c r="EH173" s="9"/>
      <c r="EI173" s="9"/>
      <c r="EJ173" s="9"/>
      <c r="EK173" s="9"/>
      <c r="EL173" s="9"/>
      <c r="EM173" s="9"/>
      <c r="EN173" s="9"/>
      <c r="EO173" s="9"/>
      <c r="EP173" s="9"/>
      <c r="EQ173" s="9"/>
      <c r="ER173" s="9"/>
      <c r="ES173" s="9"/>
      <c r="ET173" s="9"/>
      <c r="EU173" s="10"/>
      <c r="EV173" s="9"/>
      <c r="EW173" s="9"/>
      <c r="EX173" s="9"/>
      <c r="EY173" s="9"/>
      <c r="EZ173" s="9"/>
      <c r="FA173" s="9"/>
      <c r="FB173" s="9"/>
      <c r="FC173" s="9"/>
      <c r="FD173" s="9"/>
      <c r="FE173" s="9"/>
      <c r="FF173" s="9"/>
      <c r="FG173" s="9"/>
      <c r="FH173" s="9"/>
      <c r="FI173" s="9"/>
      <c r="FJ173" s="9"/>
      <c r="FK173" s="9"/>
      <c r="FL173" s="9"/>
      <c r="FM173" s="9"/>
      <c r="FN173" s="9"/>
      <c r="FO173" s="9"/>
      <c r="FP173" s="9"/>
      <c r="FQ173" s="9"/>
      <c r="FR173" s="9"/>
      <c r="FS173" s="9"/>
      <c r="FT173" s="9"/>
      <c r="FU173" s="9"/>
      <c r="FV173" s="9"/>
      <c r="FW173" s="10"/>
      <c r="FX173" s="9"/>
      <c r="FY173" s="9"/>
      <c r="FZ173" s="9"/>
      <c r="GA173" s="9"/>
      <c r="GB173" s="9"/>
      <c r="GC173" s="9"/>
      <c r="GD173" s="9"/>
      <c r="GE173" s="9"/>
      <c r="GF173" s="9"/>
      <c r="GG173" s="9"/>
      <c r="GH173" s="9"/>
      <c r="GI173" s="9"/>
      <c r="GJ173" s="9"/>
      <c r="GK173" s="9"/>
      <c r="GL173" s="9"/>
      <c r="GM173" s="9"/>
      <c r="GN173" s="9"/>
      <c r="GO173" s="9"/>
      <c r="GP173" s="9"/>
      <c r="GQ173" s="9"/>
      <c r="GR173" s="9"/>
      <c r="GS173" s="9"/>
      <c r="GT173" s="9"/>
      <c r="GU173" s="9"/>
      <c r="GV173" s="9"/>
      <c r="GW173" s="9"/>
      <c r="GX173" s="9"/>
      <c r="GY173" s="10"/>
      <c r="GZ173" s="9"/>
      <c r="HA173" s="9"/>
    </row>
    <row r="174" spans="1:209" s="2" customFormat="1" ht="17" customHeight="1">
      <c r="A174" s="14" t="s">
        <v>171</v>
      </c>
      <c r="B174" s="35">
        <v>0</v>
      </c>
      <c r="C174" s="35">
        <v>0</v>
      </c>
      <c r="D174" s="4">
        <f t="shared" si="42"/>
        <v>0</v>
      </c>
      <c r="E174" s="11">
        <v>0</v>
      </c>
      <c r="F174" s="5" t="s">
        <v>362</v>
      </c>
      <c r="G174" s="5" t="s">
        <v>362</v>
      </c>
      <c r="H174" s="5" t="s">
        <v>362</v>
      </c>
      <c r="I174" s="5" t="s">
        <v>362</v>
      </c>
      <c r="J174" s="5" t="s">
        <v>362</v>
      </c>
      <c r="K174" s="5" t="s">
        <v>362</v>
      </c>
      <c r="L174" s="5" t="s">
        <v>362</v>
      </c>
      <c r="M174" s="5" t="s">
        <v>362</v>
      </c>
      <c r="N174" s="35">
        <v>234.5</v>
      </c>
      <c r="O174" s="35">
        <v>146.5</v>
      </c>
      <c r="P174" s="4">
        <f t="shared" si="43"/>
        <v>0.62473347547974412</v>
      </c>
      <c r="Q174" s="11">
        <v>20</v>
      </c>
      <c r="R174" s="35">
        <v>0</v>
      </c>
      <c r="S174" s="35">
        <v>0</v>
      </c>
      <c r="T174" s="4">
        <f t="shared" si="44"/>
        <v>1</v>
      </c>
      <c r="U174" s="11">
        <v>20</v>
      </c>
      <c r="V174" s="35">
        <v>0.8</v>
      </c>
      <c r="W174" s="35">
        <v>0.8</v>
      </c>
      <c r="X174" s="4">
        <f t="shared" si="45"/>
        <v>1</v>
      </c>
      <c r="Y174" s="11">
        <v>30</v>
      </c>
      <c r="Z174" s="35">
        <v>2370</v>
      </c>
      <c r="AA174" s="35">
        <v>2376</v>
      </c>
      <c r="AB174" s="4">
        <f t="shared" si="46"/>
        <v>1.0025316455696203</v>
      </c>
      <c r="AC174" s="11">
        <v>5</v>
      </c>
      <c r="AD174" s="11">
        <v>115</v>
      </c>
      <c r="AE174" s="11">
        <v>111</v>
      </c>
      <c r="AF174" s="4">
        <f t="shared" si="47"/>
        <v>0.9652173913043478</v>
      </c>
      <c r="AG174" s="11">
        <v>20</v>
      </c>
      <c r="AH174" s="5" t="s">
        <v>362</v>
      </c>
      <c r="AI174" s="5" t="s">
        <v>362</v>
      </c>
      <c r="AJ174" s="5" t="s">
        <v>362</v>
      </c>
      <c r="AK174" s="5" t="s">
        <v>362</v>
      </c>
      <c r="AL174" s="5" t="s">
        <v>362</v>
      </c>
      <c r="AM174" s="5" t="s">
        <v>362</v>
      </c>
      <c r="AN174" s="5" t="s">
        <v>362</v>
      </c>
      <c r="AO174" s="5" t="s">
        <v>362</v>
      </c>
      <c r="AP174" s="44">
        <f t="shared" si="56"/>
        <v>0.91380711119505209</v>
      </c>
      <c r="AQ174" s="45">
        <v>1083</v>
      </c>
      <c r="AR174" s="35">
        <f t="shared" si="48"/>
        <v>295.36363636363637</v>
      </c>
      <c r="AS174" s="35">
        <f t="shared" si="49"/>
        <v>269.89999999999998</v>
      </c>
      <c r="AT174" s="35">
        <f t="shared" si="50"/>
        <v>-25.463636363636397</v>
      </c>
      <c r="AU174" s="35">
        <v>116.6</v>
      </c>
      <c r="AV174" s="35">
        <v>83.7</v>
      </c>
      <c r="AW174" s="35">
        <f t="shared" si="51"/>
        <v>69.599999999999994</v>
      </c>
      <c r="AX174" s="35"/>
      <c r="AY174" s="35">
        <f t="shared" si="52"/>
        <v>69.599999999999994</v>
      </c>
      <c r="AZ174" s="35">
        <v>0</v>
      </c>
      <c r="BA174" s="35">
        <f t="shared" si="53"/>
        <v>69.599999999999994</v>
      </c>
      <c r="BB174" s="35">
        <f>MIN(BA174,49.2)</f>
        <v>49.2</v>
      </c>
      <c r="BC174" s="35">
        <f t="shared" si="54"/>
        <v>20.399999999999999</v>
      </c>
      <c r="BD174" s="35">
        <v>18.899999999999999</v>
      </c>
      <c r="BE174" s="35">
        <f t="shared" si="55"/>
        <v>1.5</v>
      </c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9"/>
      <c r="BU174" s="9"/>
      <c r="BV174" s="9"/>
      <c r="BW174" s="9"/>
      <c r="BX174" s="9"/>
      <c r="BY174" s="9"/>
      <c r="BZ174" s="9"/>
      <c r="CA174" s="9"/>
      <c r="CB174" s="9"/>
      <c r="CC174" s="9"/>
      <c r="CD174" s="9"/>
      <c r="CE174" s="9"/>
      <c r="CF174" s="9"/>
      <c r="CG174" s="9"/>
      <c r="CH174" s="9"/>
      <c r="CI174" s="9"/>
      <c r="CJ174" s="9"/>
      <c r="CK174" s="9"/>
      <c r="CL174" s="9"/>
      <c r="CM174" s="9"/>
      <c r="CN174" s="9"/>
      <c r="CO174" s="9"/>
      <c r="CP174" s="9"/>
      <c r="CQ174" s="10"/>
      <c r="CR174" s="9"/>
      <c r="CS174" s="9"/>
      <c r="CT174" s="9"/>
      <c r="CU174" s="9"/>
      <c r="CV174" s="9"/>
      <c r="CW174" s="9"/>
      <c r="CX174" s="9"/>
      <c r="CY174" s="9"/>
      <c r="CZ174" s="9"/>
      <c r="DA174" s="9"/>
      <c r="DB174" s="9"/>
      <c r="DC174" s="9"/>
      <c r="DD174" s="9"/>
      <c r="DE174" s="9"/>
      <c r="DF174" s="9"/>
      <c r="DG174" s="9"/>
      <c r="DH174" s="9"/>
      <c r="DI174" s="9"/>
      <c r="DJ174" s="9"/>
      <c r="DK174" s="9"/>
      <c r="DL174" s="9"/>
      <c r="DM174" s="9"/>
      <c r="DN174" s="9"/>
      <c r="DO174" s="9"/>
      <c r="DP174" s="9"/>
      <c r="DQ174" s="9"/>
      <c r="DR174" s="9"/>
      <c r="DS174" s="10"/>
      <c r="DT174" s="9"/>
      <c r="DU174" s="9"/>
      <c r="DV174" s="9"/>
      <c r="DW174" s="9"/>
      <c r="DX174" s="9"/>
      <c r="DY174" s="9"/>
      <c r="DZ174" s="9"/>
      <c r="EA174" s="9"/>
      <c r="EB174" s="9"/>
      <c r="EC174" s="9"/>
      <c r="ED174" s="9"/>
      <c r="EE174" s="9"/>
      <c r="EF174" s="9"/>
      <c r="EG174" s="9"/>
      <c r="EH174" s="9"/>
      <c r="EI174" s="9"/>
      <c r="EJ174" s="9"/>
      <c r="EK174" s="9"/>
      <c r="EL174" s="9"/>
      <c r="EM174" s="9"/>
      <c r="EN174" s="9"/>
      <c r="EO174" s="9"/>
      <c r="EP174" s="9"/>
      <c r="EQ174" s="9"/>
      <c r="ER174" s="9"/>
      <c r="ES174" s="9"/>
      <c r="ET174" s="9"/>
      <c r="EU174" s="10"/>
      <c r="EV174" s="9"/>
      <c r="EW174" s="9"/>
      <c r="EX174" s="9"/>
      <c r="EY174" s="9"/>
      <c r="EZ174" s="9"/>
      <c r="FA174" s="9"/>
      <c r="FB174" s="9"/>
      <c r="FC174" s="9"/>
      <c r="FD174" s="9"/>
      <c r="FE174" s="9"/>
      <c r="FF174" s="9"/>
      <c r="FG174" s="9"/>
      <c r="FH174" s="9"/>
      <c r="FI174" s="9"/>
      <c r="FJ174" s="9"/>
      <c r="FK174" s="9"/>
      <c r="FL174" s="9"/>
      <c r="FM174" s="9"/>
      <c r="FN174" s="9"/>
      <c r="FO174" s="9"/>
      <c r="FP174" s="9"/>
      <c r="FQ174" s="9"/>
      <c r="FR174" s="9"/>
      <c r="FS174" s="9"/>
      <c r="FT174" s="9"/>
      <c r="FU174" s="9"/>
      <c r="FV174" s="9"/>
      <c r="FW174" s="10"/>
      <c r="FX174" s="9"/>
      <c r="FY174" s="9"/>
      <c r="FZ174" s="9"/>
      <c r="GA174" s="9"/>
      <c r="GB174" s="9"/>
      <c r="GC174" s="9"/>
      <c r="GD174" s="9"/>
      <c r="GE174" s="9"/>
      <c r="GF174" s="9"/>
      <c r="GG174" s="9"/>
      <c r="GH174" s="9"/>
      <c r="GI174" s="9"/>
      <c r="GJ174" s="9"/>
      <c r="GK174" s="9"/>
      <c r="GL174" s="9"/>
      <c r="GM174" s="9"/>
      <c r="GN174" s="9"/>
      <c r="GO174" s="9"/>
      <c r="GP174" s="9"/>
      <c r="GQ174" s="9"/>
      <c r="GR174" s="9"/>
      <c r="GS174" s="9"/>
      <c r="GT174" s="9"/>
      <c r="GU174" s="9"/>
      <c r="GV174" s="9"/>
      <c r="GW174" s="9"/>
      <c r="GX174" s="9"/>
      <c r="GY174" s="10"/>
      <c r="GZ174" s="9"/>
      <c r="HA174" s="9"/>
    </row>
    <row r="175" spans="1:209" s="2" customFormat="1" ht="17" customHeight="1">
      <c r="A175" s="14" t="s">
        <v>172</v>
      </c>
      <c r="B175" s="35">
        <v>0</v>
      </c>
      <c r="C175" s="35">
        <v>0</v>
      </c>
      <c r="D175" s="4">
        <f t="shared" ref="D175:D237" si="57">IF(E175=0,0,IF(B175=0,1,IF(C175&lt;0,0,IF(C175/B175&gt;1.2,IF((C175/B175-1.2)*0.1+1.2&gt;1.3,1.3,(C175/B175-1.2)*0.1+1.2),C175/B175))))</f>
        <v>0</v>
      </c>
      <c r="E175" s="11">
        <v>0</v>
      </c>
      <c r="F175" s="5" t="s">
        <v>362</v>
      </c>
      <c r="G175" s="5" t="s">
        <v>362</v>
      </c>
      <c r="H175" s="5" t="s">
        <v>362</v>
      </c>
      <c r="I175" s="5" t="s">
        <v>362</v>
      </c>
      <c r="J175" s="5" t="s">
        <v>362</v>
      </c>
      <c r="K175" s="5" t="s">
        <v>362</v>
      </c>
      <c r="L175" s="5" t="s">
        <v>362</v>
      </c>
      <c r="M175" s="5" t="s">
        <v>362</v>
      </c>
      <c r="N175" s="35">
        <v>198.7</v>
      </c>
      <c r="O175" s="35">
        <v>102.5</v>
      </c>
      <c r="P175" s="4">
        <f t="shared" ref="P175:P237" si="58">IF(Q175=0,0,IF(N175=0,1,IF(O175&lt;0,0,IF(O175/N175&gt;1.2,IF((O175/N175-1.2)*0.1+1.2&gt;1.3,1.3,(O175/N175-1.2)*0.1+1.2),O175/N175))))</f>
        <v>0.51585304479114247</v>
      </c>
      <c r="Q175" s="11">
        <v>20</v>
      </c>
      <c r="R175" s="35">
        <v>108</v>
      </c>
      <c r="S175" s="35">
        <v>67.2</v>
      </c>
      <c r="T175" s="4">
        <f t="shared" ref="T175:T237" si="59">IF(U175=0,0,IF(R175=0,1,IF(S175&lt;0,0,IF(S175/R175&gt;1.2,IF((S175/R175-1.2)*0.1+1.2&gt;1.3,1.3,(S175/R175-1.2)*0.1+1.2),S175/R175))))</f>
        <v>0.62222222222222223</v>
      </c>
      <c r="U175" s="11">
        <v>35</v>
      </c>
      <c r="V175" s="35">
        <v>2</v>
      </c>
      <c r="W175" s="35">
        <v>1.9</v>
      </c>
      <c r="X175" s="4">
        <f t="shared" ref="X175:X237" si="60">IF(Y175=0,0,IF(V175=0,1,IF(W175&lt;0,0,IF(W175/V175&gt;1.2,IF((W175/V175-1.2)*0.1+1.2&gt;1.3,1.3,(W175/V175-1.2)*0.1+1.2),W175/V175))))</f>
        <v>0.95</v>
      </c>
      <c r="Y175" s="11">
        <v>15</v>
      </c>
      <c r="Z175" s="35">
        <v>4072</v>
      </c>
      <c r="AA175" s="35">
        <v>3238</v>
      </c>
      <c r="AB175" s="4">
        <f t="shared" ref="AB175:AB237" si="61">IF(AC175=0,0,IF(Z175=0,1,IF(AA175&lt;0,0,IF(AA175/Z175&gt;1.2,IF((AA175/Z175-1.2)*0.1+1.2&gt;1.3,1.3,(AA175/Z175-1.2)*0.1+1.2),AA175/Z175))))</f>
        <v>0.79518664047151277</v>
      </c>
      <c r="AC175" s="11">
        <v>5</v>
      </c>
      <c r="AD175" s="11">
        <v>228</v>
      </c>
      <c r="AE175" s="11">
        <v>278</v>
      </c>
      <c r="AF175" s="4">
        <f t="shared" ref="AF175:AF237" si="62">IF(AG175=0,0,IF(AD175=0,1,IF(AE175&lt;0,0,IF(AE175/AD175&gt;1.2,IF((AE175/AD175-1.2)*0.1+1.2&gt;1.3,1.3,(AE175/AD175-1.2)*0.1+1.2),AE175/AD175))))</f>
        <v>1.2019298245614034</v>
      </c>
      <c r="AG175" s="11">
        <v>20</v>
      </c>
      <c r="AH175" s="5" t="s">
        <v>362</v>
      </c>
      <c r="AI175" s="5" t="s">
        <v>362</v>
      </c>
      <c r="AJ175" s="5" t="s">
        <v>362</v>
      </c>
      <c r="AK175" s="5" t="s">
        <v>362</v>
      </c>
      <c r="AL175" s="5" t="s">
        <v>362</v>
      </c>
      <c r="AM175" s="5" t="s">
        <v>362</v>
      </c>
      <c r="AN175" s="5" t="s">
        <v>362</v>
      </c>
      <c r="AO175" s="5" t="s">
        <v>362</v>
      </c>
      <c r="AP175" s="44">
        <f t="shared" si="56"/>
        <v>0.78273019333880278</v>
      </c>
      <c r="AQ175" s="45">
        <v>587</v>
      </c>
      <c r="AR175" s="35">
        <f t="shared" ref="AR175:AR237" si="63">AQ175/11*3</f>
        <v>160.09090909090909</v>
      </c>
      <c r="AS175" s="35">
        <f t="shared" ref="AS175:AS237" si="64">ROUND(AP175*AR175,1)</f>
        <v>125.3</v>
      </c>
      <c r="AT175" s="35">
        <f t="shared" ref="AT175:AT237" si="65">AS175-AR175</f>
        <v>-34.790909090909096</v>
      </c>
      <c r="AU175" s="35">
        <v>37.4</v>
      </c>
      <c r="AV175" s="35">
        <v>45.8</v>
      </c>
      <c r="AW175" s="35">
        <f t="shared" ref="AW175:AW237" si="66">ROUND(AS175-SUM(AU175:AV175),1)</f>
        <v>42.1</v>
      </c>
      <c r="AX175" s="35"/>
      <c r="AY175" s="35">
        <f t="shared" ref="AY175:AY237" si="67">IF(OR(AW175&lt;0,AX175="+"),0,AW175)</f>
        <v>42.1</v>
      </c>
      <c r="AZ175" s="35">
        <v>0</v>
      </c>
      <c r="BA175" s="35">
        <f t="shared" ref="BA175:BA237" si="68">AY175+AZ175</f>
        <v>42.1</v>
      </c>
      <c r="BB175" s="35">
        <f>MIN(BA175,26.7)</f>
        <v>26.7</v>
      </c>
      <c r="BC175" s="35">
        <f t="shared" ref="BC175:BC237" si="69">IF((BA175-BB175)&gt;0,ROUND(BA175-BB175,1),0)</f>
        <v>15.4</v>
      </c>
      <c r="BD175" s="35">
        <v>15.3</v>
      </c>
      <c r="BE175" s="35">
        <f t="shared" ref="BE175:BE237" si="70">ROUND(BC175-BD175,1)</f>
        <v>0.1</v>
      </c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9"/>
      <c r="BU175" s="9"/>
      <c r="BV175" s="9"/>
      <c r="BW175" s="9"/>
      <c r="BX175" s="9"/>
      <c r="BY175" s="9"/>
      <c r="BZ175" s="9"/>
      <c r="CA175" s="9"/>
      <c r="CB175" s="9"/>
      <c r="CC175" s="9"/>
      <c r="CD175" s="9"/>
      <c r="CE175" s="9"/>
      <c r="CF175" s="9"/>
      <c r="CG175" s="9"/>
      <c r="CH175" s="9"/>
      <c r="CI175" s="9"/>
      <c r="CJ175" s="9"/>
      <c r="CK175" s="9"/>
      <c r="CL175" s="9"/>
      <c r="CM175" s="9"/>
      <c r="CN175" s="9"/>
      <c r="CO175" s="9"/>
      <c r="CP175" s="9"/>
      <c r="CQ175" s="10"/>
      <c r="CR175" s="9"/>
      <c r="CS175" s="9"/>
      <c r="CT175" s="9"/>
      <c r="CU175" s="9"/>
      <c r="CV175" s="9"/>
      <c r="CW175" s="9"/>
      <c r="CX175" s="9"/>
      <c r="CY175" s="9"/>
      <c r="CZ175" s="9"/>
      <c r="DA175" s="9"/>
      <c r="DB175" s="9"/>
      <c r="DC175" s="9"/>
      <c r="DD175" s="9"/>
      <c r="DE175" s="9"/>
      <c r="DF175" s="9"/>
      <c r="DG175" s="9"/>
      <c r="DH175" s="9"/>
      <c r="DI175" s="9"/>
      <c r="DJ175" s="9"/>
      <c r="DK175" s="9"/>
      <c r="DL175" s="9"/>
      <c r="DM175" s="9"/>
      <c r="DN175" s="9"/>
      <c r="DO175" s="9"/>
      <c r="DP175" s="9"/>
      <c r="DQ175" s="9"/>
      <c r="DR175" s="9"/>
      <c r="DS175" s="10"/>
      <c r="DT175" s="9"/>
      <c r="DU175" s="9"/>
      <c r="DV175" s="9"/>
      <c r="DW175" s="9"/>
      <c r="DX175" s="9"/>
      <c r="DY175" s="9"/>
      <c r="DZ175" s="9"/>
      <c r="EA175" s="9"/>
      <c r="EB175" s="9"/>
      <c r="EC175" s="9"/>
      <c r="ED175" s="9"/>
      <c r="EE175" s="9"/>
      <c r="EF175" s="9"/>
      <c r="EG175" s="9"/>
      <c r="EH175" s="9"/>
      <c r="EI175" s="9"/>
      <c r="EJ175" s="9"/>
      <c r="EK175" s="9"/>
      <c r="EL175" s="9"/>
      <c r="EM175" s="9"/>
      <c r="EN175" s="9"/>
      <c r="EO175" s="9"/>
      <c r="EP175" s="9"/>
      <c r="EQ175" s="9"/>
      <c r="ER175" s="9"/>
      <c r="ES175" s="9"/>
      <c r="ET175" s="9"/>
      <c r="EU175" s="10"/>
      <c r="EV175" s="9"/>
      <c r="EW175" s="9"/>
      <c r="EX175" s="9"/>
      <c r="EY175" s="9"/>
      <c r="EZ175" s="9"/>
      <c r="FA175" s="9"/>
      <c r="FB175" s="9"/>
      <c r="FC175" s="9"/>
      <c r="FD175" s="9"/>
      <c r="FE175" s="9"/>
      <c r="FF175" s="9"/>
      <c r="FG175" s="9"/>
      <c r="FH175" s="9"/>
      <c r="FI175" s="9"/>
      <c r="FJ175" s="9"/>
      <c r="FK175" s="9"/>
      <c r="FL175" s="9"/>
      <c r="FM175" s="9"/>
      <c r="FN175" s="9"/>
      <c r="FO175" s="9"/>
      <c r="FP175" s="9"/>
      <c r="FQ175" s="9"/>
      <c r="FR175" s="9"/>
      <c r="FS175" s="9"/>
      <c r="FT175" s="9"/>
      <c r="FU175" s="9"/>
      <c r="FV175" s="9"/>
      <c r="FW175" s="10"/>
      <c r="FX175" s="9"/>
      <c r="FY175" s="9"/>
      <c r="FZ175" s="9"/>
      <c r="GA175" s="9"/>
      <c r="GB175" s="9"/>
      <c r="GC175" s="9"/>
      <c r="GD175" s="9"/>
      <c r="GE175" s="9"/>
      <c r="GF175" s="9"/>
      <c r="GG175" s="9"/>
      <c r="GH175" s="9"/>
      <c r="GI175" s="9"/>
      <c r="GJ175" s="9"/>
      <c r="GK175" s="9"/>
      <c r="GL175" s="9"/>
      <c r="GM175" s="9"/>
      <c r="GN175" s="9"/>
      <c r="GO175" s="9"/>
      <c r="GP175" s="9"/>
      <c r="GQ175" s="9"/>
      <c r="GR175" s="9"/>
      <c r="GS175" s="9"/>
      <c r="GT175" s="9"/>
      <c r="GU175" s="9"/>
      <c r="GV175" s="9"/>
      <c r="GW175" s="9"/>
      <c r="GX175" s="9"/>
      <c r="GY175" s="10"/>
      <c r="GZ175" s="9"/>
      <c r="HA175" s="9"/>
    </row>
    <row r="176" spans="1:209" s="2" customFormat="1" ht="17" customHeight="1">
      <c r="A176" s="14" t="s">
        <v>173</v>
      </c>
      <c r="B176" s="35">
        <v>0</v>
      </c>
      <c r="C176" s="35">
        <v>0</v>
      </c>
      <c r="D176" s="4">
        <f t="shared" si="57"/>
        <v>0</v>
      </c>
      <c r="E176" s="11">
        <v>0</v>
      </c>
      <c r="F176" s="5" t="s">
        <v>362</v>
      </c>
      <c r="G176" s="5" t="s">
        <v>362</v>
      </c>
      <c r="H176" s="5" t="s">
        <v>362</v>
      </c>
      <c r="I176" s="5" t="s">
        <v>362</v>
      </c>
      <c r="J176" s="5" t="s">
        <v>362</v>
      </c>
      <c r="K176" s="5" t="s">
        <v>362</v>
      </c>
      <c r="L176" s="5" t="s">
        <v>362</v>
      </c>
      <c r="M176" s="5" t="s">
        <v>362</v>
      </c>
      <c r="N176" s="35">
        <v>451</v>
      </c>
      <c r="O176" s="35">
        <v>301.5</v>
      </c>
      <c r="P176" s="4">
        <f t="shared" si="58"/>
        <v>0.66851441241685139</v>
      </c>
      <c r="Q176" s="11">
        <v>20</v>
      </c>
      <c r="R176" s="35">
        <v>0</v>
      </c>
      <c r="S176" s="35">
        <v>0</v>
      </c>
      <c r="T176" s="4">
        <f t="shared" si="59"/>
        <v>1</v>
      </c>
      <c r="U176" s="11">
        <v>20</v>
      </c>
      <c r="V176" s="35">
        <v>1.2</v>
      </c>
      <c r="W176" s="35">
        <v>1.3</v>
      </c>
      <c r="X176" s="4">
        <f t="shared" si="60"/>
        <v>1.0833333333333335</v>
      </c>
      <c r="Y176" s="11">
        <v>30</v>
      </c>
      <c r="Z176" s="35">
        <v>3277</v>
      </c>
      <c r="AA176" s="35">
        <v>2204</v>
      </c>
      <c r="AB176" s="4">
        <f t="shared" si="61"/>
        <v>0.67256637168141598</v>
      </c>
      <c r="AC176" s="11">
        <v>5</v>
      </c>
      <c r="AD176" s="11">
        <v>70</v>
      </c>
      <c r="AE176" s="11">
        <v>69</v>
      </c>
      <c r="AF176" s="4">
        <f t="shared" si="62"/>
        <v>0.98571428571428577</v>
      </c>
      <c r="AG176" s="11">
        <v>20</v>
      </c>
      <c r="AH176" s="5" t="s">
        <v>362</v>
      </c>
      <c r="AI176" s="5" t="s">
        <v>362</v>
      </c>
      <c r="AJ176" s="5" t="s">
        <v>362</v>
      </c>
      <c r="AK176" s="5" t="s">
        <v>362</v>
      </c>
      <c r="AL176" s="5" t="s">
        <v>362</v>
      </c>
      <c r="AM176" s="5" t="s">
        <v>362</v>
      </c>
      <c r="AN176" s="5" t="s">
        <v>362</v>
      </c>
      <c r="AO176" s="5" t="s">
        <v>362</v>
      </c>
      <c r="AP176" s="44">
        <f t="shared" ref="AP176:AP239" si="71">(D176*E176+P176*Q176+T176*U176+X176*Y176+AB176*AC176+AF176*AG176)/(E176+Q176+U176+Y176+AC176+AG176)</f>
        <v>0.93628848232662987</v>
      </c>
      <c r="AQ176" s="45">
        <v>687</v>
      </c>
      <c r="AR176" s="35">
        <f t="shared" si="63"/>
        <v>187.36363636363637</v>
      </c>
      <c r="AS176" s="35">
        <f t="shared" si="64"/>
        <v>175.4</v>
      </c>
      <c r="AT176" s="35">
        <f t="shared" si="65"/>
        <v>-11.963636363636368</v>
      </c>
      <c r="AU176" s="35">
        <v>62.4</v>
      </c>
      <c r="AV176" s="35">
        <v>26.8</v>
      </c>
      <c r="AW176" s="35">
        <f t="shared" si="66"/>
        <v>86.2</v>
      </c>
      <c r="AX176" s="35"/>
      <c r="AY176" s="35">
        <f t="shared" si="67"/>
        <v>86.2</v>
      </c>
      <c r="AZ176" s="35">
        <v>0</v>
      </c>
      <c r="BA176" s="35">
        <f t="shared" si="68"/>
        <v>86.2</v>
      </c>
      <c r="BB176" s="35">
        <f>MIN(BA176,30.4)</f>
        <v>30.4</v>
      </c>
      <c r="BC176" s="35">
        <f t="shared" si="69"/>
        <v>55.8</v>
      </c>
      <c r="BD176" s="35">
        <v>58.6</v>
      </c>
      <c r="BE176" s="35">
        <f t="shared" si="70"/>
        <v>-2.8</v>
      </c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9"/>
      <c r="BU176" s="9"/>
      <c r="BV176" s="9"/>
      <c r="BW176" s="9"/>
      <c r="BX176" s="9"/>
      <c r="BY176" s="9"/>
      <c r="BZ176" s="9"/>
      <c r="CA176" s="9"/>
      <c r="CB176" s="9"/>
      <c r="CC176" s="9"/>
      <c r="CD176" s="9"/>
      <c r="CE176" s="9"/>
      <c r="CF176" s="9"/>
      <c r="CG176" s="9"/>
      <c r="CH176" s="9"/>
      <c r="CI176" s="9"/>
      <c r="CJ176" s="9"/>
      <c r="CK176" s="9"/>
      <c r="CL176" s="9"/>
      <c r="CM176" s="9"/>
      <c r="CN176" s="9"/>
      <c r="CO176" s="9"/>
      <c r="CP176" s="9"/>
      <c r="CQ176" s="10"/>
      <c r="CR176" s="9"/>
      <c r="CS176" s="9"/>
      <c r="CT176" s="9"/>
      <c r="CU176" s="9"/>
      <c r="CV176" s="9"/>
      <c r="CW176" s="9"/>
      <c r="CX176" s="9"/>
      <c r="CY176" s="9"/>
      <c r="CZ176" s="9"/>
      <c r="DA176" s="9"/>
      <c r="DB176" s="9"/>
      <c r="DC176" s="9"/>
      <c r="DD176" s="9"/>
      <c r="DE176" s="9"/>
      <c r="DF176" s="9"/>
      <c r="DG176" s="9"/>
      <c r="DH176" s="9"/>
      <c r="DI176" s="9"/>
      <c r="DJ176" s="9"/>
      <c r="DK176" s="9"/>
      <c r="DL176" s="9"/>
      <c r="DM176" s="9"/>
      <c r="DN176" s="9"/>
      <c r="DO176" s="9"/>
      <c r="DP176" s="9"/>
      <c r="DQ176" s="9"/>
      <c r="DR176" s="9"/>
      <c r="DS176" s="10"/>
      <c r="DT176" s="9"/>
      <c r="DU176" s="9"/>
      <c r="DV176" s="9"/>
      <c r="DW176" s="9"/>
      <c r="DX176" s="9"/>
      <c r="DY176" s="9"/>
      <c r="DZ176" s="9"/>
      <c r="EA176" s="9"/>
      <c r="EB176" s="9"/>
      <c r="EC176" s="9"/>
      <c r="ED176" s="9"/>
      <c r="EE176" s="9"/>
      <c r="EF176" s="9"/>
      <c r="EG176" s="9"/>
      <c r="EH176" s="9"/>
      <c r="EI176" s="9"/>
      <c r="EJ176" s="9"/>
      <c r="EK176" s="9"/>
      <c r="EL176" s="9"/>
      <c r="EM176" s="9"/>
      <c r="EN176" s="9"/>
      <c r="EO176" s="9"/>
      <c r="EP176" s="9"/>
      <c r="EQ176" s="9"/>
      <c r="ER176" s="9"/>
      <c r="ES176" s="9"/>
      <c r="ET176" s="9"/>
      <c r="EU176" s="10"/>
      <c r="EV176" s="9"/>
      <c r="EW176" s="9"/>
      <c r="EX176" s="9"/>
      <c r="EY176" s="9"/>
      <c r="EZ176" s="9"/>
      <c r="FA176" s="9"/>
      <c r="FB176" s="9"/>
      <c r="FC176" s="9"/>
      <c r="FD176" s="9"/>
      <c r="FE176" s="9"/>
      <c r="FF176" s="9"/>
      <c r="FG176" s="9"/>
      <c r="FH176" s="9"/>
      <c r="FI176" s="9"/>
      <c r="FJ176" s="9"/>
      <c r="FK176" s="9"/>
      <c r="FL176" s="9"/>
      <c r="FM176" s="9"/>
      <c r="FN176" s="9"/>
      <c r="FO176" s="9"/>
      <c r="FP176" s="9"/>
      <c r="FQ176" s="9"/>
      <c r="FR176" s="9"/>
      <c r="FS176" s="9"/>
      <c r="FT176" s="9"/>
      <c r="FU176" s="9"/>
      <c r="FV176" s="9"/>
      <c r="FW176" s="10"/>
      <c r="FX176" s="9"/>
      <c r="FY176" s="9"/>
      <c r="FZ176" s="9"/>
      <c r="GA176" s="9"/>
      <c r="GB176" s="9"/>
      <c r="GC176" s="9"/>
      <c r="GD176" s="9"/>
      <c r="GE176" s="9"/>
      <c r="GF176" s="9"/>
      <c r="GG176" s="9"/>
      <c r="GH176" s="9"/>
      <c r="GI176" s="9"/>
      <c r="GJ176" s="9"/>
      <c r="GK176" s="9"/>
      <c r="GL176" s="9"/>
      <c r="GM176" s="9"/>
      <c r="GN176" s="9"/>
      <c r="GO176" s="9"/>
      <c r="GP176" s="9"/>
      <c r="GQ176" s="9"/>
      <c r="GR176" s="9"/>
      <c r="GS176" s="9"/>
      <c r="GT176" s="9"/>
      <c r="GU176" s="9"/>
      <c r="GV176" s="9"/>
      <c r="GW176" s="9"/>
      <c r="GX176" s="9"/>
      <c r="GY176" s="10"/>
      <c r="GZ176" s="9"/>
      <c r="HA176" s="9"/>
    </row>
    <row r="177" spans="1:209" s="2" customFormat="1" ht="17" customHeight="1">
      <c r="A177" s="14" t="s">
        <v>174</v>
      </c>
      <c r="B177" s="35">
        <v>0</v>
      </c>
      <c r="C177" s="35">
        <v>0</v>
      </c>
      <c r="D177" s="4">
        <f t="shared" si="57"/>
        <v>0</v>
      </c>
      <c r="E177" s="11">
        <v>0</v>
      </c>
      <c r="F177" s="5" t="s">
        <v>362</v>
      </c>
      <c r="G177" s="5" t="s">
        <v>362</v>
      </c>
      <c r="H177" s="5" t="s">
        <v>362</v>
      </c>
      <c r="I177" s="5" t="s">
        <v>362</v>
      </c>
      <c r="J177" s="5" t="s">
        <v>362</v>
      </c>
      <c r="K177" s="5" t="s">
        <v>362</v>
      </c>
      <c r="L177" s="5" t="s">
        <v>362</v>
      </c>
      <c r="M177" s="5" t="s">
        <v>362</v>
      </c>
      <c r="N177" s="35">
        <v>750.6</v>
      </c>
      <c r="O177" s="35">
        <v>263.89999999999998</v>
      </c>
      <c r="P177" s="4">
        <f t="shared" si="58"/>
        <v>0.35158539834798824</v>
      </c>
      <c r="Q177" s="11">
        <v>20</v>
      </c>
      <c r="R177" s="35">
        <v>43.5</v>
      </c>
      <c r="S177" s="35">
        <v>79.900000000000006</v>
      </c>
      <c r="T177" s="4">
        <f t="shared" si="59"/>
        <v>1.2636781609195402</v>
      </c>
      <c r="U177" s="11">
        <v>20</v>
      </c>
      <c r="V177" s="35">
        <v>16.5</v>
      </c>
      <c r="W177" s="35">
        <v>10.3</v>
      </c>
      <c r="X177" s="4">
        <f t="shared" si="60"/>
        <v>0.62424242424242427</v>
      </c>
      <c r="Y177" s="11">
        <v>30</v>
      </c>
      <c r="Z177" s="35">
        <v>6283</v>
      </c>
      <c r="AA177" s="35">
        <v>4699</v>
      </c>
      <c r="AB177" s="4">
        <f t="shared" si="61"/>
        <v>0.74789113480821268</v>
      </c>
      <c r="AC177" s="11">
        <v>5</v>
      </c>
      <c r="AD177" s="11">
        <v>272</v>
      </c>
      <c r="AE177" s="11">
        <v>272</v>
      </c>
      <c r="AF177" s="4">
        <f t="shared" si="62"/>
        <v>1</v>
      </c>
      <c r="AG177" s="11">
        <v>20</v>
      </c>
      <c r="AH177" s="5" t="s">
        <v>362</v>
      </c>
      <c r="AI177" s="5" t="s">
        <v>362</v>
      </c>
      <c r="AJ177" s="5" t="s">
        <v>362</v>
      </c>
      <c r="AK177" s="5" t="s">
        <v>362</v>
      </c>
      <c r="AL177" s="5" t="s">
        <v>362</v>
      </c>
      <c r="AM177" s="5" t="s">
        <v>362</v>
      </c>
      <c r="AN177" s="5" t="s">
        <v>362</v>
      </c>
      <c r="AO177" s="5" t="s">
        <v>362</v>
      </c>
      <c r="AP177" s="44">
        <f t="shared" si="71"/>
        <v>0.78707367985962473</v>
      </c>
      <c r="AQ177" s="45">
        <v>1394</v>
      </c>
      <c r="AR177" s="35">
        <f t="shared" si="63"/>
        <v>380.18181818181819</v>
      </c>
      <c r="AS177" s="35">
        <f t="shared" si="64"/>
        <v>299.2</v>
      </c>
      <c r="AT177" s="35">
        <f t="shared" si="65"/>
        <v>-80.981818181818198</v>
      </c>
      <c r="AU177" s="35">
        <v>83.4</v>
      </c>
      <c r="AV177" s="35">
        <v>89.1</v>
      </c>
      <c r="AW177" s="35">
        <f t="shared" si="66"/>
        <v>126.7</v>
      </c>
      <c r="AX177" s="35"/>
      <c r="AY177" s="35">
        <f t="shared" si="67"/>
        <v>126.7</v>
      </c>
      <c r="AZ177" s="35">
        <v>0</v>
      </c>
      <c r="BA177" s="35">
        <f t="shared" si="68"/>
        <v>126.7</v>
      </c>
      <c r="BB177" s="35"/>
      <c r="BC177" s="35">
        <f t="shared" si="69"/>
        <v>126.7</v>
      </c>
      <c r="BD177" s="35">
        <v>127.6</v>
      </c>
      <c r="BE177" s="35">
        <f t="shared" si="70"/>
        <v>-0.9</v>
      </c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9"/>
      <c r="BU177" s="9"/>
      <c r="BV177" s="9"/>
      <c r="BW177" s="9"/>
      <c r="BX177" s="9"/>
      <c r="BY177" s="9"/>
      <c r="BZ177" s="9"/>
      <c r="CA177" s="9"/>
      <c r="CB177" s="9"/>
      <c r="CC177" s="9"/>
      <c r="CD177" s="9"/>
      <c r="CE177" s="9"/>
      <c r="CF177" s="9"/>
      <c r="CG177" s="9"/>
      <c r="CH177" s="9"/>
      <c r="CI177" s="9"/>
      <c r="CJ177" s="9"/>
      <c r="CK177" s="9"/>
      <c r="CL177" s="9"/>
      <c r="CM177" s="9"/>
      <c r="CN177" s="9"/>
      <c r="CO177" s="9"/>
      <c r="CP177" s="9"/>
      <c r="CQ177" s="10"/>
      <c r="CR177" s="9"/>
      <c r="CS177" s="9"/>
      <c r="CT177" s="9"/>
      <c r="CU177" s="9"/>
      <c r="CV177" s="9"/>
      <c r="CW177" s="9"/>
      <c r="CX177" s="9"/>
      <c r="CY177" s="9"/>
      <c r="CZ177" s="9"/>
      <c r="DA177" s="9"/>
      <c r="DB177" s="9"/>
      <c r="DC177" s="9"/>
      <c r="DD177" s="9"/>
      <c r="DE177" s="9"/>
      <c r="DF177" s="9"/>
      <c r="DG177" s="9"/>
      <c r="DH177" s="9"/>
      <c r="DI177" s="9"/>
      <c r="DJ177" s="9"/>
      <c r="DK177" s="9"/>
      <c r="DL177" s="9"/>
      <c r="DM177" s="9"/>
      <c r="DN177" s="9"/>
      <c r="DO177" s="9"/>
      <c r="DP177" s="9"/>
      <c r="DQ177" s="9"/>
      <c r="DR177" s="9"/>
      <c r="DS177" s="10"/>
      <c r="DT177" s="9"/>
      <c r="DU177" s="9"/>
      <c r="DV177" s="9"/>
      <c r="DW177" s="9"/>
      <c r="DX177" s="9"/>
      <c r="DY177" s="9"/>
      <c r="DZ177" s="9"/>
      <c r="EA177" s="9"/>
      <c r="EB177" s="9"/>
      <c r="EC177" s="9"/>
      <c r="ED177" s="9"/>
      <c r="EE177" s="9"/>
      <c r="EF177" s="9"/>
      <c r="EG177" s="9"/>
      <c r="EH177" s="9"/>
      <c r="EI177" s="9"/>
      <c r="EJ177" s="9"/>
      <c r="EK177" s="9"/>
      <c r="EL177" s="9"/>
      <c r="EM177" s="9"/>
      <c r="EN177" s="9"/>
      <c r="EO177" s="9"/>
      <c r="EP177" s="9"/>
      <c r="EQ177" s="9"/>
      <c r="ER177" s="9"/>
      <c r="ES177" s="9"/>
      <c r="ET177" s="9"/>
      <c r="EU177" s="10"/>
      <c r="EV177" s="9"/>
      <c r="EW177" s="9"/>
      <c r="EX177" s="9"/>
      <c r="EY177" s="9"/>
      <c r="EZ177" s="9"/>
      <c r="FA177" s="9"/>
      <c r="FB177" s="9"/>
      <c r="FC177" s="9"/>
      <c r="FD177" s="9"/>
      <c r="FE177" s="9"/>
      <c r="FF177" s="9"/>
      <c r="FG177" s="9"/>
      <c r="FH177" s="9"/>
      <c r="FI177" s="9"/>
      <c r="FJ177" s="9"/>
      <c r="FK177" s="9"/>
      <c r="FL177" s="9"/>
      <c r="FM177" s="9"/>
      <c r="FN177" s="9"/>
      <c r="FO177" s="9"/>
      <c r="FP177" s="9"/>
      <c r="FQ177" s="9"/>
      <c r="FR177" s="9"/>
      <c r="FS177" s="9"/>
      <c r="FT177" s="9"/>
      <c r="FU177" s="9"/>
      <c r="FV177" s="9"/>
      <c r="FW177" s="10"/>
      <c r="FX177" s="9"/>
      <c r="FY177" s="9"/>
      <c r="FZ177" s="9"/>
      <c r="GA177" s="9"/>
      <c r="GB177" s="9"/>
      <c r="GC177" s="9"/>
      <c r="GD177" s="9"/>
      <c r="GE177" s="9"/>
      <c r="GF177" s="9"/>
      <c r="GG177" s="9"/>
      <c r="GH177" s="9"/>
      <c r="GI177" s="9"/>
      <c r="GJ177" s="9"/>
      <c r="GK177" s="9"/>
      <c r="GL177" s="9"/>
      <c r="GM177" s="9"/>
      <c r="GN177" s="9"/>
      <c r="GO177" s="9"/>
      <c r="GP177" s="9"/>
      <c r="GQ177" s="9"/>
      <c r="GR177" s="9"/>
      <c r="GS177" s="9"/>
      <c r="GT177" s="9"/>
      <c r="GU177" s="9"/>
      <c r="GV177" s="9"/>
      <c r="GW177" s="9"/>
      <c r="GX177" s="9"/>
      <c r="GY177" s="10"/>
      <c r="GZ177" s="9"/>
      <c r="HA177" s="9"/>
    </row>
    <row r="178" spans="1:209" s="2" customFormat="1" ht="17" customHeight="1">
      <c r="A178" s="18" t="s">
        <v>175</v>
      </c>
      <c r="B178" s="6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35"/>
      <c r="AA178" s="35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  <c r="AS178" s="11"/>
      <c r="AT178" s="11"/>
      <c r="AU178" s="11"/>
      <c r="AV178" s="11"/>
      <c r="AW178" s="11"/>
      <c r="AX178" s="11"/>
      <c r="AY178" s="11"/>
      <c r="AZ178" s="11"/>
      <c r="BA178" s="11"/>
      <c r="BB178" s="11"/>
      <c r="BC178" s="35"/>
      <c r="BD178" s="35"/>
      <c r="BE178" s="35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9"/>
      <c r="BU178" s="9"/>
      <c r="BV178" s="9"/>
      <c r="BW178" s="9"/>
      <c r="BX178" s="9"/>
      <c r="BY178" s="9"/>
      <c r="BZ178" s="9"/>
      <c r="CA178" s="9"/>
      <c r="CB178" s="9"/>
      <c r="CC178" s="9"/>
      <c r="CD178" s="9"/>
      <c r="CE178" s="9"/>
      <c r="CF178" s="9"/>
      <c r="CG178" s="9"/>
      <c r="CH178" s="9"/>
      <c r="CI178" s="9"/>
      <c r="CJ178" s="9"/>
      <c r="CK178" s="9"/>
      <c r="CL178" s="9"/>
      <c r="CM178" s="9"/>
      <c r="CN178" s="9"/>
      <c r="CO178" s="9"/>
      <c r="CP178" s="9"/>
      <c r="CQ178" s="10"/>
      <c r="CR178" s="9"/>
      <c r="CS178" s="9"/>
      <c r="CT178" s="9"/>
      <c r="CU178" s="9"/>
      <c r="CV178" s="9"/>
      <c r="CW178" s="9"/>
      <c r="CX178" s="9"/>
      <c r="CY178" s="9"/>
      <c r="CZ178" s="9"/>
      <c r="DA178" s="9"/>
      <c r="DB178" s="9"/>
      <c r="DC178" s="9"/>
      <c r="DD178" s="9"/>
      <c r="DE178" s="9"/>
      <c r="DF178" s="9"/>
      <c r="DG178" s="9"/>
      <c r="DH178" s="9"/>
      <c r="DI178" s="9"/>
      <c r="DJ178" s="9"/>
      <c r="DK178" s="9"/>
      <c r="DL178" s="9"/>
      <c r="DM178" s="9"/>
      <c r="DN178" s="9"/>
      <c r="DO178" s="9"/>
      <c r="DP178" s="9"/>
      <c r="DQ178" s="9"/>
      <c r="DR178" s="9"/>
      <c r="DS178" s="10"/>
      <c r="DT178" s="9"/>
      <c r="DU178" s="9"/>
      <c r="DV178" s="9"/>
      <c r="DW178" s="9"/>
      <c r="DX178" s="9"/>
      <c r="DY178" s="9"/>
      <c r="DZ178" s="9"/>
      <c r="EA178" s="9"/>
      <c r="EB178" s="9"/>
      <c r="EC178" s="9"/>
      <c r="ED178" s="9"/>
      <c r="EE178" s="9"/>
      <c r="EF178" s="9"/>
      <c r="EG178" s="9"/>
      <c r="EH178" s="9"/>
      <c r="EI178" s="9"/>
      <c r="EJ178" s="9"/>
      <c r="EK178" s="9"/>
      <c r="EL178" s="9"/>
      <c r="EM178" s="9"/>
      <c r="EN178" s="9"/>
      <c r="EO178" s="9"/>
      <c r="EP178" s="9"/>
      <c r="EQ178" s="9"/>
      <c r="ER178" s="9"/>
      <c r="ES178" s="9"/>
      <c r="ET178" s="9"/>
      <c r="EU178" s="10"/>
      <c r="EV178" s="9"/>
      <c r="EW178" s="9"/>
      <c r="EX178" s="9"/>
      <c r="EY178" s="9"/>
      <c r="EZ178" s="9"/>
      <c r="FA178" s="9"/>
      <c r="FB178" s="9"/>
      <c r="FC178" s="9"/>
      <c r="FD178" s="9"/>
      <c r="FE178" s="9"/>
      <c r="FF178" s="9"/>
      <c r="FG178" s="9"/>
      <c r="FH178" s="9"/>
      <c r="FI178" s="9"/>
      <c r="FJ178" s="9"/>
      <c r="FK178" s="9"/>
      <c r="FL178" s="9"/>
      <c r="FM178" s="9"/>
      <c r="FN178" s="9"/>
      <c r="FO178" s="9"/>
      <c r="FP178" s="9"/>
      <c r="FQ178" s="9"/>
      <c r="FR178" s="9"/>
      <c r="FS178" s="9"/>
      <c r="FT178" s="9"/>
      <c r="FU178" s="9"/>
      <c r="FV178" s="9"/>
      <c r="FW178" s="10"/>
      <c r="FX178" s="9"/>
      <c r="FY178" s="9"/>
      <c r="FZ178" s="9"/>
      <c r="GA178" s="9"/>
      <c r="GB178" s="9"/>
      <c r="GC178" s="9"/>
      <c r="GD178" s="9"/>
      <c r="GE178" s="9"/>
      <c r="GF178" s="9"/>
      <c r="GG178" s="9"/>
      <c r="GH178" s="9"/>
      <c r="GI178" s="9"/>
      <c r="GJ178" s="9"/>
      <c r="GK178" s="9"/>
      <c r="GL178" s="9"/>
      <c r="GM178" s="9"/>
      <c r="GN178" s="9"/>
      <c r="GO178" s="9"/>
      <c r="GP178" s="9"/>
      <c r="GQ178" s="9"/>
      <c r="GR178" s="9"/>
      <c r="GS178" s="9"/>
      <c r="GT178" s="9"/>
      <c r="GU178" s="9"/>
      <c r="GV178" s="9"/>
      <c r="GW178" s="9"/>
      <c r="GX178" s="9"/>
      <c r="GY178" s="10"/>
      <c r="GZ178" s="9"/>
      <c r="HA178" s="9"/>
    </row>
    <row r="179" spans="1:209" s="2" customFormat="1" ht="17.850000000000001" customHeight="1">
      <c r="A179" s="14" t="s">
        <v>176</v>
      </c>
      <c r="B179" s="35">
        <v>0</v>
      </c>
      <c r="C179" s="35">
        <v>0</v>
      </c>
      <c r="D179" s="4">
        <f t="shared" si="57"/>
        <v>0</v>
      </c>
      <c r="E179" s="11">
        <v>0</v>
      </c>
      <c r="F179" s="5" t="s">
        <v>362</v>
      </c>
      <c r="G179" s="5" t="s">
        <v>362</v>
      </c>
      <c r="H179" s="5" t="s">
        <v>362</v>
      </c>
      <c r="I179" s="5" t="s">
        <v>362</v>
      </c>
      <c r="J179" s="5" t="s">
        <v>362</v>
      </c>
      <c r="K179" s="5" t="s">
        <v>362</v>
      </c>
      <c r="L179" s="5" t="s">
        <v>362</v>
      </c>
      <c r="M179" s="5" t="s">
        <v>362</v>
      </c>
      <c r="N179" s="35">
        <v>48.1</v>
      </c>
      <c r="O179" s="35">
        <v>28.7</v>
      </c>
      <c r="P179" s="4">
        <f t="shared" si="58"/>
        <v>0.59667359667359665</v>
      </c>
      <c r="Q179" s="11">
        <v>20</v>
      </c>
      <c r="R179" s="35">
        <v>36</v>
      </c>
      <c r="S179" s="35">
        <v>43.8</v>
      </c>
      <c r="T179" s="4">
        <f t="shared" si="59"/>
        <v>1.2016666666666667</v>
      </c>
      <c r="U179" s="11">
        <v>25</v>
      </c>
      <c r="V179" s="35">
        <v>2</v>
      </c>
      <c r="W179" s="35">
        <v>2.1</v>
      </c>
      <c r="X179" s="4">
        <f t="shared" si="60"/>
        <v>1.05</v>
      </c>
      <c r="Y179" s="11">
        <v>25</v>
      </c>
      <c r="Z179" s="35">
        <v>2419</v>
      </c>
      <c r="AA179" s="35">
        <v>2687</v>
      </c>
      <c r="AB179" s="4">
        <f t="shared" si="61"/>
        <v>1.1107895824720959</v>
      </c>
      <c r="AC179" s="11">
        <v>5</v>
      </c>
      <c r="AD179" s="11">
        <v>145</v>
      </c>
      <c r="AE179" s="11">
        <v>157</v>
      </c>
      <c r="AF179" s="4">
        <f t="shared" si="62"/>
        <v>1.0827586206896551</v>
      </c>
      <c r="AG179" s="11">
        <v>20</v>
      </c>
      <c r="AH179" s="5" t="s">
        <v>362</v>
      </c>
      <c r="AI179" s="5" t="s">
        <v>362</v>
      </c>
      <c r="AJ179" s="5" t="s">
        <v>362</v>
      </c>
      <c r="AK179" s="5" t="s">
        <v>362</v>
      </c>
      <c r="AL179" s="5" t="s">
        <v>362</v>
      </c>
      <c r="AM179" s="5" t="s">
        <v>362</v>
      </c>
      <c r="AN179" s="5" t="s">
        <v>362</v>
      </c>
      <c r="AO179" s="5" t="s">
        <v>362</v>
      </c>
      <c r="AP179" s="44">
        <f t="shared" si="71"/>
        <v>1.0045711465925493</v>
      </c>
      <c r="AQ179" s="45">
        <v>1045</v>
      </c>
      <c r="AR179" s="35">
        <f t="shared" si="63"/>
        <v>285</v>
      </c>
      <c r="AS179" s="35">
        <f t="shared" si="64"/>
        <v>286.3</v>
      </c>
      <c r="AT179" s="35">
        <f t="shared" si="65"/>
        <v>1.3000000000000114</v>
      </c>
      <c r="AU179" s="35">
        <v>100.6</v>
      </c>
      <c r="AV179" s="35">
        <v>86</v>
      </c>
      <c r="AW179" s="35">
        <f t="shared" si="66"/>
        <v>99.7</v>
      </c>
      <c r="AX179" s="35"/>
      <c r="AY179" s="35">
        <f t="shared" si="67"/>
        <v>99.7</v>
      </c>
      <c r="AZ179" s="35">
        <v>0</v>
      </c>
      <c r="BA179" s="35">
        <f t="shared" si="68"/>
        <v>99.7</v>
      </c>
      <c r="BB179" s="35">
        <f>MIN(BA179,14)</f>
        <v>14</v>
      </c>
      <c r="BC179" s="35">
        <f t="shared" si="69"/>
        <v>85.7</v>
      </c>
      <c r="BD179" s="35">
        <v>84</v>
      </c>
      <c r="BE179" s="35">
        <f t="shared" si="70"/>
        <v>1.7</v>
      </c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9"/>
      <c r="BU179" s="9"/>
      <c r="BV179" s="9"/>
      <c r="BW179" s="9"/>
      <c r="BX179" s="9"/>
      <c r="BY179" s="9"/>
      <c r="BZ179" s="9"/>
      <c r="CA179" s="9"/>
      <c r="CB179" s="9"/>
      <c r="CC179" s="9"/>
      <c r="CD179" s="9"/>
      <c r="CE179" s="9"/>
      <c r="CF179" s="9"/>
      <c r="CG179" s="9"/>
      <c r="CH179" s="9"/>
      <c r="CI179" s="9"/>
      <c r="CJ179" s="9"/>
      <c r="CK179" s="9"/>
      <c r="CL179" s="9"/>
      <c r="CM179" s="9"/>
      <c r="CN179" s="9"/>
      <c r="CO179" s="9"/>
      <c r="CP179" s="9"/>
      <c r="CQ179" s="10"/>
      <c r="CR179" s="9"/>
      <c r="CS179" s="9"/>
      <c r="CT179" s="9"/>
      <c r="CU179" s="9"/>
      <c r="CV179" s="9"/>
      <c r="CW179" s="9"/>
      <c r="CX179" s="9"/>
      <c r="CY179" s="9"/>
      <c r="CZ179" s="9"/>
      <c r="DA179" s="9"/>
      <c r="DB179" s="9"/>
      <c r="DC179" s="9"/>
      <c r="DD179" s="9"/>
      <c r="DE179" s="9"/>
      <c r="DF179" s="9"/>
      <c r="DG179" s="9"/>
      <c r="DH179" s="9"/>
      <c r="DI179" s="9"/>
      <c r="DJ179" s="9"/>
      <c r="DK179" s="9"/>
      <c r="DL179" s="9"/>
      <c r="DM179" s="9"/>
      <c r="DN179" s="9"/>
      <c r="DO179" s="9"/>
      <c r="DP179" s="9"/>
      <c r="DQ179" s="9"/>
      <c r="DR179" s="9"/>
      <c r="DS179" s="10"/>
      <c r="DT179" s="9"/>
      <c r="DU179" s="9"/>
      <c r="DV179" s="9"/>
      <c r="DW179" s="9"/>
      <c r="DX179" s="9"/>
      <c r="DY179" s="9"/>
      <c r="DZ179" s="9"/>
      <c r="EA179" s="9"/>
      <c r="EB179" s="9"/>
      <c r="EC179" s="9"/>
      <c r="ED179" s="9"/>
      <c r="EE179" s="9"/>
      <c r="EF179" s="9"/>
      <c r="EG179" s="9"/>
      <c r="EH179" s="9"/>
      <c r="EI179" s="9"/>
      <c r="EJ179" s="9"/>
      <c r="EK179" s="9"/>
      <c r="EL179" s="9"/>
      <c r="EM179" s="9"/>
      <c r="EN179" s="9"/>
      <c r="EO179" s="9"/>
      <c r="EP179" s="9"/>
      <c r="EQ179" s="9"/>
      <c r="ER179" s="9"/>
      <c r="ES179" s="9"/>
      <c r="ET179" s="9"/>
      <c r="EU179" s="10"/>
      <c r="EV179" s="9"/>
      <c r="EW179" s="9"/>
      <c r="EX179" s="9"/>
      <c r="EY179" s="9"/>
      <c r="EZ179" s="9"/>
      <c r="FA179" s="9"/>
      <c r="FB179" s="9"/>
      <c r="FC179" s="9"/>
      <c r="FD179" s="9"/>
      <c r="FE179" s="9"/>
      <c r="FF179" s="9"/>
      <c r="FG179" s="9"/>
      <c r="FH179" s="9"/>
      <c r="FI179" s="9"/>
      <c r="FJ179" s="9"/>
      <c r="FK179" s="9"/>
      <c r="FL179" s="9"/>
      <c r="FM179" s="9"/>
      <c r="FN179" s="9"/>
      <c r="FO179" s="9"/>
      <c r="FP179" s="9"/>
      <c r="FQ179" s="9"/>
      <c r="FR179" s="9"/>
      <c r="FS179" s="9"/>
      <c r="FT179" s="9"/>
      <c r="FU179" s="9"/>
      <c r="FV179" s="9"/>
      <c r="FW179" s="10"/>
      <c r="FX179" s="9"/>
      <c r="FY179" s="9"/>
      <c r="FZ179" s="9"/>
      <c r="GA179" s="9"/>
      <c r="GB179" s="9"/>
      <c r="GC179" s="9"/>
      <c r="GD179" s="9"/>
      <c r="GE179" s="9"/>
      <c r="GF179" s="9"/>
      <c r="GG179" s="9"/>
      <c r="GH179" s="9"/>
      <c r="GI179" s="9"/>
      <c r="GJ179" s="9"/>
      <c r="GK179" s="9"/>
      <c r="GL179" s="9"/>
      <c r="GM179" s="9"/>
      <c r="GN179" s="9"/>
      <c r="GO179" s="9"/>
      <c r="GP179" s="9"/>
      <c r="GQ179" s="9"/>
      <c r="GR179" s="9"/>
      <c r="GS179" s="9"/>
      <c r="GT179" s="9"/>
      <c r="GU179" s="9"/>
      <c r="GV179" s="9"/>
      <c r="GW179" s="9"/>
      <c r="GX179" s="9"/>
      <c r="GY179" s="10"/>
      <c r="GZ179" s="9"/>
      <c r="HA179" s="9"/>
    </row>
    <row r="180" spans="1:209" s="2" customFormat="1" ht="17" customHeight="1">
      <c r="A180" s="14" t="s">
        <v>177</v>
      </c>
      <c r="B180" s="35">
        <v>0</v>
      </c>
      <c r="C180" s="35">
        <v>0</v>
      </c>
      <c r="D180" s="4">
        <f t="shared" si="57"/>
        <v>0</v>
      </c>
      <c r="E180" s="11">
        <v>0</v>
      </c>
      <c r="F180" s="5" t="s">
        <v>362</v>
      </c>
      <c r="G180" s="5" t="s">
        <v>362</v>
      </c>
      <c r="H180" s="5" t="s">
        <v>362</v>
      </c>
      <c r="I180" s="5" t="s">
        <v>362</v>
      </c>
      <c r="J180" s="5" t="s">
        <v>362</v>
      </c>
      <c r="K180" s="5" t="s">
        <v>362</v>
      </c>
      <c r="L180" s="5" t="s">
        <v>362</v>
      </c>
      <c r="M180" s="5" t="s">
        <v>362</v>
      </c>
      <c r="N180" s="35">
        <v>529.79999999999995</v>
      </c>
      <c r="O180" s="35">
        <v>189.7</v>
      </c>
      <c r="P180" s="4">
        <f t="shared" si="58"/>
        <v>0.35805964514911287</v>
      </c>
      <c r="Q180" s="11">
        <v>20</v>
      </c>
      <c r="R180" s="35">
        <v>18</v>
      </c>
      <c r="S180" s="35">
        <v>18.2</v>
      </c>
      <c r="T180" s="4">
        <f t="shared" si="59"/>
        <v>1.0111111111111111</v>
      </c>
      <c r="U180" s="11">
        <v>20</v>
      </c>
      <c r="V180" s="35">
        <v>4</v>
      </c>
      <c r="W180" s="35">
        <v>4.2</v>
      </c>
      <c r="X180" s="4">
        <f t="shared" si="60"/>
        <v>1.05</v>
      </c>
      <c r="Y180" s="11">
        <v>30</v>
      </c>
      <c r="Z180" s="35">
        <v>5530</v>
      </c>
      <c r="AA180" s="35">
        <v>5095</v>
      </c>
      <c r="AB180" s="4">
        <f t="shared" si="61"/>
        <v>0.92133815551537068</v>
      </c>
      <c r="AC180" s="11">
        <v>5</v>
      </c>
      <c r="AD180" s="11">
        <v>105</v>
      </c>
      <c r="AE180" s="11">
        <v>127</v>
      </c>
      <c r="AF180" s="4">
        <f t="shared" si="62"/>
        <v>1.200952380952381</v>
      </c>
      <c r="AG180" s="11">
        <v>20</v>
      </c>
      <c r="AH180" s="5" t="s">
        <v>362</v>
      </c>
      <c r="AI180" s="5" t="s">
        <v>362</v>
      </c>
      <c r="AJ180" s="5" t="s">
        <v>362</v>
      </c>
      <c r="AK180" s="5" t="s">
        <v>362</v>
      </c>
      <c r="AL180" s="5" t="s">
        <v>362</v>
      </c>
      <c r="AM180" s="5" t="s">
        <v>362</v>
      </c>
      <c r="AN180" s="5" t="s">
        <v>362</v>
      </c>
      <c r="AO180" s="5" t="s">
        <v>362</v>
      </c>
      <c r="AP180" s="44">
        <f t="shared" si="71"/>
        <v>0.92114898444030469</v>
      </c>
      <c r="AQ180" s="45">
        <v>900</v>
      </c>
      <c r="AR180" s="35">
        <f t="shared" si="63"/>
        <v>245.45454545454544</v>
      </c>
      <c r="AS180" s="35">
        <f t="shared" si="64"/>
        <v>226.1</v>
      </c>
      <c r="AT180" s="35">
        <f t="shared" si="65"/>
        <v>-19.354545454545445</v>
      </c>
      <c r="AU180" s="35">
        <v>65.8</v>
      </c>
      <c r="AV180" s="35">
        <v>72.099999999999994</v>
      </c>
      <c r="AW180" s="35">
        <f t="shared" si="66"/>
        <v>88.2</v>
      </c>
      <c r="AX180" s="35"/>
      <c r="AY180" s="35">
        <f t="shared" si="67"/>
        <v>88.2</v>
      </c>
      <c r="AZ180" s="35">
        <v>0</v>
      </c>
      <c r="BA180" s="35">
        <f t="shared" si="68"/>
        <v>88.2</v>
      </c>
      <c r="BB180" s="35"/>
      <c r="BC180" s="35">
        <f t="shared" si="69"/>
        <v>88.2</v>
      </c>
      <c r="BD180" s="35">
        <v>88.2</v>
      </c>
      <c r="BE180" s="35">
        <f t="shared" si="70"/>
        <v>0</v>
      </c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9"/>
      <c r="BU180" s="9"/>
      <c r="BV180" s="9"/>
      <c r="BW180" s="9"/>
      <c r="BX180" s="9"/>
      <c r="BY180" s="9"/>
      <c r="BZ180" s="9"/>
      <c r="CA180" s="9"/>
      <c r="CB180" s="9"/>
      <c r="CC180" s="9"/>
      <c r="CD180" s="9"/>
      <c r="CE180" s="9"/>
      <c r="CF180" s="9"/>
      <c r="CG180" s="9"/>
      <c r="CH180" s="9"/>
      <c r="CI180" s="9"/>
      <c r="CJ180" s="9"/>
      <c r="CK180" s="9"/>
      <c r="CL180" s="9"/>
      <c r="CM180" s="9"/>
      <c r="CN180" s="9"/>
      <c r="CO180" s="9"/>
      <c r="CP180" s="9"/>
      <c r="CQ180" s="10"/>
      <c r="CR180" s="9"/>
      <c r="CS180" s="9"/>
      <c r="CT180" s="9"/>
      <c r="CU180" s="9"/>
      <c r="CV180" s="9"/>
      <c r="CW180" s="9"/>
      <c r="CX180" s="9"/>
      <c r="CY180" s="9"/>
      <c r="CZ180" s="9"/>
      <c r="DA180" s="9"/>
      <c r="DB180" s="9"/>
      <c r="DC180" s="9"/>
      <c r="DD180" s="9"/>
      <c r="DE180" s="9"/>
      <c r="DF180" s="9"/>
      <c r="DG180" s="9"/>
      <c r="DH180" s="9"/>
      <c r="DI180" s="9"/>
      <c r="DJ180" s="9"/>
      <c r="DK180" s="9"/>
      <c r="DL180" s="9"/>
      <c r="DM180" s="9"/>
      <c r="DN180" s="9"/>
      <c r="DO180" s="9"/>
      <c r="DP180" s="9"/>
      <c r="DQ180" s="9"/>
      <c r="DR180" s="9"/>
      <c r="DS180" s="10"/>
      <c r="DT180" s="9"/>
      <c r="DU180" s="9"/>
      <c r="DV180" s="9"/>
      <c r="DW180" s="9"/>
      <c r="DX180" s="9"/>
      <c r="DY180" s="9"/>
      <c r="DZ180" s="9"/>
      <c r="EA180" s="9"/>
      <c r="EB180" s="9"/>
      <c r="EC180" s="9"/>
      <c r="ED180" s="9"/>
      <c r="EE180" s="9"/>
      <c r="EF180" s="9"/>
      <c r="EG180" s="9"/>
      <c r="EH180" s="9"/>
      <c r="EI180" s="9"/>
      <c r="EJ180" s="9"/>
      <c r="EK180" s="9"/>
      <c r="EL180" s="9"/>
      <c r="EM180" s="9"/>
      <c r="EN180" s="9"/>
      <c r="EO180" s="9"/>
      <c r="EP180" s="9"/>
      <c r="EQ180" s="9"/>
      <c r="ER180" s="9"/>
      <c r="ES180" s="9"/>
      <c r="ET180" s="9"/>
      <c r="EU180" s="10"/>
      <c r="EV180" s="9"/>
      <c r="EW180" s="9"/>
      <c r="EX180" s="9"/>
      <c r="EY180" s="9"/>
      <c r="EZ180" s="9"/>
      <c r="FA180" s="9"/>
      <c r="FB180" s="9"/>
      <c r="FC180" s="9"/>
      <c r="FD180" s="9"/>
      <c r="FE180" s="9"/>
      <c r="FF180" s="9"/>
      <c r="FG180" s="9"/>
      <c r="FH180" s="9"/>
      <c r="FI180" s="9"/>
      <c r="FJ180" s="9"/>
      <c r="FK180" s="9"/>
      <c r="FL180" s="9"/>
      <c r="FM180" s="9"/>
      <c r="FN180" s="9"/>
      <c r="FO180" s="9"/>
      <c r="FP180" s="9"/>
      <c r="FQ180" s="9"/>
      <c r="FR180" s="9"/>
      <c r="FS180" s="9"/>
      <c r="FT180" s="9"/>
      <c r="FU180" s="9"/>
      <c r="FV180" s="9"/>
      <c r="FW180" s="10"/>
      <c r="FX180" s="9"/>
      <c r="FY180" s="9"/>
      <c r="FZ180" s="9"/>
      <c r="GA180" s="9"/>
      <c r="GB180" s="9"/>
      <c r="GC180" s="9"/>
      <c r="GD180" s="9"/>
      <c r="GE180" s="9"/>
      <c r="GF180" s="9"/>
      <c r="GG180" s="9"/>
      <c r="GH180" s="9"/>
      <c r="GI180" s="9"/>
      <c r="GJ180" s="9"/>
      <c r="GK180" s="9"/>
      <c r="GL180" s="9"/>
      <c r="GM180" s="9"/>
      <c r="GN180" s="9"/>
      <c r="GO180" s="9"/>
      <c r="GP180" s="9"/>
      <c r="GQ180" s="9"/>
      <c r="GR180" s="9"/>
      <c r="GS180" s="9"/>
      <c r="GT180" s="9"/>
      <c r="GU180" s="9"/>
      <c r="GV180" s="9"/>
      <c r="GW180" s="9"/>
      <c r="GX180" s="9"/>
      <c r="GY180" s="10"/>
      <c r="GZ180" s="9"/>
      <c r="HA180" s="9"/>
    </row>
    <row r="181" spans="1:209" s="2" customFormat="1" ht="17" customHeight="1">
      <c r="A181" s="14" t="s">
        <v>178</v>
      </c>
      <c r="B181" s="35">
        <v>0</v>
      </c>
      <c r="C181" s="35">
        <v>0</v>
      </c>
      <c r="D181" s="4">
        <f t="shared" si="57"/>
        <v>0</v>
      </c>
      <c r="E181" s="11">
        <v>0</v>
      </c>
      <c r="F181" s="5" t="s">
        <v>362</v>
      </c>
      <c r="G181" s="5" t="s">
        <v>362</v>
      </c>
      <c r="H181" s="5" t="s">
        <v>362</v>
      </c>
      <c r="I181" s="5" t="s">
        <v>362</v>
      </c>
      <c r="J181" s="5" t="s">
        <v>362</v>
      </c>
      <c r="K181" s="5" t="s">
        <v>362</v>
      </c>
      <c r="L181" s="5" t="s">
        <v>362</v>
      </c>
      <c r="M181" s="5" t="s">
        <v>362</v>
      </c>
      <c r="N181" s="35">
        <v>207.1</v>
      </c>
      <c r="O181" s="35">
        <v>89.2</v>
      </c>
      <c r="P181" s="4">
        <f t="shared" si="58"/>
        <v>0.43070980202800579</v>
      </c>
      <c r="Q181" s="11">
        <v>20</v>
      </c>
      <c r="R181" s="35">
        <v>105</v>
      </c>
      <c r="S181" s="35">
        <v>120.1</v>
      </c>
      <c r="T181" s="4">
        <f t="shared" si="59"/>
        <v>1.1438095238095238</v>
      </c>
      <c r="U181" s="11">
        <v>30</v>
      </c>
      <c r="V181" s="35">
        <v>5</v>
      </c>
      <c r="W181" s="35">
        <v>5.6</v>
      </c>
      <c r="X181" s="4">
        <f t="shared" si="60"/>
        <v>1.1199999999999999</v>
      </c>
      <c r="Y181" s="11">
        <v>20</v>
      </c>
      <c r="Z181" s="35">
        <v>7949</v>
      </c>
      <c r="AA181" s="35">
        <v>6596</v>
      </c>
      <c r="AB181" s="4">
        <f t="shared" si="61"/>
        <v>0.82978991068058872</v>
      </c>
      <c r="AC181" s="11">
        <v>5</v>
      </c>
      <c r="AD181" s="11">
        <v>432</v>
      </c>
      <c r="AE181" s="11">
        <v>439</v>
      </c>
      <c r="AF181" s="4">
        <f t="shared" si="62"/>
        <v>1.0162037037037037</v>
      </c>
      <c r="AG181" s="11">
        <v>20</v>
      </c>
      <c r="AH181" s="5" t="s">
        <v>362</v>
      </c>
      <c r="AI181" s="5" t="s">
        <v>362</v>
      </c>
      <c r="AJ181" s="5" t="s">
        <v>362</v>
      </c>
      <c r="AK181" s="5" t="s">
        <v>362</v>
      </c>
      <c r="AL181" s="5" t="s">
        <v>362</v>
      </c>
      <c r="AM181" s="5" t="s">
        <v>362</v>
      </c>
      <c r="AN181" s="5" t="s">
        <v>362</v>
      </c>
      <c r="AO181" s="5" t="s">
        <v>362</v>
      </c>
      <c r="AP181" s="44">
        <f t="shared" si="71"/>
        <v>0.94527900402445098</v>
      </c>
      <c r="AQ181" s="45">
        <v>1698</v>
      </c>
      <c r="AR181" s="35">
        <f t="shared" si="63"/>
        <v>463.09090909090912</v>
      </c>
      <c r="AS181" s="35">
        <f t="shared" si="64"/>
        <v>437.8</v>
      </c>
      <c r="AT181" s="35">
        <f t="shared" si="65"/>
        <v>-25.290909090909111</v>
      </c>
      <c r="AU181" s="35">
        <v>124.3</v>
      </c>
      <c r="AV181" s="35">
        <v>152.80000000000001</v>
      </c>
      <c r="AW181" s="35">
        <f t="shared" si="66"/>
        <v>160.69999999999999</v>
      </c>
      <c r="AX181" s="35"/>
      <c r="AY181" s="35">
        <f t="shared" si="67"/>
        <v>160.69999999999999</v>
      </c>
      <c r="AZ181" s="35">
        <v>0</v>
      </c>
      <c r="BA181" s="35">
        <f t="shared" si="68"/>
        <v>160.69999999999999</v>
      </c>
      <c r="BB181" s="35"/>
      <c r="BC181" s="35">
        <f t="shared" si="69"/>
        <v>160.69999999999999</v>
      </c>
      <c r="BD181" s="35">
        <v>163.6</v>
      </c>
      <c r="BE181" s="35">
        <f t="shared" si="70"/>
        <v>-2.9</v>
      </c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9"/>
      <c r="BU181" s="9"/>
      <c r="BV181" s="9"/>
      <c r="BW181" s="9"/>
      <c r="BX181" s="9"/>
      <c r="BY181" s="9"/>
      <c r="BZ181" s="9"/>
      <c r="CA181" s="9"/>
      <c r="CB181" s="9"/>
      <c r="CC181" s="9"/>
      <c r="CD181" s="9"/>
      <c r="CE181" s="9"/>
      <c r="CF181" s="9"/>
      <c r="CG181" s="9"/>
      <c r="CH181" s="9"/>
      <c r="CI181" s="9"/>
      <c r="CJ181" s="9"/>
      <c r="CK181" s="9"/>
      <c r="CL181" s="9"/>
      <c r="CM181" s="9"/>
      <c r="CN181" s="9"/>
      <c r="CO181" s="9"/>
      <c r="CP181" s="9"/>
      <c r="CQ181" s="10"/>
      <c r="CR181" s="9"/>
      <c r="CS181" s="9"/>
      <c r="CT181" s="9"/>
      <c r="CU181" s="9"/>
      <c r="CV181" s="9"/>
      <c r="CW181" s="9"/>
      <c r="CX181" s="9"/>
      <c r="CY181" s="9"/>
      <c r="CZ181" s="9"/>
      <c r="DA181" s="9"/>
      <c r="DB181" s="9"/>
      <c r="DC181" s="9"/>
      <c r="DD181" s="9"/>
      <c r="DE181" s="9"/>
      <c r="DF181" s="9"/>
      <c r="DG181" s="9"/>
      <c r="DH181" s="9"/>
      <c r="DI181" s="9"/>
      <c r="DJ181" s="9"/>
      <c r="DK181" s="9"/>
      <c r="DL181" s="9"/>
      <c r="DM181" s="9"/>
      <c r="DN181" s="9"/>
      <c r="DO181" s="9"/>
      <c r="DP181" s="9"/>
      <c r="DQ181" s="9"/>
      <c r="DR181" s="9"/>
      <c r="DS181" s="10"/>
      <c r="DT181" s="9"/>
      <c r="DU181" s="9"/>
      <c r="DV181" s="9"/>
      <c r="DW181" s="9"/>
      <c r="DX181" s="9"/>
      <c r="DY181" s="9"/>
      <c r="DZ181" s="9"/>
      <c r="EA181" s="9"/>
      <c r="EB181" s="9"/>
      <c r="EC181" s="9"/>
      <c r="ED181" s="9"/>
      <c r="EE181" s="9"/>
      <c r="EF181" s="9"/>
      <c r="EG181" s="9"/>
      <c r="EH181" s="9"/>
      <c r="EI181" s="9"/>
      <c r="EJ181" s="9"/>
      <c r="EK181" s="9"/>
      <c r="EL181" s="9"/>
      <c r="EM181" s="9"/>
      <c r="EN181" s="9"/>
      <c r="EO181" s="9"/>
      <c r="EP181" s="9"/>
      <c r="EQ181" s="9"/>
      <c r="ER181" s="9"/>
      <c r="ES181" s="9"/>
      <c r="ET181" s="9"/>
      <c r="EU181" s="10"/>
      <c r="EV181" s="9"/>
      <c r="EW181" s="9"/>
      <c r="EX181" s="9"/>
      <c r="EY181" s="9"/>
      <c r="EZ181" s="9"/>
      <c r="FA181" s="9"/>
      <c r="FB181" s="9"/>
      <c r="FC181" s="9"/>
      <c r="FD181" s="9"/>
      <c r="FE181" s="9"/>
      <c r="FF181" s="9"/>
      <c r="FG181" s="9"/>
      <c r="FH181" s="9"/>
      <c r="FI181" s="9"/>
      <c r="FJ181" s="9"/>
      <c r="FK181" s="9"/>
      <c r="FL181" s="9"/>
      <c r="FM181" s="9"/>
      <c r="FN181" s="9"/>
      <c r="FO181" s="9"/>
      <c r="FP181" s="9"/>
      <c r="FQ181" s="9"/>
      <c r="FR181" s="9"/>
      <c r="FS181" s="9"/>
      <c r="FT181" s="9"/>
      <c r="FU181" s="9"/>
      <c r="FV181" s="9"/>
      <c r="FW181" s="10"/>
      <c r="FX181" s="9"/>
      <c r="FY181" s="9"/>
      <c r="FZ181" s="9"/>
      <c r="GA181" s="9"/>
      <c r="GB181" s="9"/>
      <c r="GC181" s="9"/>
      <c r="GD181" s="9"/>
      <c r="GE181" s="9"/>
      <c r="GF181" s="9"/>
      <c r="GG181" s="9"/>
      <c r="GH181" s="9"/>
      <c r="GI181" s="9"/>
      <c r="GJ181" s="9"/>
      <c r="GK181" s="9"/>
      <c r="GL181" s="9"/>
      <c r="GM181" s="9"/>
      <c r="GN181" s="9"/>
      <c r="GO181" s="9"/>
      <c r="GP181" s="9"/>
      <c r="GQ181" s="9"/>
      <c r="GR181" s="9"/>
      <c r="GS181" s="9"/>
      <c r="GT181" s="9"/>
      <c r="GU181" s="9"/>
      <c r="GV181" s="9"/>
      <c r="GW181" s="9"/>
      <c r="GX181" s="9"/>
      <c r="GY181" s="10"/>
      <c r="GZ181" s="9"/>
      <c r="HA181" s="9"/>
    </row>
    <row r="182" spans="1:209" s="2" customFormat="1" ht="17" customHeight="1">
      <c r="A182" s="14" t="s">
        <v>179</v>
      </c>
      <c r="B182" s="35">
        <v>528348</v>
      </c>
      <c r="C182" s="35">
        <v>545612</v>
      </c>
      <c r="D182" s="4">
        <f t="shared" si="57"/>
        <v>1.0326754336157229</v>
      </c>
      <c r="E182" s="11">
        <v>10</v>
      </c>
      <c r="F182" s="5" t="s">
        <v>362</v>
      </c>
      <c r="G182" s="5" t="s">
        <v>362</v>
      </c>
      <c r="H182" s="5" t="s">
        <v>362</v>
      </c>
      <c r="I182" s="5" t="s">
        <v>362</v>
      </c>
      <c r="J182" s="5" t="s">
        <v>362</v>
      </c>
      <c r="K182" s="5" t="s">
        <v>362</v>
      </c>
      <c r="L182" s="5" t="s">
        <v>362</v>
      </c>
      <c r="M182" s="5" t="s">
        <v>362</v>
      </c>
      <c r="N182" s="35">
        <v>4470.1000000000004</v>
      </c>
      <c r="O182" s="35">
        <v>2844.9</v>
      </c>
      <c r="P182" s="4">
        <f t="shared" si="58"/>
        <v>0.63642871524126976</v>
      </c>
      <c r="Q182" s="11">
        <v>20</v>
      </c>
      <c r="R182" s="35">
        <v>11</v>
      </c>
      <c r="S182" s="35">
        <v>11.5</v>
      </c>
      <c r="T182" s="4">
        <f t="shared" si="59"/>
        <v>1.0454545454545454</v>
      </c>
      <c r="U182" s="11">
        <v>10</v>
      </c>
      <c r="V182" s="35">
        <v>15</v>
      </c>
      <c r="W182" s="35">
        <v>22.1</v>
      </c>
      <c r="X182" s="4">
        <f t="shared" si="60"/>
        <v>1.2273333333333334</v>
      </c>
      <c r="Y182" s="11">
        <v>40</v>
      </c>
      <c r="Z182" s="35">
        <v>221192</v>
      </c>
      <c r="AA182" s="35">
        <v>222261</v>
      </c>
      <c r="AB182" s="4">
        <f t="shared" si="61"/>
        <v>1.0048329053491989</v>
      </c>
      <c r="AC182" s="11">
        <v>5</v>
      </c>
      <c r="AD182" s="11">
        <v>55</v>
      </c>
      <c r="AE182" s="11">
        <v>50</v>
      </c>
      <c r="AF182" s="4">
        <f t="shared" si="62"/>
        <v>0.90909090909090906</v>
      </c>
      <c r="AG182" s="11">
        <v>20</v>
      </c>
      <c r="AH182" s="5" t="s">
        <v>362</v>
      </c>
      <c r="AI182" s="5" t="s">
        <v>362</v>
      </c>
      <c r="AJ182" s="5" t="s">
        <v>362</v>
      </c>
      <c r="AK182" s="5" t="s">
        <v>362</v>
      </c>
      <c r="AL182" s="5" t="s">
        <v>362</v>
      </c>
      <c r="AM182" s="5" t="s">
        <v>362</v>
      </c>
      <c r="AN182" s="5" t="s">
        <v>362</v>
      </c>
      <c r="AO182" s="5" t="s">
        <v>362</v>
      </c>
      <c r="AP182" s="44">
        <f t="shared" si="71"/>
        <v>1.0077065727373866</v>
      </c>
      <c r="AQ182" s="45">
        <v>685</v>
      </c>
      <c r="AR182" s="35">
        <f t="shared" si="63"/>
        <v>186.81818181818181</v>
      </c>
      <c r="AS182" s="35">
        <f t="shared" si="64"/>
        <v>188.3</v>
      </c>
      <c r="AT182" s="35">
        <f t="shared" si="65"/>
        <v>1.4818181818181984</v>
      </c>
      <c r="AU182" s="35">
        <v>68.5</v>
      </c>
      <c r="AV182" s="35">
        <v>60.1</v>
      </c>
      <c r="AW182" s="35">
        <f t="shared" si="66"/>
        <v>59.7</v>
      </c>
      <c r="AX182" s="35"/>
      <c r="AY182" s="35">
        <f t="shared" si="67"/>
        <v>59.7</v>
      </c>
      <c r="AZ182" s="35">
        <v>0</v>
      </c>
      <c r="BA182" s="35">
        <f t="shared" si="68"/>
        <v>59.7</v>
      </c>
      <c r="BB182" s="35">
        <f>MIN(BA182,31.1)</f>
        <v>31.1</v>
      </c>
      <c r="BC182" s="35">
        <f t="shared" si="69"/>
        <v>28.6</v>
      </c>
      <c r="BD182" s="35">
        <v>28.6</v>
      </c>
      <c r="BE182" s="35">
        <f t="shared" si="70"/>
        <v>0</v>
      </c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9"/>
      <c r="BU182" s="9"/>
      <c r="BV182" s="9"/>
      <c r="BW182" s="9"/>
      <c r="BX182" s="9"/>
      <c r="BY182" s="9"/>
      <c r="BZ182" s="9"/>
      <c r="CA182" s="9"/>
      <c r="CB182" s="9"/>
      <c r="CC182" s="9"/>
      <c r="CD182" s="9"/>
      <c r="CE182" s="9"/>
      <c r="CF182" s="9"/>
      <c r="CG182" s="9"/>
      <c r="CH182" s="9"/>
      <c r="CI182" s="9"/>
      <c r="CJ182" s="9"/>
      <c r="CK182" s="9"/>
      <c r="CL182" s="9"/>
      <c r="CM182" s="9"/>
      <c r="CN182" s="9"/>
      <c r="CO182" s="9"/>
      <c r="CP182" s="9"/>
      <c r="CQ182" s="10"/>
      <c r="CR182" s="9"/>
      <c r="CS182" s="9"/>
      <c r="CT182" s="9"/>
      <c r="CU182" s="9"/>
      <c r="CV182" s="9"/>
      <c r="CW182" s="9"/>
      <c r="CX182" s="9"/>
      <c r="CY182" s="9"/>
      <c r="CZ182" s="9"/>
      <c r="DA182" s="9"/>
      <c r="DB182" s="9"/>
      <c r="DC182" s="9"/>
      <c r="DD182" s="9"/>
      <c r="DE182" s="9"/>
      <c r="DF182" s="9"/>
      <c r="DG182" s="9"/>
      <c r="DH182" s="9"/>
      <c r="DI182" s="9"/>
      <c r="DJ182" s="9"/>
      <c r="DK182" s="9"/>
      <c r="DL182" s="9"/>
      <c r="DM182" s="9"/>
      <c r="DN182" s="9"/>
      <c r="DO182" s="9"/>
      <c r="DP182" s="9"/>
      <c r="DQ182" s="9"/>
      <c r="DR182" s="9"/>
      <c r="DS182" s="10"/>
      <c r="DT182" s="9"/>
      <c r="DU182" s="9"/>
      <c r="DV182" s="9"/>
      <c r="DW182" s="9"/>
      <c r="DX182" s="9"/>
      <c r="DY182" s="9"/>
      <c r="DZ182" s="9"/>
      <c r="EA182" s="9"/>
      <c r="EB182" s="9"/>
      <c r="EC182" s="9"/>
      <c r="ED182" s="9"/>
      <c r="EE182" s="9"/>
      <c r="EF182" s="9"/>
      <c r="EG182" s="9"/>
      <c r="EH182" s="9"/>
      <c r="EI182" s="9"/>
      <c r="EJ182" s="9"/>
      <c r="EK182" s="9"/>
      <c r="EL182" s="9"/>
      <c r="EM182" s="9"/>
      <c r="EN182" s="9"/>
      <c r="EO182" s="9"/>
      <c r="EP182" s="9"/>
      <c r="EQ182" s="9"/>
      <c r="ER182" s="9"/>
      <c r="ES182" s="9"/>
      <c r="ET182" s="9"/>
      <c r="EU182" s="10"/>
      <c r="EV182" s="9"/>
      <c r="EW182" s="9"/>
      <c r="EX182" s="9"/>
      <c r="EY182" s="9"/>
      <c r="EZ182" s="9"/>
      <c r="FA182" s="9"/>
      <c r="FB182" s="9"/>
      <c r="FC182" s="9"/>
      <c r="FD182" s="9"/>
      <c r="FE182" s="9"/>
      <c r="FF182" s="9"/>
      <c r="FG182" s="9"/>
      <c r="FH182" s="9"/>
      <c r="FI182" s="9"/>
      <c r="FJ182" s="9"/>
      <c r="FK182" s="9"/>
      <c r="FL182" s="9"/>
      <c r="FM182" s="9"/>
      <c r="FN182" s="9"/>
      <c r="FO182" s="9"/>
      <c r="FP182" s="9"/>
      <c r="FQ182" s="9"/>
      <c r="FR182" s="9"/>
      <c r="FS182" s="9"/>
      <c r="FT182" s="9"/>
      <c r="FU182" s="9"/>
      <c r="FV182" s="9"/>
      <c r="FW182" s="10"/>
      <c r="FX182" s="9"/>
      <c r="FY182" s="9"/>
      <c r="FZ182" s="9"/>
      <c r="GA182" s="9"/>
      <c r="GB182" s="9"/>
      <c r="GC182" s="9"/>
      <c r="GD182" s="9"/>
      <c r="GE182" s="9"/>
      <c r="GF182" s="9"/>
      <c r="GG182" s="9"/>
      <c r="GH182" s="9"/>
      <c r="GI182" s="9"/>
      <c r="GJ182" s="9"/>
      <c r="GK182" s="9"/>
      <c r="GL182" s="9"/>
      <c r="GM182" s="9"/>
      <c r="GN182" s="9"/>
      <c r="GO182" s="9"/>
      <c r="GP182" s="9"/>
      <c r="GQ182" s="9"/>
      <c r="GR182" s="9"/>
      <c r="GS182" s="9"/>
      <c r="GT182" s="9"/>
      <c r="GU182" s="9"/>
      <c r="GV182" s="9"/>
      <c r="GW182" s="9"/>
      <c r="GX182" s="9"/>
      <c r="GY182" s="10"/>
      <c r="GZ182" s="9"/>
      <c r="HA182" s="9"/>
    </row>
    <row r="183" spans="1:209" s="2" customFormat="1" ht="17" customHeight="1">
      <c r="A183" s="14" t="s">
        <v>180</v>
      </c>
      <c r="B183" s="35">
        <v>0</v>
      </c>
      <c r="C183" s="35">
        <v>0</v>
      </c>
      <c r="D183" s="4">
        <f t="shared" si="57"/>
        <v>0</v>
      </c>
      <c r="E183" s="11">
        <v>0</v>
      </c>
      <c r="F183" s="5" t="s">
        <v>362</v>
      </c>
      <c r="G183" s="5" t="s">
        <v>362</v>
      </c>
      <c r="H183" s="5" t="s">
        <v>362</v>
      </c>
      <c r="I183" s="5" t="s">
        <v>362</v>
      </c>
      <c r="J183" s="5" t="s">
        <v>362</v>
      </c>
      <c r="K183" s="5" t="s">
        <v>362</v>
      </c>
      <c r="L183" s="5" t="s">
        <v>362</v>
      </c>
      <c r="M183" s="5" t="s">
        <v>362</v>
      </c>
      <c r="N183" s="35">
        <v>691.4</v>
      </c>
      <c r="O183" s="35">
        <v>241.8</v>
      </c>
      <c r="P183" s="4">
        <f t="shared" si="58"/>
        <v>0.34972519525600232</v>
      </c>
      <c r="Q183" s="11">
        <v>20</v>
      </c>
      <c r="R183" s="35">
        <v>570</v>
      </c>
      <c r="S183" s="35">
        <v>571.70000000000005</v>
      </c>
      <c r="T183" s="4">
        <f t="shared" si="59"/>
        <v>1.0029824561403509</v>
      </c>
      <c r="U183" s="11">
        <v>35</v>
      </c>
      <c r="V183" s="35">
        <v>26</v>
      </c>
      <c r="W183" s="35">
        <v>39.1</v>
      </c>
      <c r="X183" s="4">
        <f t="shared" si="60"/>
        <v>1.2303846153846154</v>
      </c>
      <c r="Y183" s="11">
        <v>15</v>
      </c>
      <c r="Z183" s="35">
        <v>8640</v>
      </c>
      <c r="AA183" s="35">
        <v>7573</v>
      </c>
      <c r="AB183" s="4">
        <f t="shared" si="61"/>
        <v>0.87650462962962961</v>
      </c>
      <c r="AC183" s="11">
        <v>5</v>
      </c>
      <c r="AD183" s="11">
        <v>910</v>
      </c>
      <c r="AE183" s="11">
        <v>821</v>
      </c>
      <c r="AF183" s="4">
        <f t="shared" si="62"/>
        <v>0.90219780219780221</v>
      </c>
      <c r="AG183" s="11">
        <v>20</v>
      </c>
      <c r="AH183" s="5" t="s">
        <v>362</v>
      </c>
      <c r="AI183" s="5" t="s">
        <v>362</v>
      </c>
      <c r="AJ183" s="5" t="s">
        <v>362</v>
      </c>
      <c r="AK183" s="5" t="s">
        <v>362</v>
      </c>
      <c r="AL183" s="5" t="s">
        <v>362</v>
      </c>
      <c r="AM183" s="5" t="s">
        <v>362</v>
      </c>
      <c r="AN183" s="5" t="s">
        <v>362</v>
      </c>
      <c r="AO183" s="5" t="s">
        <v>362</v>
      </c>
      <c r="AP183" s="44">
        <f t="shared" si="71"/>
        <v>0.87348566624111323</v>
      </c>
      <c r="AQ183" s="45">
        <v>1011</v>
      </c>
      <c r="AR183" s="35">
        <f t="shared" si="63"/>
        <v>275.72727272727275</v>
      </c>
      <c r="AS183" s="35">
        <f t="shared" si="64"/>
        <v>240.8</v>
      </c>
      <c r="AT183" s="35">
        <f t="shared" si="65"/>
        <v>-34.927272727272737</v>
      </c>
      <c r="AU183" s="35">
        <v>76.5</v>
      </c>
      <c r="AV183" s="35">
        <v>80.400000000000006</v>
      </c>
      <c r="AW183" s="35">
        <f t="shared" si="66"/>
        <v>83.9</v>
      </c>
      <c r="AX183" s="35"/>
      <c r="AY183" s="35">
        <f t="shared" si="67"/>
        <v>83.9</v>
      </c>
      <c r="AZ183" s="35">
        <v>0</v>
      </c>
      <c r="BA183" s="35">
        <f t="shared" si="68"/>
        <v>83.9</v>
      </c>
      <c r="BB183" s="35"/>
      <c r="BC183" s="35">
        <f t="shared" si="69"/>
        <v>83.9</v>
      </c>
      <c r="BD183" s="35">
        <v>83.9</v>
      </c>
      <c r="BE183" s="35">
        <f t="shared" si="70"/>
        <v>0</v>
      </c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9"/>
      <c r="BU183" s="9"/>
      <c r="BV183" s="9"/>
      <c r="BW183" s="9"/>
      <c r="BX183" s="9"/>
      <c r="BY183" s="9"/>
      <c r="BZ183" s="9"/>
      <c r="CA183" s="9"/>
      <c r="CB183" s="9"/>
      <c r="CC183" s="9"/>
      <c r="CD183" s="9"/>
      <c r="CE183" s="9"/>
      <c r="CF183" s="9"/>
      <c r="CG183" s="9"/>
      <c r="CH183" s="9"/>
      <c r="CI183" s="9"/>
      <c r="CJ183" s="9"/>
      <c r="CK183" s="9"/>
      <c r="CL183" s="9"/>
      <c r="CM183" s="9"/>
      <c r="CN183" s="9"/>
      <c r="CO183" s="9"/>
      <c r="CP183" s="9"/>
      <c r="CQ183" s="10"/>
      <c r="CR183" s="9"/>
      <c r="CS183" s="9"/>
      <c r="CT183" s="9"/>
      <c r="CU183" s="9"/>
      <c r="CV183" s="9"/>
      <c r="CW183" s="9"/>
      <c r="CX183" s="9"/>
      <c r="CY183" s="9"/>
      <c r="CZ183" s="9"/>
      <c r="DA183" s="9"/>
      <c r="DB183" s="9"/>
      <c r="DC183" s="9"/>
      <c r="DD183" s="9"/>
      <c r="DE183" s="9"/>
      <c r="DF183" s="9"/>
      <c r="DG183" s="9"/>
      <c r="DH183" s="9"/>
      <c r="DI183" s="9"/>
      <c r="DJ183" s="9"/>
      <c r="DK183" s="9"/>
      <c r="DL183" s="9"/>
      <c r="DM183" s="9"/>
      <c r="DN183" s="9"/>
      <c r="DO183" s="9"/>
      <c r="DP183" s="9"/>
      <c r="DQ183" s="9"/>
      <c r="DR183" s="9"/>
      <c r="DS183" s="10"/>
      <c r="DT183" s="9"/>
      <c r="DU183" s="9"/>
      <c r="DV183" s="9"/>
      <c r="DW183" s="9"/>
      <c r="DX183" s="9"/>
      <c r="DY183" s="9"/>
      <c r="DZ183" s="9"/>
      <c r="EA183" s="9"/>
      <c r="EB183" s="9"/>
      <c r="EC183" s="9"/>
      <c r="ED183" s="9"/>
      <c r="EE183" s="9"/>
      <c r="EF183" s="9"/>
      <c r="EG183" s="9"/>
      <c r="EH183" s="9"/>
      <c r="EI183" s="9"/>
      <c r="EJ183" s="9"/>
      <c r="EK183" s="9"/>
      <c r="EL183" s="9"/>
      <c r="EM183" s="9"/>
      <c r="EN183" s="9"/>
      <c r="EO183" s="9"/>
      <c r="EP183" s="9"/>
      <c r="EQ183" s="9"/>
      <c r="ER183" s="9"/>
      <c r="ES183" s="9"/>
      <c r="ET183" s="9"/>
      <c r="EU183" s="10"/>
      <c r="EV183" s="9"/>
      <c r="EW183" s="9"/>
      <c r="EX183" s="9"/>
      <c r="EY183" s="9"/>
      <c r="EZ183" s="9"/>
      <c r="FA183" s="9"/>
      <c r="FB183" s="9"/>
      <c r="FC183" s="9"/>
      <c r="FD183" s="9"/>
      <c r="FE183" s="9"/>
      <c r="FF183" s="9"/>
      <c r="FG183" s="9"/>
      <c r="FH183" s="9"/>
      <c r="FI183" s="9"/>
      <c r="FJ183" s="9"/>
      <c r="FK183" s="9"/>
      <c r="FL183" s="9"/>
      <c r="FM183" s="9"/>
      <c r="FN183" s="9"/>
      <c r="FO183" s="9"/>
      <c r="FP183" s="9"/>
      <c r="FQ183" s="9"/>
      <c r="FR183" s="9"/>
      <c r="FS183" s="9"/>
      <c r="FT183" s="9"/>
      <c r="FU183" s="9"/>
      <c r="FV183" s="9"/>
      <c r="FW183" s="10"/>
      <c r="FX183" s="9"/>
      <c r="FY183" s="9"/>
      <c r="FZ183" s="9"/>
      <c r="GA183" s="9"/>
      <c r="GB183" s="9"/>
      <c r="GC183" s="9"/>
      <c r="GD183" s="9"/>
      <c r="GE183" s="9"/>
      <c r="GF183" s="9"/>
      <c r="GG183" s="9"/>
      <c r="GH183" s="9"/>
      <c r="GI183" s="9"/>
      <c r="GJ183" s="9"/>
      <c r="GK183" s="9"/>
      <c r="GL183" s="9"/>
      <c r="GM183" s="9"/>
      <c r="GN183" s="9"/>
      <c r="GO183" s="9"/>
      <c r="GP183" s="9"/>
      <c r="GQ183" s="9"/>
      <c r="GR183" s="9"/>
      <c r="GS183" s="9"/>
      <c r="GT183" s="9"/>
      <c r="GU183" s="9"/>
      <c r="GV183" s="9"/>
      <c r="GW183" s="9"/>
      <c r="GX183" s="9"/>
      <c r="GY183" s="10"/>
      <c r="GZ183" s="9"/>
      <c r="HA183" s="9"/>
    </row>
    <row r="184" spans="1:209" s="2" customFormat="1" ht="17" customHeight="1">
      <c r="A184" s="14" t="s">
        <v>181</v>
      </c>
      <c r="B184" s="35">
        <v>0</v>
      </c>
      <c r="C184" s="35">
        <v>0</v>
      </c>
      <c r="D184" s="4">
        <f t="shared" si="57"/>
        <v>0</v>
      </c>
      <c r="E184" s="11">
        <v>0</v>
      </c>
      <c r="F184" s="5" t="s">
        <v>362</v>
      </c>
      <c r="G184" s="5" t="s">
        <v>362</v>
      </c>
      <c r="H184" s="5" t="s">
        <v>362</v>
      </c>
      <c r="I184" s="5" t="s">
        <v>362</v>
      </c>
      <c r="J184" s="5" t="s">
        <v>362</v>
      </c>
      <c r="K184" s="5" t="s">
        <v>362</v>
      </c>
      <c r="L184" s="5" t="s">
        <v>362</v>
      </c>
      <c r="M184" s="5" t="s">
        <v>362</v>
      </c>
      <c r="N184" s="35">
        <v>590.79999999999995</v>
      </c>
      <c r="O184" s="35">
        <v>353.4</v>
      </c>
      <c r="P184" s="4">
        <f t="shared" si="58"/>
        <v>0.59817197020988488</v>
      </c>
      <c r="Q184" s="11">
        <v>20</v>
      </c>
      <c r="R184" s="35">
        <v>100</v>
      </c>
      <c r="S184" s="35">
        <v>113.4</v>
      </c>
      <c r="T184" s="4">
        <f t="shared" si="59"/>
        <v>1.1340000000000001</v>
      </c>
      <c r="U184" s="11">
        <v>25</v>
      </c>
      <c r="V184" s="35">
        <v>5</v>
      </c>
      <c r="W184" s="35">
        <v>5.3</v>
      </c>
      <c r="X184" s="4">
        <f t="shared" si="60"/>
        <v>1.06</v>
      </c>
      <c r="Y184" s="11">
        <v>25</v>
      </c>
      <c r="Z184" s="35">
        <v>7949</v>
      </c>
      <c r="AA184" s="35">
        <v>6526</v>
      </c>
      <c r="AB184" s="4">
        <f t="shared" si="61"/>
        <v>0.82098377154359037</v>
      </c>
      <c r="AC184" s="11">
        <v>5</v>
      </c>
      <c r="AD184" s="11">
        <v>305</v>
      </c>
      <c r="AE184" s="11">
        <v>330</v>
      </c>
      <c r="AF184" s="4">
        <f t="shared" si="62"/>
        <v>1.0819672131147542</v>
      </c>
      <c r="AG184" s="11">
        <v>20</v>
      </c>
      <c r="AH184" s="5" t="s">
        <v>362</v>
      </c>
      <c r="AI184" s="5" t="s">
        <v>362</v>
      </c>
      <c r="AJ184" s="5" t="s">
        <v>362</v>
      </c>
      <c r="AK184" s="5" t="s">
        <v>362</v>
      </c>
      <c r="AL184" s="5" t="s">
        <v>362</v>
      </c>
      <c r="AM184" s="5" t="s">
        <v>362</v>
      </c>
      <c r="AN184" s="5" t="s">
        <v>362</v>
      </c>
      <c r="AO184" s="5" t="s">
        <v>362</v>
      </c>
      <c r="AP184" s="44">
        <f t="shared" si="71"/>
        <v>0.97429160551800764</v>
      </c>
      <c r="AQ184" s="45">
        <v>940</v>
      </c>
      <c r="AR184" s="35">
        <f t="shared" si="63"/>
        <v>256.36363636363637</v>
      </c>
      <c r="AS184" s="35">
        <f t="shared" si="64"/>
        <v>249.8</v>
      </c>
      <c r="AT184" s="35">
        <f t="shared" si="65"/>
        <v>-6.5636363636363626</v>
      </c>
      <c r="AU184" s="35">
        <v>70.599999999999994</v>
      </c>
      <c r="AV184" s="35">
        <v>94.6</v>
      </c>
      <c r="AW184" s="35">
        <f t="shared" si="66"/>
        <v>84.6</v>
      </c>
      <c r="AX184" s="35"/>
      <c r="AY184" s="35">
        <f t="shared" si="67"/>
        <v>84.6</v>
      </c>
      <c r="AZ184" s="35">
        <v>0</v>
      </c>
      <c r="BA184" s="35">
        <f t="shared" si="68"/>
        <v>84.6</v>
      </c>
      <c r="BB184" s="35">
        <f>MIN(BA184,0.5)</f>
        <v>0.5</v>
      </c>
      <c r="BC184" s="35">
        <f t="shared" si="69"/>
        <v>84.1</v>
      </c>
      <c r="BD184" s="35">
        <v>86.3</v>
      </c>
      <c r="BE184" s="35">
        <f t="shared" si="70"/>
        <v>-2.2000000000000002</v>
      </c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9"/>
      <c r="BU184" s="9"/>
      <c r="BV184" s="9"/>
      <c r="BW184" s="9"/>
      <c r="BX184" s="9"/>
      <c r="BY184" s="9"/>
      <c r="BZ184" s="9"/>
      <c r="CA184" s="9"/>
      <c r="CB184" s="9"/>
      <c r="CC184" s="9"/>
      <c r="CD184" s="9"/>
      <c r="CE184" s="9"/>
      <c r="CF184" s="9"/>
      <c r="CG184" s="9"/>
      <c r="CH184" s="9"/>
      <c r="CI184" s="9"/>
      <c r="CJ184" s="9"/>
      <c r="CK184" s="9"/>
      <c r="CL184" s="9"/>
      <c r="CM184" s="9"/>
      <c r="CN184" s="9"/>
      <c r="CO184" s="9"/>
      <c r="CP184" s="9"/>
      <c r="CQ184" s="10"/>
      <c r="CR184" s="9"/>
      <c r="CS184" s="9"/>
      <c r="CT184" s="9"/>
      <c r="CU184" s="9"/>
      <c r="CV184" s="9"/>
      <c r="CW184" s="9"/>
      <c r="CX184" s="9"/>
      <c r="CY184" s="9"/>
      <c r="CZ184" s="9"/>
      <c r="DA184" s="9"/>
      <c r="DB184" s="9"/>
      <c r="DC184" s="9"/>
      <c r="DD184" s="9"/>
      <c r="DE184" s="9"/>
      <c r="DF184" s="9"/>
      <c r="DG184" s="9"/>
      <c r="DH184" s="9"/>
      <c r="DI184" s="9"/>
      <c r="DJ184" s="9"/>
      <c r="DK184" s="9"/>
      <c r="DL184" s="9"/>
      <c r="DM184" s="9"/>
      <c r="DN184" s="9"/>
      <c r="DO184" s="9"/>
      <c r="DP184" s="9"/>
      <c r="DQ184" s="9"/>
      <c r="DR184" s="9"/>
      <c r="DS184" s="10"/>
      <c r="DT184" s="9"/>
      <c r="DU184" s="9"/>
      <c r="DV184" s="9"/>
      <c r="DW184" s="9"/>
      <c r="DX184" s="9"/>
      <c r="DY184" s="9"/>
      <c r="DZ184" s="9"/>
      <c r="EA184" s="9"/>
      <c r="EB184" s="9"/>
      <c r="EC184" s="9"/>
      <c r="ED184" s="9"/>
      <c r="EE184" s="9"/>
      <c r="EF184" s="9"/>
      <c r="EG184" s="9"/>
      <c r="EH184" s="9"/>
      <c r="EI184" s="9"/>
      <c r="EJ184" s="9"/>
      <c r="EK184" s="9"/>
      <c r="EL184" s="9"/>
      <c r="EM184" s="9"/>
      <c r="EN184" s="9"/>
      <c r="EO184" s="9"/>
      <c r="EP184" s="9"/>
      <c r="EQ184" s="9"/>
      <c r="ER184" s="9"/>
      <c r="ES184" s="9"/>
      <c r="ET184" s="9"/>
      <c r="EU184" s="10"/>
      <c r="EV184" s="9"/>
      <c r="EW184" s="9"/>
      <c r="EX184" s="9"/>
      <c r="EY184" s="9"/>
      <c r="EZ184" s="9"/>
      <c r="FA184" s="9"/>
      <c r="FB184" s="9"/>
      <c r="FC184" s="9"/>
      <c r="FD184" s="9"/>
      <c r="FE184" s="9"/>
      <c r="FF184" s="9"/>
      <c r="FG184" s="9"/>
      <c r="FH184" s="9"/>
      <c r="FI184" s="9"/>
      <c r="FJ184" s="9"/>
      <c r="FK184" s="9"/>
      <c r="FL184" s="9"/>
      <c r="FM184" s="9"/>
      <c r="FN184" s="9"/>
      <c r="FO184" s="9"/>
      <c r="FP184" s="9"/>
      <c r="FQ184" s="9"/>
      <c r="FR184" s="9"/>
      <c r="FS184" s="9"/>
      <c r="FT184" s="9"/>
      <c r="FU184" s="9"/>
      <c r="FV184" s="9"/>
      <c r="FW184" s="10"/>
      <c r="FX184" s="9"/>
      <c r="FY184" s="9"/>
      <c r="FZ184" s="9"/>
      <c r="GA184" s="9"/>
      <c r="GB184" s="9"/>
      <c r="GC184" s="9"/>
      <c r="GD184" s="9"/>
      <c r="GE184" s="9"/>
      <c r="GF184" s="9"/>
      <c r="GG184" s="9"/>
      <c r="GH184" s="9"/>
      <c r="GI184" s="9"/>
      <c r="GJ184" s="9"/>
      <c r="GK184" s="9"/>
      <c r="GL184" s="9"/>
      <c r="GM184" s="9"/>
      <c r="GN184" s="9"/>
      <c r="GO184" s="9"/>
      <c r="GP184" s="9"/>
      <c r="GQ184" s="9"/>
      <c r="GR184" s="9"/>
      <c r="GS184" s="9"/>
      <c r="GT184" s="9"/>
      <c r="GU184" s="9"/>
      <c r="GV184" s="9"/>
      <c r="GW184" s="9"/>
      <c r="GX184" s="9"/>
      <c r="GY184" s="10"/>
      <c r="GZ184" s="9"/>
      <c r="HA184" s="9"/>
    </row>
    <row r="185" spans="1:209" s="2" customFormat="1" ht="17" customHeight="1">
      <c r="A185" s="14" t="s">
        <v>182</v>
      </c>
      <c r="B185" s="35">
        <v>0</v>
      </c>
      <c r="C185" s="35">
        <v>0</v>
      </c>
      <c r="D185" s="4">
        <f t="shared" si="57"/>
        <v>0</v>
      </c>
      <c r="E185" s="11">
        <v>0</v>
      </c>
      <c r="F185" s="5" t="s">
        <v>362</v>
      </c>
      <c r="G185" s="5" t="s">
        <v>362</v>
      </c>
      <c r="H185" s="5" t="s">
        <v>362</v>
      </c>
      <c r="I185" s="5" t="s">
        <v>362</v>
      </c>
      <c r="J185" s="5" t="s">
        <v>362</v>
      </c>
      <c r="K185" s="5" t="s">
        <v>362</v>
      </c>
      <c r="L185" s="5" t="s">
        <v>362</v>
      </c>
      <c r="M185" s="5" t="s">
        <v>362</v>
      </c>
      <c r="N185" s="35">
        <v>206.8</v>
      </c>
      <c r="O185" s="35">
        <v>174.4</v>
      </c>
      <c r="P185" s="4">
        <f t="shared" si="58"/>
        <v>0.84332688588007731</v>
      </c>
      <c r="Q185" s="11">
        <v>20</v>
      </c>
      <c r="R185" s="35">
        <v>150</v>
      </c>
      <c r="S185" s="35">
        <v>147.19999999999999</v>
      </c>
      <c r="T185" s="4">
        <f t="shared" si="59"/>
        <v>0.98133333333333328</v>
      </c>
      <c r="U185" s="11">
        <v>25</v>
      </c>
      <c r="V185" s="35">
        <v>5</v>
      </c>
      <c r="W185" s="35">
        <v>5.6</v>
      </c>
      <c r="X185" s="4">
        <f t="shared" si="60"/>
        <v>1.1199999999999999</v>
      </c>
      <c r="Y185" s="11">
        <v>25</v>
      </c>
      <c r="Z185" s="35">
        <v>10714</v>
      </c>
      <c r="AA185" s="35">
        <v>10050</v>
      </c>
      <c r="AB185" s="4">
        <f t="shared" si="61"/>
        <v>0.9380250140003733</v>
      </c>
      <c r="AC185" s="11">
        <v>5</v>
      </c>
      <c r="AD185" s="11">
        <v>371</v>
      </c>
      <c r="AE185" s="11">
        <v>409</v>
      </c>
      <c r="AF185" s="4">
        <f t="shared" si="62"/>
        <v>1.1024258760107817</v>
      </c>
      <c r="AG185" s="11">
        <v>20</v>
      </c>
      <c r="AH185" s="5" t="s">
        <v>362</v>
      </c>
      <c r="AI185" s="5" t="s">
        <v>362</v>
      </c>
      <c r="AJ185" s="5" t="s">
        <v>362</v>
      </c>
      <c r="AK185" s="5" t="s">
        <v>362</v>
      </c>
      <c r="AL185" s="5" t="s">
        <v>362</v>
      </c>
      <c r="AM185" s="5" t="s">
        <v>362</v>
      </c>
      <c r="AN185" s="5" t="s">
        <v>362</v>
      </c>
      <c r="AO185" s="5" t="s">
        <v>362</v>
      </c>
      <c r="AP185" s="44">
        <f t="shared" si="71"/>
        <v>1.0119843541173934</v>
      </c>
      <c r="AQ185" s="45">
        <v>1253</v>
      </c>
      <c r="AR185" s="35">
        <f t="shared" si="63"/>
        <v>341.72727272727275</v>
      </c>
      <c r="AS185" s="35">
        <f t="shared" si="64"/>
        <v>345.8</v>
      </c>
      <c r="AT185" s="35">
        <f t="shared" si="65"/>
        <v>4.0727272727272634</v>
      </c>
      <c r="AU185" s="35">
        <v>102.9</v>
      </c>
      <c r="AV185" s="35">
        <v>120</v>
      </c>
      <c r="AW185" s="35">
        <f t="shared" si="66"/>
        <v>122.9</v>
      </c>
      <c r="AX185" s="35"/>
      <c r="AY185" s="35">
        <f t="shared" si="67"/>
        <v>122.9</v>
      </c>
      <c r="AZ185" s="35">
        <v>0</v>
      </c>
      <c r="BA185" s="35">
        <f t="shared" si="68"/>
        <v>122.9</v>
      </c>
      <c r="BB185" s="35">
        <f>MIN(BA185,7.3)</f>
        <v>7.3</v>
      </c>
      <c r="BC185" s="35">
        <f t="shared" si="69"/>
        <v>115.6</v>
      </c>
      <c r="BD185" s="35">
        <v>117</v>
      </c>
      <c r="BE185" s="35">
        <f t="shared" si="70"/>
        <v>-1.4</v>
      </c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9"/>
      <c r="BU185" s="9"/>
      <c r="BV185" s="9"/>
      <c r="BW185" s="9"/>
      <c r="BX185" s="9"/>
      <c r="BY185" s="9"/>
      <c r="BZ185" s="9"/>
      <c r="CA185" s="9"/>
      <c r="CB185" s="9"/>
      <c r="CC185" s="9"/>
      <c r="CD185" s="9"/>
      <c r="CE185" s="9"/>
      <c r="CF185" s="9"/>
      <c r="CG185" s="9"/>
      <c r="CH185" s="9"/>
      <c r="CI185" s="9"/>
      <c r="CJ185" s="9"/>
      <c r="CK185" s="9"/>
      <c r="CL185" s="9"/>
      <c r="CM185" s="9"/>
      <c r="CN185" s="9"/>
      <c r="CO185" s="9"/>
      <c r="CP185" s="9"/>
      <c r="CQ185" s="10"/>
      <c r="CR185" s="9"/>
      <c r="CS185" s="9"/>
      <c r="CT185" s="9"/>
      <c r="CU185" s="9"/>
      <c r="CV185" s="9"/>
      <c r="CW185" s="9"/>
      <c r="CX185" s="9"/>
      <c r="CY185" s="9"/>
      <c r="CZ185" s="9"/>
      <c r="DA185" s="9"/>
      <c r="DB185" s="9"/>
      <c r="DC185" s="9"/>
      <c r="DD185" s="9"/>
      <c r="DE185" s="9"/>
      <c r="DF185" s="9"/>
      <c r="DG185" s="9"/>
      <c r="DH185" s="9"/>
      <c r="DI185" s="9"/>
      <c r="DJ185" s="9"/>
      <c r="DK185" s="9"/>
      <c r="DL185" s="9"/>
      <c r="DM185" s="9"/>
      <c r="DN185" s="9"/>
      <c r="DO185" s="9"/>
      <c r="DP185" s="9"/>
      <c r="DQ185" s="9"/>
      <c r="DR185" s="9"/>
      <c r="DS185" s="10"/>
      <c r="DT185" s="9"/>
      <c r="DU185" s="9"/>
      <c r="DV185" s="9"/>
      <c r="DW185" s="9"/>
      <c r="DX185" s="9"/>
      <c r="DY185" s="9"/>
      <c r="DZ185" s="9"/>
      <c r="EA185" s="9"/>
      <c r="EB185" s="9"/>
      <c r="EC185" s="9"/>
      <c r="ED185" s="9"/>
      <c r="EE185" s="9"/>
      <c r="EF185" s="9"/>
      <c r="EG185" s="9"/>
      <c r="EH185" s="9"/>
      <c r="EI185" s="9"/>
      <c r="EJ185" s="9"/>
      <c r="EK185" s="9"/>
      <c r="EL185" s="9"/>
      <c r="EM185" s="9"/>
      <c r="EN185" s="9"/>
      <c r="EO185" s="9"/>
      <c r="EP185" s="9"/>
      <c r="EQ185" s="9"/>
      <c r="ER185" s="9"/>
      <c r="ES185" s="9"/>
      <c r="ET185" s="9"/>
      <c r="EU185" s="10"/>
      <c r="EV185" s="9"/>
      <c r="EW185" s="9"/>
      <c r="EX185" s="9"/>
      <c r="EY185" s="9"/>
      <c r="EZ185" s="9"/>
      <c r="FA185" s="9"/>
      <c r="FB185" s="9"/>
      <c r="FC185" s="9"/>
      <c r="FD185" s="9"/>
      <c r="FE185" s="9"/>
      <c r="FF185" s="9"/>
      <c r="FG185" s="9"/>
      <c r="FH185" s="9"/>
      <c r="FI185" s="9"/>
      <c r="FJ185" s="9"/>
      <c r="FK185" s="9"/>
      <c r="FL185" s="9"/>
      <c r="FM185" s="9"/>
      <c r="FN185" s="9"/>
      <c r="FO185" s="9"/>
      <c r="FP185" s="9"/>
      <c r="FQ185" s="9"/>
      <c r="FR185" s="9"/>
      <c r="FS185" s="9"/>
      <c r="FT185" s="9"/>
      <c r="FU185" s="9"/>
      <c r="FV185" s="9"/>
      <c r="FW185" s="10"/>
      <c r="FX185" s="9"/>
      <c r="FY185" s="9"/>
      <c r="FZ185" s="9"/>
      <c r="GA185" s="9"/>
      <c r="GB185" s="9"/>
      <c r="GC185" s="9"/>
      <c r="GD185" s="9"/>
      <c r="GE185" s="9"/>
      <c r="GF185" s="9"/>
      <c r="GG185" s="9"/>
      <c r="GH185" s="9"/>
      <c r="GI185" s="9"/>
      <c r="GJ185" s="9"/>
      <c r="GK185" s="9"/>
      <c r="GL185" s="9"/>
      <c r="GM185" s="9"/>
      <c r="GN185" s="9"/>
      <c r="GO185" s="9"/>
      <c r="GP185" s="9"/>
      <c r="GQ185" s="9"/>
      <c r="GR185" s="9"/>
      <c r="GS185" s="9"/>
      <c r="GT185" s="9"/>
      <c r="GU185" s="9"/>
      <c r="GV185" s="9"/>
      <c r="GW185" s="9"/>
      <c r="GX185" s="9"/>
      <c r="GY185" s="10"/>
      <c r="GZ185" s="9"/>
      <c r="HA185" s="9"/>
    </row>
    <row r="186" spans="1:209" s="2" customFormat="1" ht="17" customHeight="1">
      <c r="A186" s="14" t="s">
        <v>183</v>
      </c>
      <c r="B186" s="35">
        <v>46266</v>
      </c>
      <c r="C186" s="35">
        <v>51377</v>
      </c>
      <c r="D186" s="4">
        <f t="shared" si="57"/>
        <v>1.1104698914969957</v>
      </c>
      <c r="E186" s="11">
        <v>10</v>
      </c>
      <c r="F186" s="5" t="s">
        <v>362</v>
      </c>
      <c r="G186" s="5" t="s">
        <v>362</v>
      </c>
      <c r="H186" s="5" t="s">
        <v>362</v>
      </c>
      <c r="I186" s="5" t="s">
        <v>362</v>
      </c>
      <c r="J186" s="5" t="s">
        <v>362</v>
      </c>
      <c r="K186" s="5" t="s">
        <v>362</v>
      </c>
      <c r="L186" s="5" t="s">
        <v>362</v>
      </c>
      <c r="M186" s="5" t="s">
        <v>362</v>
      </c>
      <c r="N186" s="35">
        <v>712.3</v>
      </c>
      <c r="O186" s="35">
        <v>1621.6</v>
      </c>
      <c r="P186" s="4">
        <f t="shared" si="58"/>
        <v>1.3</v>
      </c>
      <c r="Q186" s="11">
        <v>20</v>
      </c>
      <c r="R186" s="35">
        <v>925</v>
      </c>
      <c r="S186" s="35">
        <v>969.3</v>
      </c>
      <c r="T186" s="4">
        <f t="shared" si="59"/>
        <v>1.0478918918918918</v>
      </c>
      <c r="U186" s="11">
        <v>35</v>
      </c>
      <c r="V186" s="35">
        <v>55</v>
      </c>
      <c r="W186" s="35">
        <v>59.5</v>
      </c>
      <c r="X186" s="4">
        <f t="shared" si="60"/>
        <v>1.0818181818181818</v>
      </c>
      <c r="Y186" s="11">
        <v>15</v>
      </c>
      <c r="Z186" s="35">
        <v>39746</v>
      </c>
      <c r="AA186" s="35">
        <v>49380</v>
      </c>
      <c r="AB186" s="4">
        <f t="shared" si="61"/>
        <v>1.2042389171237358</v>
      </c>
      <c r="AC186" s="11">
        <v>5</v>
      </c>
      <c r="AD186" s="11">
        <v>765</v>
      </c>
      <c r="AE186" s="11">
        <v>780</v>
      </c>
      <c r="AF186" s="4">
        <f t="shared" si="62"/>
        <v>1.0196078431372548</v>
      </c>
      <c r="AG186" s="11">
        <v>20</v>
      </c>
      <c r="AH186" s="5" t="s">
        <v>362</v>
      </c>
      <c r="AI186" s="5" t="s">
        <v>362</v>
      </c>
      <c r="AJ186" s="5" t="s">
        <v>362</v>
      </c>
      <c r="AK186" s="5" t="s">
        <v>362</v>
      </c>
      <c r="AL186" s="5" t="s">
        <v>362</v>
      </c>
      <c r="AM186" s="5" t="s">
        <v>362</v>
      </c>
      <c r="AN186" s="5" t="s">
        <v>362</v>
      </c>
      <c r="AO186" s="5" t="s">
        <v>362</v>
      </c>
      <c r="AP186" s="44">
        <f t="shared" si="71"/>
        <v>1.1087765648268824</v>
      </c>
      <c r="AQ186" s="45">
        <v>792</v>
      </c>
      <c r="AR186" s="35">
        <f t="shared" si="63"/>
        <v>216</v>
      </c>
      <c r="AS186" s="35">
        <f t="shared" si="64"/>
        <v>239.5</v>
      </c>
      <c r="AT186" s="35">
        <f t="shared" si="65"/>
        <v>23.5</v>
      </c>
      <c r="AU186" s="35">
        <v>72.8</v>
      </c>
      <c r="AV186" s="35">
        <v>74.599999999999994</v>
      </c>
      <c r="AW186" s="35">
        <f t="shared" si="66"/>
        <v>92.1</v>
      </c>
      <c r="AX186" s="35"/>
      <c r="AY186" s="35">
        <f t="shared" si="67"/>
        <v>92.1</v>
      </c>
      <c r="AZ186" s="35">
        <v>0</v>
      </c>
      <c r="BA186" s="35">
        <f t="shared" si="68"/>
        <v>92.1</v>
      </c>
      <c r="BB186" s="35">
        <f>MIN(BA186,36)</f>
        <v>36</v>
      </c>
      <c r="BC186" s="35">
        <f t="shared" si="69"/>
        <v>56.1</v>
      </c>
      <c r="BD186" s="35">
        <v>55.1</v>
      </c>
      <c r="BE186" s="35">
        <f t="shared" si="70"/>
        <v>1</v>
      </c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9"/>
      <c r="BU186" s="9"/>
      <c r="BV186" s="9"/>
      <c r="BW186" s="9"/>
      <c r="BX186" s="9"/>
      <c r="BY186" s="9"/>
      <c r="BZ186" s="9"/>
      <c r="CA186" s="9"/>
      <c r="CB186" s="9"/>
      <c r="CC186" s="9"/>
      <c r="CD186" s="9"/>
      <c r="CE186" s="9"/>
      <c r="CF186" s="9"/>
      <c r="CG186" s="9"/>
      <c r="CH186" s="9"/>
      <c r="CI186" s="9"/>
      <c r="CJ186" s="9"/>
      <c r="CK186" s="9"/>
      <c r="CL186" s="9"/>
      <c r="CM186" s="9"/>
      <c r="CN186" s="9"/>
      <c r="CO186" s="9"/>
      <c r="CP186" s="9"/>
      <c r="CQ186" s="10"/>
      <c r="CR186" s="9"/>
      <c r="CS186" s="9"/>
      <c r="CT186" s="9"/>
      <c r="CU186" s="9"/>
      <c r="CV186" s="9"/>
      <c r="CW186" s="9"/>
      <c r="CX186" s="9"/>
      <c r="CY186" s="9"/>
      <c r="CZ186" s="9"/>
      <c r="DA186" s="9"/>
      <c r="DB186" s="9"/>
      <c r="DC186" s="9"/>
      <c r="DD186" s="9"/>
      <c r="DE186" s="9"/>
      <c r="DF186" s="9"/>
      <c r="DG186" s="9"/>
      <c r="DH186" s="9"/>
      <c r="DI186" s="9"/>
      <c r="DJ186" s="9"/>
      <c r="DK186" s="9"/>
      <c r="DL186" s="9"/>
      <c r="DM186" s="9"/>
      <c r="DN186" s="9"/>
      <c r="DO186" s="9"/>
      <c r="DP186" s="9"/>
      <c r="DQ186" s="9"/>
      <c r="DR186" s="9"/>
      <c r="DS186" s="10"/>
      <c r="DT186" s="9"/>
      <c r="DU186" s="9"/>
      <c r="DV186" s="9"/>
      <c r="DW186" s="9"/>
      <c r="DX186" s="9"/>
      <c r="DY186" s="9"/>
      <c r="DZ186" s="9"/>
      <c r="EA186" s="9"/>
      <c r="EB186" s="9"/>
      <c r="EC186" s="9"/>
      <c r="ED186" s="9"/>
      <c r="EE186" s="9"/>
      <c r="EF186" s="9"/>
      <c r="EG186" s="9"/>
      <c r="EH186" s="9"/>
      <c r="EI186" s="9"/>
      <c r="EJ186" s="9"/>
      <c r="EK186" s="9"/>
      <c r="EL186" s="9"/>
      <c r="EM186" s="9"/>
      <c r="EN186" s="9"/>
      <c r="EO186" s="9"/>
      <c r="EP186" s="9"/>
      <c r="EQ186" s="9"/>
      <c r="ER186" s="9"/>
      <c r="ES186" s="9"/>
      <c r="ET186" s="9"/>
      <c r="EU186" s="10"/>
      <c r="EV186" s="9"/>
      <c r="EW186" s="9"/>
      <c r="EX186" s="9"/>
      <c r="EY186" s="9"/>
      <c r="EZ186" s="9"/>
      <c r="FA186" s="9"/>
      <c r="FB186" s="9"/>
      <c r="FC186" s="9"/>
      <c r="FD186" s="9"/>
      <c r="FE186" s="9"/>
      <c r="FF186" s="9"/>
      <c r="FG186" s="9"/>
      <c r="FH186" s="9"/>
      <c r="FI186" s="9"/>
      <c r="FJ186" s="9"/>
      <c r="FK186" s="9"/>
      <c r="FL186" s="9"/>
      <c r="FM186" s="9"/>
      <c r="FN186" s="9"/>
      <c r="FO186" s="9"/>
      <c r="FP186" s="9"/>
      <c r="FQ186" s="9"/>
      <c r="FR186" s="9"/>
      <c r="FS186" s="9"/>
      <c r="FT186" s="9"/>
      <c r="FU186" s="9"/>
      <c r="FV186" s="9"/>
      <c r="FW186" s="10"/>
      <c r="FX186" s="9"/>
      <c r="FY186" s="9"/>
      <c r="FZ186" s="9"/>
      <c r="GA186" s="9"/>
      <c r="GB186" s="9"/>
      <c r="GC186" s="9"/>
      <c r="GD186" s="9"/>
      <c r="GE186" s="9"/>
      <c r="GF186" s="9"/>
      <c r="GG186" s="9"/>
      <c r="GH186" s="9"/>
      <c r="GI186" s="9"/>
      <c r="GJ186" s="9"/>
      <c r="GK186" s="9"/>
      <c r="GL186" s="9"/>
      <c r="GM186" s="9"/>
      <c r="GN186" s="9"/>
      <c r="GO186" s="9"/>
      <c r="GP186" s="9"/>
      <c r="GQ186" s="9"/>
      <c r="GR186" s="9"/>
      <c r="GS186" s="9"/>
      <c r="GT186" s="9"/>
      <c r="GU186" s="9"/>
      <c r="GV186" s="9"/>
      <c r="GW186" s="9"/>
      <c r="GX186" s="9"/>
      <c r="GY186" s="10"/>
      <c r="GZ186" s="9"/>
      <c r="HA186" s="9"/>
    </row>
    <row r="187" spans="1:209" s="2" customFormat="1" ht="17" customHeight="1">
      <c r="A187" s="14" t="s">
        <v>184</v>
      </c>
      <c r="B187" s="35">
        <v>0</v>
      </c>
      <c r="C187" s="35">
        <v>0</v>
      </c>
      <c r="D187" s="4">
        <f t="shared" si="57"/>
        <v>0</v>
      </c>
      <c r="E187" s="11">
        <v>0</v>
      </c>
      <c r="F187" s="5" t="s">
        <v>362</v>
      </c>
      <c r="G187" s="5" t="s">
        <v>362</v>
      </c>
      <c r="H187" s="5" t="s">
        <v>362</v>
      </c>
      <c r="I187" s="5" t="s">
        <v>362</v>
      </c>
      <c r="J187" s="5" t="s">
        <v>362</v>
      </c>
      <c r="K187" s="5" t="s">
        <v>362</v>
      </c>
      <c r="L187" s="5" t="s">
        <v>362</v>
      </c>
      <c r="M187" s="5" t="s">
        <v>362</v>
      </c>
      <c r="N187" s="35">
        <v>304.3</v>
      </c>
      <c r="O187" s="35">
        <v>93</v>
      </c>
      <c r="P187" s="4">
        <f t="shared" si="58"/>
        <v>0.30561945448570488</v>
      </c>
      <c r="Q187" s="11">
        <v>20</v>
      </c>
      <c r="R187" s="35">
        <v>220</v>
      </c>
      <c r="S187" s="35">
        <v>225.4</v>
      </c>
      <c r="T187" s="4">
        <f t="shared" si="59"/>
        <v>1.0245454545454546</v>
      </c>
      <c r="U187" s="11">
        <v>30</v>
      </c>
      <c r="V187" s="35">
        <v>21</v>
      </c>
      <c r="W187" s="35">
        <v>21.4</v>
      </c>
      <c r="X187" s="4">
        <f t="shared" si="60"/>
        <v>1.019047619047619</v>
      </c>
      <c r="Y187" s="11">
        <v>20</v>
      </c>
      <c r="Z187" s="35">
        <v>8295</v>
      </c>
      <c r="AA187" s="35">
        <v>7677</v>
      </c>
      <c r="AB187" s="4">
        <f t="shared" si="61"/>
        <v>0.92549728752260396</v>
      </c>
      <c r="AC187" s="11">
        <v>5</v>
      </c>
      <c r="AD187" s="11">
        <v>700</v>
      </c>
      <c r="AE187" s="11">
        <v>710</v>
      </c>
      <c r="AF187" s="4">
        <f t="shared" si="62"/>
        <v>1.0142857142857142</v>
      </c>
      <c r="AG187" s="11">
        <v>20</v>
      </c>
      <c r="AH187" s="5" t="s">
        <v>362</v>
      </c>
      <c r="AI187" s="5" t="s">
        <v>362</v>
      </c>
      <c r="AJ187" s="5" t="s">
        <v>362</v>
      </c>
      <c r="AK187" s="5" t="s">
        <v>362</v>
      </c>
      <c r="AL187" s="5" t="s">
        <v>362</v>
      </c>
      <c r="AM187" s="5" t="s">
        <v>362</v>
      </c>
      <c r="AN187" s="5" t="s">
        <v>362</v>
      </c>
      <c r="AO187" s="5" t="s">
        <v>362</v>
      </c>
      <c r="AP187" s="44">
        <f t="shared" si="71"/>
        <v>0.86466216663534123</v>
      </c>
      <c r="AQ187" s="45">
        <v>1691</v>
      </c>
      <c r="AR187" s="35">
        <f t="shared" si="63"/>
        <v>461.18181818181813</v>
      </c>
      <c r="AS187" s="35">
        <f t="shared" si="64"/>
        <v>398.8</v>
      </c>
      <c r="AT187" s="35">
        <f t="shared" si="65"/>
        <v>-62.381818181818119</v>
      </c>
      <c r="AU187" s="35">
        <v>119.6</v>
      </c>
      <c r="AV187" s="35">
        <v>125.2</v>
      </c>
      <c r="AW187" s="35">
        <f t="shared" si="66"/>
        <v>154</v>
      </c>
      <c r="AX187" s="35"/>
      <c r="AY187" s="35">
        <f t="shared" si="67"/>
        <v>154</v>
      </c>
      <c r="AZ187" s="35">
        <v>0</v>
      </c>
      <c r="BA187" s="35">
        <f t="shared" si="68"/>
        <v>154</v>
      </c>
      <c r="BB187" s="35"/>
      <c r="BC187" s="35">
        <f t="shared" si="69"/>
        <v>154</v>
      </c>
      <c r="BD187" s="35">
        <v>152.4</v>
      </c>
      <c r="BE187" s="35">
        <f t="shared" si="70"/>
        <v>1.6</v>
      </c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9"/>
      <c r="BU187" s="9"/>
      <c r="BV187" s="9"/>
      <c r="BW187" s="9"/>
      <c r="BX187" s="9"/>
      <c r="BY187" s="9"/>
      <c r="BZ187" s="9"/>
      <c r="CA187" s="9"/>
      <c r="CB187" s="9"/>
      <c r="CC187" s="9"/>
      <c r="CD187" s="9"/>
      <c r="CE187" s="9"/>
      <c r="CF187" s="9"/>
      <c r="CG187" s="9"/>
      <c r="CH187" s="9"/>
      <c r="CI187" s="9"/>
      <c r="CJ187" s="9"/>
      <c r="CK187" s="9"/>
      <c r="CL187" s="9"/>
      <c r="CM187" s="9"/>
      <c r="CN187" s="9"/>
      <c r="CO187" s="9"/>
      <c r="CP187" s="9"/>
      <c r="CQ187" s="10"/>
      <c r="CR187" s="9"/>
      <c r="CS187" s="9"/>
      <c r="CT187" s="9"/>
      <c r="CU187" s="9"/>
      <c r="CV187" s="9"/>
      <c r="CW187" s="9"/>
      <c r="CX187" s="9"/>
      <c r="CY187" s="9"/>
      <c r="CZ187" s="9"/>
      <c r="DA187" s="9"/>
      <c r="DB187" s="9"/>
      <c r="DC187" s="9"/>
      <c r="DD187" s="9"/>
      <c r="DE187" s="9"/>
      <c r="DF187" s="9"/>
      <c r="DG187" s="9"/>
      <c r="DH187" s="9"/>
      <c r="DI187" s="9"/>
      <c r="DJ187" s="9"/>
      <c r="DK187" s="9"/>
      <c r="DL187" s="9"/>
      <c r="DM187" s="9"/>
      <c r="DN187" s="9"/>
      <c r="DO187" s="9"/>
      <c r="DP187" s="9"/>
      <c r="DQ187" s="9"/>
      <c r="DR187" s="9"/>
      <c r="DS187" s="10"/>
      <c r="DT187" s="9"/>
      <c r="DU187" s="9"/>
      <c r="DV187" s="9"/>
      <c r="DW187" s="9"/>
      <c r="DX187" s="9"/>
      <c r="DY187" s="9"/>
      <c r="DZ187" s="9"/>
      <c r="EA187" s="9"/>
      <c r="EB187" s="9"/>
      <c r="EC187" s="9"/>
      <c r="ED187" s="9"/>
      <c r="EE187" s="9"/>
      <c r="EF187" s="9"/>
      <c r="EG187" s="9"/>
      <c r="EH187" s="9"/>
      <c r="EI187" s="9"/>
      <c r="EJ187" s="9"/>
      <c r="EK187" s="9"/>
      <c r="EL187" s="9"/>
      <c r="EM187" s="9"/>
      <c r="EN187" s="9"/>
      <c r="EO187" s="9"/>
      <c r="EP187" s="9"/>
      <c r="EQ187" s="9"/>
      <c r="ER187" s="9"/>
      <c r="ES187" s="9"/>
      <c r="ET187" s="9"/>
      <c r="EU187" s="10"/>
      <c r="EV187" s="9"/>
      <c r="EW187" s="9"/>
      <c r="EX187" s="9"/>
      <c r="EY187" s="9"/>
      <c r="EZ187" s="9"/>
      <c r="FA187" s="9"/>
      <c r="FB187" s="9"/>
      <c r="FC187" s="9"/>
      <c r="FD187" s="9"/>
      <c r="FE187" s="9"/>
      <c r="FF187" s="9"/>
      <c r="FG187" s="9"/>
      <c r="FH187" s="9"/>
      <c r="FI187" s="9"/>
      <c r="FJ187" s="9"/>
      <c r="FK187" s="9"/>
      <c r="FL187" s="9"/>
      <c r="FM187" s="9"/>
      <c r="FN187" s="9"/>
      <c r="FO187" s="9"/>
      <c r="FP187" s="9"/>
      <c r="FQ187" s="9"/>
      <c r="FR187" s="9"/>
      <c r="FS187" s="9"/>
      <c r="FT187" s="9"/>
      <c r="FU187" s="9"/>
      <c r="FV187" s="9"/>
      <c r="FW187" s="10"/>
      <c r="FX187" s="9"/>
      <c r="FY187" s="9"/>
      <c r="FZ187" s="9"/>
      <c r="GA187" s="9"/>
      <c r="GB187" s="9"/>
      <c r="GC187" s="9"/>
      <c r="GD187" s="9"/>
      <c r="GE187" s="9"/>
      <c r="GF187" s="9"/>
      <c r="GG187" s="9"/>
      <c r="GH187" s="9"/>
      <c r="GI187" s="9"/>
      <c r="GJ187" s="9"/>
      <c r="GK187" s="9"/>
      <c r="GL187" s="9"/>
      <c r="GM187" s="9"/>
      <c r="GN187" s="9"/>
      <c r="GO187" s="9"/>
      <c r="GP187" s="9"/>
      <c r="GQ187" s="9"/>
      <c r="GR187" s="9"/>
      <c r="GS187" s="9"/>
      <c r="GT187" s="9"/>
      <c r="GU187" s="9"/>
      <c r="GV187" s="9"/>
      <c r="GW187" s="9"/>
      <c r="GX187" s="9"/>
      <c r="GY187" s="10"/>
      <c r="GZ187" s="9"/>
      <c r="HA187" s="9"/>
    </row>
    <row r="188" spans="1:209" s="2" customFormat="1" ht="17" customHeight="1">
      <c r="A188" s="14" t="s">
        <v>185</v>
      </c>
      <c r="B188" s="35">
        <v>0</v>
      </c>
      <c r="C188" s="35">
        <v>0</v>
      </c>
      <c r="D188" s="4">
        <f t="shared" si="57"/>
        <v>0</v>
      </c>
      <c r="E188" s="11">
        <v>0</v>
      </c>
      <c r="F188" s="5" t="s">
        <v>362</v>
      </c>
      <c r="G188" s="5" t="s">
        <v>362</v>
      </c>
      <c r="H188" s="5" t="s">
        <v>362</v>
      </c>
      <c r="I188" s="5" t="s">
        <v>362</v>
      </c>
      <c r="J188" s="5" t="s">
        <v>362</v>
      </c>
      <c r="K188" s="5" t="s">
        <v>362</v>
      </c>
      <c r="L188" s="5" t="s">
        <v>362</v>
      </c>
      <c r="M188" s="5" t="s">
        <v>362</v>
      </c>
      <c r="N188" s="35">
        <v>111.4</v>
      </c>
      <c r="O188" s="35">
        <v>42.9</v>
      </c>
      <c r="P188" s="4">
        <f t="shared" si="58"/>
        <v>0.38509874326750443</v>
      </c>
      <c r="Q188" s="11">
        <v>20</v>
      </c>
      <c r="R188" s="35">
        <v>385</v>
      </c>
      <c r="S188" s="35">
        <v>413.6</v>
      </c>
      <c r="T188" s="4">
        <f t="shared" si="59"/>
        <v>1.0742857142857143</v>
      </c>
      <c r="U188" s="11">
        <v>30</v>
      </c>
      <c r="V188" s="35">
        <v>28</v>
      </c>
      <c r="W188" s="35">
        <v>28.1</v>
      </c>
      <c r="X188" s="4">
        <f t="shared" si="60"/>
        <v>1.0035714285714286</v>
      </c>
      <c r="Y188" s="11">
        <v>20</v>
      </c>
      <c r="Z188" s="35">
        <v>7258</v>
      </c>
      <c r="AA188" s="35">
        <v>6316</v>
      </c>
      <c r="AB188" s="4">
        <f t="shared" si="61"/>
        <v>0.87021217966381925</v>
      </c>
      <c r="AC188" s="11">
        <v>5</v>
      </c>
      <c r="AD188" s="11">
        <v>470</v>
      </c>
      <c r="AE188" s="11">
        <v>475</v>
      </c>
      <c r="AF188" s="4">
        <f t="shared" si="62"/>
        <v>1.0106382978723405</v>
      </c>
      <c r="AG188" s="11">
        <v>20</v>
      </c>
      <c r="AH188" s="5" t="s">
        <v>362</v>
      </c>
      <c r="AI188" s="5" t="s">
        <v>362</v>
      </c>
      <c r="AJ188" s="5" t="s">
        <v>362</v>
      </c>
      <c r="AK188" s="5" t="s">
        <v>362</v>
      </c>
      <c r="AL188" s="5" t="s">
        <v>362</v>
      </c>
      <c r="AM188" s="5" t="s">
        <v>362</v>
      </c>
      <c r="AN188" s="5" t="s">
        <v>362</v>
      </c>
      <c r="AO188" s="5" t="s">
        <v>362</v>
      </c>
      <c r="AP188" s="44">
        <f t="shared" si="71"/>
        <v>0.89016633390648414</v>
      </c>
      <c r="AQ188" s="45">
        <v>1185</v>
      </c>
      <c r="AR188" s="35">
        <f t="shared" si="63"/>
        <v>323.18181818181819</v>
      </c>
      <c r="AS188" s="35">
        <f t="shared" si="64"/>
        <v>287.7</v>
      </c>
      <c r="AT188" s="35">
        <f t="shared" si="65"/>
        <v>-35.481818181818198</v>
      </c>
      <c r="AU188" s="35">
        <v>100.5</v>
      </c>
      <c r="AV188" s="35">
        <v>86.3</v>
      </c>
      <c r="AW188" s="35">
        <f t="shared" si="66"/>
        <v>100.9</v>
      </c>
      <c r="AX188" s="35"/>
      <c r="AY188" s="35">
        <f t="shared" si="67"/>
        <v>100.9</v>
      </c>
      <c r="AZ188" s="35">
        <v>0</v>
      </c>
      <c r="BA188" s="35">
        <f t="shared" si="68"/>
        <v>100.9</v>
      </c>
      <c r="BB188" s="35"/>
      <c r="BC188" s="35">
        <f t="shared" si="69"/>
        <v>100.9</v>
      </c>
      <c r="BD188" s="35">
        <v>101.2</v>
      </c>
      <c r="BE188" s="35">
        <f t="shared" si="70"/>
        <v>-0.3</v>
      </c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9"/>
      <c r="BU188" s="9"/>
      <c r="BV188" s="9"/>
      <c r="BW188" s="9"/>
      <c r="BX188" s="9"/>
      <c r="BY188" s="9"/>
      <c r="BZ188" s="9"/>
      <c r="CA188" s="9"/>
      <c r="CB188" s="9"/>
      <c r="CC188" s="9"/>
      <c r="CD188" s="9"/>
      <c r="CE188" s="9"/>
      <c r="CF188" s="9"/>
      <c r="CG188" s="9"/>
      <c r="CH188" s="9"/>
      <c r="CI188" s="9"/>
      <c r="CJ188" s="9"/>
      <c r="CK188" s="9"/>
      <c r="CL188" s="9"/>
      <c r="CM188" s="9"/>
      <c r="CN188" s="9"/>
      <c r="CO188" s="9"/>
      <c r="CP188" s="9"/>
      <c r="CQ188" s="10"/>
      <c r="CR188" s="9"/>
      <c r="CS188" s="9"/>
      <c r="CT188" s="9"/>
      <c r="CU188" s="9"/>
      <c r="CV188" s="9"/>
      <c r="CW188" s="9"/>
      <c r="CX188" s="9"/>
      <c r="CY188" s="9"/>
      <c r="CZ188" s="9"/>
      <c r="DA188" s="9"/>
      <c r="DB188" s="9"/>
      <c r="DC188" s="9"/>
      <c r="DD188" s="9"/>
      <c r="DE188" s="9"/>
      <c r="DF188" s="9"/>
      <c r="DG188" s="9"/>
      <c r="DH188" s="9"/>
      <c r="DI188" s="9"/>
      <c r="DJ188" s="9"/>
      <c r="DK188" s="9"/>
      <c r="DL188" s="9"/>
      <c r="DM188" s="9"/>
      <c r="DN188" s="9"/>
      <c r="DO188" s="9"/>
      <c r="DP188" s="9"/>
      <c r="DQ188" s="9"/>
      <c r="DR188" s="9"/>
      <c r="DS188" s="10"/>
      <c r="DT188" s="9"/>
      <c r="DU188" s="9"/>
      <c r="DV188" s="9"/>
      <c r="DW188" s="9"/>
      <c r="DX188" s="9"/>
      <c r="DY188" s="9"/>
      <c r="DZ188" s="9"/>
      <c r="EA188" s="9"/>
      <c r="EB188" s="9"/>
      <c r="EC188" s="9"/>
      <c r="ED188" s="9"/>
      <c r="EE188" s="9"/>
      <c r="EF188" s="9"/>
      <c r="EG188" s="9"/>
      <c r="EH188" s="9"/>
      <c r="EI188" s="9"/>
      <c r="EJ188" s="9"/>
      <c r="EK188" s="9"/>
      <c r="EL188" s="9"/>
      <c r="EM188" s="9"/>
      <c r="EN188" s="9"/>
      <c r="EO188" s="9"/>
      <c r="EP188" s="9"/>
      <c r="EQ188" s="9"/>
      <c r="ER188" s="9"/>
      <c r="ES188" s="9"/>
      <c r="ET188" s="9"/>
      <c r="EU188" s="10"/>
      <c r="EV188" s="9"/>
      <c r="EW188" s="9"/>
      <c r="EX188" s="9"/>
      <c r="EY188" s="9"/>
      <c r="EZ188" s="9"/>
      <c r="FA188" s="9"/>
      <c r="FB188" s="9"/>
      <c r="FC188" s="9"/>
      <c r="FD188" s="9"/>
      <c r="FE188" s="9"/>
      <c r="FF188" s="9"/>
      <c r="FG188" s="9"/>
      <c r="FH188" s="9"/>
      <c r="FI188" s="9"/>
      <c r="FJ188" s="9"/>
      <c r="FK188" s="9"/>
      <c r="FL188" s="9"/>
      <c r="FM188" s="9"/>
      <c r="FN188" s="9"/>
      <c r="FO188" s="9"/>
      <c r="FP188" s="9"/>
      <c r="FQ188" s="9"/>
      <c r="FR188" s="9"/>
      <c r="FS188" s="9"/>
      <c r="FT188" s="9"/>
      <c r="FU188" s="9"/>
      <c r="FV188" s="9"/>
      <c r="FW188" s="10"/>
      <c r="FX188" s="9"/>
      <c r="FY188" s="9"/>
      <c r="FZ188" s="9"/>
      <c r="GA188" s="9"/>
      <c r="GB188" s="9"/>
      <c r="GC188" s="9"/>
      <c r="GD188" s="9"/>
      <c r="GE188" s="9"/>
      <c r="GF188" s="9"/>
      <c r="GG188" s="9"/>
      <c r="GH188" s="9"/>
      <c r="GI188" s="9"/>
      <c r="GJ188" s="9"/>
      <c r="GK188" s="9"/>
      <c r="GL188" s="9"/>
      <c r="GM188" s="9"/>
      <c r="GN188" s="9"/>
      <c r="GO188" s="9"/>
      <c r="GP188" s="9"/>
      <c r="GQ188" s="9"/>
      <c r="GR188" s="9"/>
      <c r="GS188" s="9"/>
      <c r="GT188" s="9"/>
      <c r="GU188" s="9"/>
      <c r="GV188" s="9"/>
      <c r="GW188" s="9"/>
      <c r="GX188" s="9"/>
      <c r="GY188" s="10"/>
      <c r="GZ188" s="9"/>
      <c r="HA188" s="9"/>
    </row>
    <row r="189" spans="1:209" s="2" customFormat="1" ht="17" customHeight="1">
      <c r="A189" s="14" t="s">
        <v>186</v>
      </c>
      <c r="B189" s="35">
        <v>0</v>
      </c>
      <c r="C189" s="35">
        <v>0</v>
      </c>
      <c r="D189" s="4">
        <f t="shared" si="57"/>
        <v>0</v>
      </c>
      <c r="E189" s="11">
        <v>0</v>
      </c>
      <c r="F189" s="5" t="s">
        <v>362</v>
      </c>
      <c r="G189" s="5" t="s">
        <v>362</v>
      </c>
      <c r="H189" s="5" t="s">
        <v>362</v>
      </c>
      <c r="I189" s="5" t="s">
        <v>362</v>
      </c>
      <c r="J189" s="5" t="s">
        <v>362</v>
      </c>
      <c r="K189" s="5" t="s">
        <v>362</v>
      </c>
      <c r="L189" s="5" t="s">
        <v>362</v>
      </c>
      <c r="M189" s="5" t="s">
        <v>362</v>
      </c>
      <c r="N189" s="35">
        <v>86.5</v>
      </c>
      <c r="O189" s="35">
        <v>74</v>
      </c>
      <c r="P189" s="4">
        <f t="shared" si="58"/>
        <v>0.8554913294797688</v>
      </c>
      <c r="Q189" s="11">
        <v>20</v>
      </c>
      <c r="R189" s="35">
        <v>54</v>
      </c>
      <c r="S189" s="35">
        <v>55.7</v>
      </c>
      <c r="T189" s="4">
        <f t="shared" si="59"/>
        <v>1.0314814814814814</v>
      </c>
      <c r="U189" s="11">
        <v>25</v>
      </c>
      <c r="V189" s="35">
        <v>12</v>
      </c>
      <c r="W189" s="35">
        <v>15.6</v>
      </c>
      <c r="X189" s="4">
        <f t="shared" si="60"/>
        <v>1.21</v>
      </c>
      <c r="Y189" s="11">
        <v>25</v>
      </c>
      <c r="Z189" s="35">
        <v>3802</v>
      </c>
      <c r="AA189" s="35">
        <v>4013</v>
      </c>
      <c r="AB189" s="4">
        <f t="shared" si="61"/>
        <v>1.0554971067859023</v>
      </c>
      <c r="AC189" s="11">
        <v>5</v>
      </c>
      <c r="AD189" s="11">
        <v>328</v>
      </c>
      <c r="AE189" s="11">
        <v>345</v>
      </c>
      <c r="AF189" s="4">
        <f t="shared" si="62"/>
        <v>1.0518292682926829</v>
      </c>
      <c r="AG189" s="11">
        <v>20</v>
      </c>
      <c r="AH189" s="5" t="s">
        <v>362</v>
      </c>
      <c r="AI189" s="5" t="s">
        <v>362</v>
      </c>
      <c r="AJ189" s="5" t="s">
        <v>362</v>
      </c>
      <c r="AK189" s="5" t="s">
        <v>362</v>
      </c>
      <c r="AL189" s="5" t="s">
        <v>362</v>
      </c>
      <c r="AM189" s="5" t="s">
        <v>362</v>
      </c>
      <c r="AN189" s="5" t="s">
        <v>362</v>
      </c>
      <c r="AO189" s="5" t="s">
        <v>362</v>
      </c>
      <c r="AP189" s="44">
        <f t="shared" si="71"/>
        <v>1.0469572055412166</v>
      </c>
      <c r="AQ189" s="45">
        <v>1149</v>
      </c>
      <c r="AR189" s="35">
        <f t="shared" si="63"/>
        <v>313.36363636363637</v>
      </c>
      <c r="AS189" s="35">
        <f t="shared" si="64"/>
        <v>328.1</v>
      </c>
      <c r="AT189" s="35">
        <f t="shared" si="65"/>
        <v>14.736363636363649</v>
      </c>
      <c r="AU189" s="35">
        <v>126.3</v>
      </c>
      <c r="AV189" s="35">
        <v>80.3</v>
      </c>
      <c r="AW189" s="35">
        <f t="shared" si="66"/>
        <v>121.5</v>
      </c>
      <c r="AX189" s="35"/>
      <c r="AY189" s="35">
        <f t="shared" si="67"/>
        <v>121.5</v>
      </c>
      <c r="AZ189" s="35">
        <v>0</v>
      </c>
      <c r="BA189" s="35">
        <f t="shared" si="68"/>
        <v>121.5</v>
      </c>
      <c r="BB189" s="35"/>
      <c r="BC189" s="35">
        <f t="shared" si="69"/>
        <v>121.5</v>
      </c>
      <c r="BD189" s="35">
        <v>121.3</v>
      </c>
      <c r="BE189" s="35">
        <f t="shared" si="70"/>
        <v>0.2</v>
      </c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9"/>
      <c r="BU189" s="9"/>
      <c r="BV189" s="9"/>
      <c r="BW189" s="9"/>
      <c r="BX189" s="9"/>
      <c r="BY189" s="9"/>
      <c r="BZ189" s="9"/>
      <c r="CA189" s="9"/>
      <c r="CB189" s="9"/>
      <c r="CC189" s="9"/>
      <c r="CD189" s="9"/>
      <c r="CE189" s="9"/>
      <c r="CF189" s="9"/>
      <c r="CG189" s="9"/>
      <c r="CH189" s="9"/>
      <c r="CI189" s="9"/>
      <c r="CJ189" s="9"/>
      <c r="CK189" s="9"/>
      <c r="CL189" s="9"/>
      <c r="CM189" s="9"/>
      <c r="CN189" s="9"/>
      <c r="CO189" s="9"/>
      <c r="CP189" s="9"/>
      <c r="CQ189" s="10"/>
      <c r="CR189" s="9"/>
      <c r="CS189" s="9"/>
      <c r="CT189" s="9"/>
      <c r="CU189" s="9"/>
      <c r="CV189" s="9"/>
      <c r="CW189" s="9"/>
      <c r="CX189" s="9"/>
      <c r="CY189" s="9"/>
      <c r="CZ189" s="9"/>
      <c r="DA189" s="9"/>
      <c r="DB189" s="9"/>
      <c r="DC189" s="9"/>
      <c r="DD189" s="9"/>
      <c r="DE189" s="9"/>
      <c r="DF189" s="9"/>
      <c r="DG189" s="9"/>
      <c r="DH189" s="9"/>
      <c r="DI189" s="9"/>
      <c r="DJ189" s="9"/>
      <c r="DK189" s="9"/>
      <c r="DL189" s="9"/>
      <c r="DM189" s="9"/>
      <c r="DN189" s="9"/>
      <c r="DO189" s="9"/>
      <c r="DP189" s="9"/>
      <c r="DQ189" s="9"/>
      <c r="DR189" s="9"/>
      <c r="DS189" s="10"/>
      <c r="DT189" s="9"/>
      <c r="DU189" s="9"/>
      <c r="DV189" s="9"/>
      <c r="DW189" s="9"/>
      <c r="DX189" s="9"/>
      <c r="DY189" s="9"/>
      <c r="DZ189" s="9"/>
      <c r="EA189" s="9"/>
      <c r="EB189" s="9"/>
      <c r="EC189" s="9"/>
      <c r="ED189" s="9"/>
      <c r="EE189" s="9"/>
      <c r="EF189" s="9"/>
      <c r="EG189" s="9"/>
      <c r="EH189" s="9"/>
      <c r="EI189" s="9"/>
      <c r="EJ189" s="9"/>
      <c r="EK189" s="9"/>
      <c r="EL189" s="9"/>
      <c r="EM189" s="9"/>
      <c r="EN189" s="9"/>
      <c r="EO189" s="9"/>
      <c r="EP189" s="9"/>
      <c r="EQ189" s="9"/>
      <c r="ER189" s="9"/>
      <c r="ES189" s="9"/>
      <c r="ET189" s="9"/>
      <c r="EU189" s="10"/>
      <c r="EV189" s="9"/>
      <c r="EW189" s="9"/>
      <c r="EX189" s="9"/>
      <c r="EY189" s="9"/>
      <c r="EZ189" s="9"/>
      <c r="FA189" s="9"/>
      <c r="FB189" s="9"/>
      <c r="FC189" s="9"/>
      <c r="FD189" s="9"/>
      <c r="FE189" s="9"/>
      <c r="FF189" s="9"/>
      <c r="FG189" s="9"/>
      <c r="FH189" s="9"/>
      <c r="FI189" s="9"/>
      <c r="FJ189" s="9"/>
      <c r="FK189" s="9"/>
      <c r="FL189" s="9"/>
      <c r="FM189" s="9"/>
      <c r="FN189" s="9"/>
      <c r="FO189" s="9"/>
      <c r="FP189" s="9"/>
      <c r="FQ189" s="9"/>
      <c r="FR189" s="9"/>
      <c r="FS189" s="9"/>
      <c r="FT189" s="9"/>
      <c r="FU189" s="9"/>
      <c r="FV189" s="9"/>
      <c r="FW189" s="10"/>
      <c r="FX189" s="9"/>
      <c r="FY189" s="9"/>
      <c r="FZ189" s="9"/>
      <c r="GA189" s="9"/>
      <c r="GB189" s="9"/>
      <c r="GC189" s="9"/>
      <c r="GD189" s="9"/>
      <c r="GE189" s="9"/>
      <c r="GF189" s="9"/>
      <c r="GG189" s="9"/>
      <c r="GH189" s="9"/>
      <c r="GI189" s="9"/>
      <c r="GJ189" s="9"/>
      <c r="GK189" s="9"/>
      <c r="GL189" s="9"/>
      <c r="GM189" s="9"/>
      <c r="GN189" s="9"/>
      <c r="GO189" s="9"/>
      <c r="GP189" s="9"/>
      <c r="GQ189" s="9"/>
      <c r="GR189" s="9"/>
      <c r="GS189" s="9"/>
      <c r="GT189" s="9"/>
      <c r="GU189" s="9"/>
      <c r="GV189" s="9"/>
      <c r="GW189" s="9"/>
      <c r="GX189" s="9"/>
      <c r="GY189" s="10"/>
      <c r="GZ189" s="9"/>
      <c r="HA189" s="9"/>
    </row>
    <row r="190" spans="1:209" s="2" customFormat="1" ht="17" customHeight="1">
      <c r="A190" s="14" t="s">
        <v>187</v>
      </c>
      <c r="B190" s="35">
        <v>0</v>
      </c>
      <c r="C190" s="35">
        <v>0</v>
      </c>
      <c r="D190" s="4">
        <f t="shared" si="57"/>
        <v>0</v>
      </c>
      <c r="E190" s="11">
        <v>0</v>
      </c>
      <c r="F190" s="5" t="s">
        <v>362</v>
      </c>
      <c r="G190" s="5" t="s">
        <v>362</v>
      </c>
      <c r="H190" s="5" t="s">
        <v>362</v>
      </c>
      <c r="I190" s="5" t="s">
        <v>362</v>
      </c>
      <c r="J190" s="5" t="s">
        <v>362</v>
      </c>
      <c r="K190" s="5" t="s">
        <v>362</v>
      </c>
      <c r="L190" s="5" t="s">
        <v>362</v>
      </c>
      <c r="M190" s="5" t="s">
        <v>362</v>
      </c>
      <c r="N190" s="35">
        <v>178.6</v>
      </c>
      <c r="O190" s="35">
        <v>210.7</v>
      </c>
      <c r="P190" s="4">
        <f t="shared" si="58"/>
        <v>1.1797312430011198</v>
      </c>
      <c r="Q190" s="11">
        <v>20</v>
      </c>
      <c r="R190" s="35">
        <v>1204</v>
      </c>
      <c r="S190" s="35">
        <v>1283.7</v>
      </c>
      <c r="T190" s="4">
        <f t="shared" si="59"/>
        <v>1.0661960132890367</v>
      </c>
      <c r="U190" s="11">
        <v>35</v>
      </c>
      <c r="V190" s="35">
        <v>48</v>
      </c>
      <c r="W190" s="35">
        <v>49.9</v>
      </c>
      <c r="X190" s="4">
        <f t="shared" si="60"/>
        <v>1.0395833333333333</v>
      </c>
      <c r="Y190" s="11">
        <v>15</v>
      </c>
      <c r="Z190" s="35">
        <v>10368</v>
      </c>
      <c r="AA190" s="35">
        <v>9667</v>
      </c>
      <c r="AB190" s="4">
        <f t="shared" si="61"/>
        <v>0.93238811728395066</v>
      </c>
      <c r="AC190" s="11">
        <v>5</v>
      </c>
      <c r="AD190" s="11">
        <v>1389</v>
      </c>
      <c r="AE190" s="11">
        <v>1389</v>
      </c>
      <c r="AF190" s="4">
        <f t="shared" si="62"/>
        <v>1</v>
      </c>
      <c r="AG190" s="11">
        <v>20</v>
      </c>
      <c r="AH190" s="5" t="s">
        <v>362</v>
      </c>
      <c r="AI190" s="5" t="s">
        <v>362</v>
      </c>
      <c r="AJ190" s="5" t="s">
        <v>362</v>
      </c>
      <c r="AK190" s="5" t="s">
        <v>362</v>
      </c>
      <c r="AL190" s="5" t="s">
        <v>362</v>
      </c>
      <c r="AM190" s="5" t="s">
        <v>362</v>
      </c>
      <c r="AN190" s="5" t="s">
        <v>362</v>
      </c>
      <c r="AO190" s="5" t="s">
        <v>362</v>
      </c>
      <c r="AP190" s="44">
        <f t="shared" si="71"/>
        <v>1.0649176411742993</v>
      </c>
      <c r="AQ190" s="45">
        <v>1127</v>
      </c>
      <c r="AR190" s="35">
        <f t="shared" si="63"/>
        <v>307.36363636363637</v>
      </c>
      <c r="AS190" s="35">
        <f t="shared" si="64"/>
        <v>327.3</v>
      </c>
      <c r="AT190" s="35">
        <f t="shared" si="65"/>
        <v>19.936363636363637</v>
      </c>
      <c r="AU190" s="35">
        <v>95.4</v>
      </c>
      <c r="AV190" s="35">
        <v>95.8</v>
      </c>
      <c r="AW190" s="35">
        <f t="shared" si="66"/>
        <v>136.1</v>
      </c>
      <c r="AX190" s="35"/>
      <c r="AY190" s="35">
        <f t="shared" si="67"/>
        <v>136.1</v>
      </c>
      <c r="AZ190" s="35">
        <v>0</v>
      </c>
      <c r="BA190" s="35">
        <f t="shared" si="68"/>
        <v>136.1</v>
      </c>
      <c r="BB190" s="35"/>
      <c r="BC190" s="35">
        <f t="shared" si="69"/>
        <v>136.1</v>
      </c>
      <c r="BD190" s="35">
        <v>138.4</v>
      </c>
      <c r="BE190" s="35">
        <f t="shared" si="70"/>
        <v>-2.2999999999999998</v>
      </c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9"/>
      <c r="BU190" s="9"/>
      <c r="BV190" s="9"/>
      <c r="BW190" s="9"/>
      <c r="BX190" s="9"/>
      <c r="BY190" s="9"/>
      <c r="BZ190" s="9"/>
      <c r="CA190" s="9"/>
      <c r="CB190" s="9"/>
      <c r="CC190" s="9"/>
      <c r="CD190" s="9"/>
      <c r="CE190" s="9"/>
      <c r="CF190" s="9"/>
      <c r="CG190" s="9"/>
      <c r="CH190" s="9"/>
      <c r="CI190" s="9"/>
      <c r="CJ190" s="9"/>
      <c r="CK190" s="9"/>
      <c r="CL190" s="9"/>
      <c r="CM190" s="9"/>
      <c r="CN190" s="9"/>
      <c r="CO190" s="9"/>
      <c r="CP190" s="9"/>
      <c r="CQ190" s="10"/>
      <c r="CR190" s="9"/>
      <c r="CS190" s="9"/>
      <c r="CT190" s="9"/>
      <c r="CU190" s="9"/>
      <c r="CV190" s="9"/>
      <c r="CW190" s="9"/>
      <c r="CX190" s="9"/>
      <c r="CY190" s="9"/>
      <c r="CZ190" s="9"/>
      <c r="DA190" s="9"/>
      <c r="DB190" s="9"/>
      <c r="DC190" s="9"/>
      <c r="DD190" s="9"/>
      <c r="DE190" s="9"/>
      <c r="DF190" s="9"/>
      <c r="DG190" s="9"/>
      <c r="DH190" s="9"/>
      <c r="DI190" s="9"/>
      <c r="DJ190" s="9"/>
      <c r="DK190" s="9"/>
      <c r="DL190" s="9"/>
      <c r="DM190" s="9"/>
      <c r="DN190" s="9"/>
      <c r="DO190" s="9"/>
      <c r="DP190" s="9"/>
      <c r="DQ190" s="9"/>
      <c r="DR190" s="9"/>
      <c r="DS190" s="10"/>
      <c r="DT190" s="9"/>
      <c r="DU190" s="9"/>
      <c r="DV190" s="9"/>
      <c r="DW190" s="9"/>
      <c r="DX190" s="9"/>
      <c r="DY190" s="9"/>
      <c r="DZ190" s="9"/>
      <c r="EA190" s="9"/>
      <c r="EB190" s="9"/>
      <c r="EC190" s="9"/>
      <c r="ED190" s="9"/>
      <c r="EE190" s="9"/>
      <c r="EF190" s="9"/>
      <c r="EG190" s="9"/>
      <c r="EH190" s="9"/>
      <c r="EI190" s="9"/>
      <c r="EJ190" s="9"/>
      <c r="EK190" s="9"/>
      <c r="EL190" s="9"/>
      <c r="EM190" s="9"/>
      <c r="EN190" s="9"/>
      <c r="EO190" s="9"/>
      <c r="EP190" s="9"/>
      <c r="EQ190" s="9"/>
      <c r="ER190" s="9"/>
      <c r="ES190" s="9"/>
      <c r="ET190" s="9"/>
      <c r="EU190" s="10"/>
      <c r="EV190" s="9"/>
      <c r="EW190" s="9"/>
      <c r="EX190" s="9"/>
      <c r="EY190" s="9"/>
      <c r="EZ190" s="9"/>
      <c r="FA190" s="9"/>
      <c r="FB190" s="9"/>
      <c r="FC190" s="9"/>
      <c r="FD190" s="9"/>
      <c r="FE190" s="9"/>
      <c r="FF190" s="9"/>
      <c r="FG190" s="9"/>
      <c r="FH190" s="9"/>
      <c r="FI190" s="9"/>
      <c r="FJ190" s="9"/>
      <c r="FK190" s="9"/>
      <c r="FL190" s="9"/>
      <c r="FM190" s="9"/>
      <c r="FN190" s="9"/>
      <c r="FO190" s="9"/>
      <c r="FP190" s="9"/>
      <c r="FQ190" s="9"/>
      <c r="FR190" s="9"/>
      <c r="FS190" s="9"/>
      <c r="FT190" s="9"/>
      <c r="FU190" s="9"/>
      <c r="FV190" s="9"/>
      <c r="FW190" s="10"/>
      <c r="FX190" s="9"/>
      <c r="FY190" s="9"/>
      <c r="FZ190" s="9"/>
      <c r="GA190" s="9"/>
      <c r="GB190" s="9"/>
      <c r="GC190" s="9"/>
      <c r="GD190" s="9"/>
      <c r="GE190" s="9"/>
      <c r="GF190" s="9"/>
      <c r="GG190" s="9"/>
      <c r="GH190" s="9"/>
      <c r="GI190" s="9"/>
      <c r="GJ190" s="9"/>
      <c r="GK190" s="9"/>
      <c r="GL190" s="9"/>
      <c r="GM190" s="9"/>
      <c r="GN190" s="9"/>
      <c r="GO190" s="9"/>
      <c r="GP190" s="9"/>
      <c r="GQ190" s="9"/>
      <c r="GR190" s="9"/>
      <c r="GS190" s="9"/>
      <c r="GT190" s="9"/>
      <c r="GU190" s="9"/>
      <c r="GV190" s="9"/>
      <c r="GW190" s="9"/>
      <c r="GX190" s="9"/>
      <c r="GY190" s="10"/>
      <c r="GZ190" s="9"/>
      <c r="HA190" s="9"/>
    </row>
    <row r="191" spans="1:209" s="2" customFormat="1" ht="17" customHeight="1">
      <c r="A191" s="14" t="s">
        <v>188</v>
      </c>
      <c r="B191" s="35">
        <v>0</v>
      </c>
      <c r="C191" s="35">
        <v>0</v>
      </c>
      <c r="D191" s="4">
        <f t="shared" si="57"/>
        <v>0</v>
      </c>
      <c r="E191" s="11">
        <v>0</v>
      </c>
      <c r="F191" s="5" t="s">
        <v>362</v>
      </c>
      <c r="G191" s="5" t="s">
        <v>362</v>
      </c>
      <c r="H191" s="5" t="s">
        <v>362</v>
      </c>
      <c r="I191" s="5" t="s">
        <v>362</v>
      </c>
      <c r="J191" s="5" t="s">
        <v>362</v>
      </c>
      <c r="K191" s="5" t="s">
        <v>362</v>
      </c>
      <c r="L191" s="5" t="s">
        <v>362</v>
      </c>
      <c r="M191" s="5" t="s">
        <v>362</v>
      </c>
      <c r="N191" s="35">
        <v>312</v>
      </c>
      <c r="O191" s="35">
        <v>160</v>
      </c>
      <c r="P191" s="4">
        <f t="shared" si="58"/>
        <v>0.51282051282051277</v>
      </c>
      <c r="Q191" s="11">
        <v>20</v>
      </c>
      <c r="R191" s="35">
        <v>135</v>
      </c>
      <c r="S191" s="35">
        <v>135.30000000000001</v>
      </c>
      <c r="T191" s="4">
        <f t="shared" si="59"/>
        <v>1.0022222222222223</v>
      </c>
      <c r="U191" s="11">
        <v>25</v>
      </c>
      <c r="V191" s="35">
        <v>10</v>
      </c>
      <c r="W191" s="35">
        <v>14.9</v>
      </c>
      <c r="X191" s="4">
        <f t="shared" si="60"/>
        <v>1.2289999999999999</v>
      </c>
      <c r="Y191" s="11">
        <v>25</v>
      </c>
      <c r="Z191" s="35">
        <v>11751</v>
      </c>
      <c r="AA191" s="35">
        <v>11132</v>
      </c>
      <c r="AB191" s="4">
        <f t="shared" si="61"/>
        <v>0.94732363203131653</v>
      </c>
      <c r="AC191" s="11">
        <v>5</v>
      </c>
      <c r="AD191" s="11">
        <v>365</v>
      </c>
      <c r="AE191" s="11">
        <v>518</v>
      </c>
      <c r="AF191" s="4">
        <f t="shared" si="62"/>
        <v>1.2219178082191779</v>
      </c>
      <c r="AG191" s="11">
        <v>20</v>
      </c>
      <c r="AH191" s="5" t="s">
        <v>362</v>
      </c>
      <c r="AI191" s="5" t="s">
        <v>362</v>
      </c>
      <c r="AJ191" s="5" t="s">
        <v>362</v>
      </c>
      <c r="AK191" s="5" t="s">
        <v>362</v>
      </c>
      <c r="AL191" s="5" t="s">
        <v>362</v>
      </c>
      <c r="AM191" s="5" t="s">
        <v>362</v>
      </c>
      <c r="AN191" s="5" t="s">
        <v>362</v>
      </c>
      <c r="AO191" s="5" t="s">
        <v>362</v>
      </c>
      <c r="AP191" s="44">
        <f t="shared" si="71"/>
        <v>1.0022309488053258</v>
      </c>
      <c r="AQ191" s="45">
        <v>1398</v>
      </c>
      <c r="AR191" s="35">
        <f t="shared" si="63"/>
        <v>381.27272727272725</v>
      </c>
      <c r="AS191" s="35">
        <f t="shared" si="64"/>
        <v>382.1</v>
      </c>
      <c r="AT191" s="35">
        <f t="shared" si="65"/>
        <v>0.82727272727277068</v>
      </c>
      <c r="AU191" s="35">
        <v>119.2</v>
      </c>
      <c r="AV191" s="35">
        <v>118.9</v>
      </c>
      <c r="AW191" s="35">
        <f t="shared" si="66"/>
        <v>144</v>
      </c>
      <c r="AX191" s="35"/>
      <c r="AY191" s="35">
        <f t="shared" si="67"/>
        <v>144</v>
      </c>
      <c r="AZ191" s="35">
        <v>0</v>
      </c>
      <c r="BA191" s="35">
        <f t="shared" si="68"/>
        <v>144</v>
      </c>
      <c r="BB191" s="35">
        <f>MIN(BA191,19.5)</f>
        <v>19.5</v>
      </c>
      <c r="BC191" s="35">
        <f t="shared" si="69"/>
        <v>124.5</v>
      </c>
      <c r="BD191" s="35">
        <v>125.7</v>
      </c>
      <c r="BE191" s="35">
        <f t="shared" si="70"/>
        <v>-1.2</v>
      </c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9"/>
      <c r="BU191" s="9"/>
      <c r="BV191" s="9"/>
      <c r="BW191" s="9"/>
      <c r="BX191" s="9"/>
      <c r="BY191" s="9"/>
      <c r="BZ191" s="9"/>
      <c r="CA191" s="9"/>
      <c r="CB191" s="9"/>
      <c r="CC191" s="9"/>
      <c r="CD191" s="9"/>
      <c r="CE191" s="9"/>
      <c r="CF191" s="9"/>
      <c r="CG191" s="9"/>
      <c r="CH191" s="9"/>
      <c r="CI191" s="9"/>
      <c r="CJ191" s="9"/>
      <c r="CK191" s="9"/>
      <c r="CL191" s="9"/>
      <c r="CM191" s="9"/>
      <c r="CN191" s="9"/>
      <c r="CO191" s="9"/>
      <c r="CP191" s="9"/>
      <c r="CQ191" s="10"/>
      <c r="CR191" s="9"/>
      <c r="CS191" s="9"/>
      <c r="CT191" s="9"/>
      <c r="CU191" s="9"/>
      <c r="CV191" s="9"/>
      <c r="CW191" s="9"/>
      <c r="CX191" s="9"/>
      <c r="CY191" s="9"/>
      <c r="CZ191" s="9"/>
      <c r="DA191" s="9"/>
      <c r="DB191" s="9"/>
      <c r="DC191" s="9"/>
      <c r="DD191" s="9"/>
      <c r="DE191" s="9"/>
      <c r="DF191" s="9"/>
      <c r="DG191" s="9"/>
      <c r="DH191" s="9"/>
      <c r="DI191" s="9"/>
      <c r="DJ191" s="9"/>
      <c r="DK191" s="9"/>
      <c r="DL191" s="9"/>
      <c r="DM191" s="9"/>
      <c r="DN191" s="9"/>
      <c r="DO191" s="9"/>
      <c r="DP191" s="9"/>
      <c r="DQ191" s="9"/>
      <c r="DR191" s="9"/>
      <c r="DS191" s="10"/>
      <c r="DT191" s="9"/>
      <c r="DU191" s="9"/>
      <c r="DV191" s="9"/>
      <c r="DW191" s="9"/>
      <c r="DX191" s="9"/>
      <c r="DY191" s="9"/>
      <c r="DZ191" s="9"/>
      <c r="EA191" s="9"/>
      <c r="EB191" s="9"/>
      <c r="EC191" s="9"/>
      <c r="ED191" s="9"/>
      <c r="EE191" s="9"/>
      <c r="EF191" s="9"/>
      <c r="EG191" s="9"/>
      <c r="EH191" s="9"/>
      <c r="EI191" s="9"/>
      <c r="EJ191" s="9"/>
      <c r="EK191" s="9"/>
      <c r="EL191" s="9"/>
      <c r="EM191" s="9"/>
      <c r="EN191" s="9"/>
      <c r="EO191" s="9"/>
      <c r="EP191" s="9"/>
      <c r="EQ191" s="9"/>
      <c r="ER191" s="9"/>
      <c r="ES191" s="9"/>
      <c r="ET191" s="9"/>
      <c r="EU191" s="10"/>
      <c r="EV191" s="9"/>
      <c r="EW191" s="9"/>
      <c r="EX191" s="9"/>
      <c r="EY191" s="9"/>
      <c r="EZ191" s="9"/>
      <c r="FA191" s="9"/>
      <c r="FB191" s="9"/>
      <c r="FC191" s="9"/>
      <c r="FD191" s="9"/>
      <c r="FE191" s="9"/>
      <c r="FF191" s="9"/>
      <c r="FG191" s="9"/>
      <c r="FH191" s="9"/>
      <c r="FI191" s="9"/>
      <c r="FJ191" s="9"/>
      <c r="FK191" s="9"/>
      <c r="FL191" s="9"/>
      <c r="FM191" s="9"/>
      <c r="FN191" s="9"/>
      <c r="FO191" s="9"/>
      <c r="FP191" s="9"/>
      <c r="FQ191" s="9"/>
      <c r="FR191" s="9"/>
      <c r="FS191" s="9"/>
      <c r="FT191" s="9"/>
      <c r="FU191" s="9"/>
      <c r="FV191" s="9"/>
      <c r="FW191" s="10"/>
      <c r="FX191" s="9"/>
      <c r="FY191" s="9"/>
      <c r="FZ191" s="9"/>
      <c r="GA191" s="9"/>
      <c r="GB191" s="9"/>
      <c r="GC191" s="9"/>
      <c r="GD191" s="9"/>
      <c r="GE191" s="9"/>
      <c r="GF191" s="9"/>
      <c r="GG191" s="9"/>
      <c r="GH191" s="9"/>
      <c r="GI191" s="9"/>
      <c r="GJ191" s="9"/>
      <c r="GK191" s="9"/>
      <c r="GL191" s="9"/>
      <c r="GM191" s="9"/>
      <c r="GN191" s="9"/>
      <c r="GO191" s="9"/>
      <c r="GP191" s="9"/>
      <c r="GQ191" s="9"/>
      <c r="GR191" s="9"/>
      <c r="GS191" s="9"/>
      <c r="GT191" s="9"/>
      <c r="GU191" s="9"/>
      <c r="GV191" s="9"/>
      <c r="GW191" s="9"/>
      <c r="GX191" s="9"/>
      <c r="GY191" s="10"/>
      <c r="GZ191" s="9"/>
      <c r="HA191" s="9"/>
    </row>
    <row r="192" spans="1:209" s="2" customFormat="1" ht="17" customHeight="1">
      <c r="A192" s="18" t="s">
        <v>189</v>
      </c>
      <c r="B192" s="6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35"/>
      <c r="AA192" s="35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  <c r="AS192" s="11"/>
      <c r="AT192" s="11"/>
      <c r="AU192" s="11"/>
      <c r="AV192" s="11"/>
      <c r="AW192" s="11"/>
      <c r="AX192" s="11"/>
      <c r="AY192" s="11"/>
      <c r="AZ192" s="11"/>
      <c r="BA192" s="11"/>
      <c r="BB192" s="11"/>
      <c r="BC192" s="35"/>
      <c r="BD192" s="35"/>
      <c r="BE192" s="35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9"/>
      <c r="BU192" s="9"/>
      <c r="BV192" s="9"/>
      <c r="BW192" s="9"/>
      <c r="BX192" s="9"/>
      <c r="BY192" s="9"/>
      <c r="BZ192" s="9"/>
      <c r="CA192" s="9"/>
      <c r="CB192" s="9"/>
      <c r="CC192" s="9"/>
      <c r="CD192" s="9"/>
      <c r="CE192" s="9"/>
      <c r="CF192" s="9"/>
      <c r="CG192" s="9"/>
      <c r="CH192" s="9"/>
      <c r="CI192" s="9"/>
      <c r="CJ192" s="9"/>
      <c r="CK192" s="9"/>
      <c r="CL192" s="9"/>
      <c r="CM192" s="9"/>
      <c r="CN192" s="9"/>
      <c r="CO192" s="9"/>
      <c r="CP192" s="9"/>
      <c r="CQ192" s="10"/>
      <c r="CR192" s="9"/>
      <c r="CS192" s="9"/>
      <c r="CT192" s="9"/>
      <c r="CU192" s="9"/>
      <c r="CV192" s="9"/>
      <c r="CW192" s="9"/>
      <c r="CX192" s="9"/>
      <c r="CY192" s="9"/>
      <c r="CZ192" s="9"/>
      <c r="DA192" s="9"/>
      <c r="DB192" s="9"/>
      <c r="DC192" s="9"/>
      <c r="DD192" s="9"/>
      <c r="DE192" s="9"/>
      <c r="DF192" s="9"/>
      <c r="DG192" s="9"/>
      <c r="DH192" s="9"/>
      <c r="DI192" s="9"/>
      <c r="DJ192" s="9"/>
      <c r="DK192" s="9"/>
      <c r="DL192" s="9"/>
      <c r="DM192" s="9"/>
      <c r="DN192" s="9"/>
      <c r="DO192" s="9"/>
      <c r="DP192" s="9"/>
      <c r="DQ192" s="9"/>
      <c r="DR192" s="9"/>
      <c r="DS192" s="10"/>
      <c r="DT192" s="9"/>
      <c r="DU192" s="9"/>
      <c r="DV192" s="9"/>
      <c r="DW192" s="9"/>
      <c r="DX192" s="9"/>
      <c r="DY192" s="9"/>
      <c r="DZ192" s="9"/>
      <c r="EA192" s="9"/>
      <c r="EB192" s="9"/>
      <c r="EC192" s="9"/>
      <c r="ED192" s="9"/>
      <c r="EE192" s="9"/>
      <c r="EF192" s="9"/>
      <c r="EG192" s="9"/>
      <c r="EH192" s="9"/>
      <c r="EI192" s="9"/>
      <c r="EJ192" s="9"/>
      <c r="EK192" s="9"/>
      <c r="EL192" s="9"/>
      <c r="EM192" s="9"/>
      <c r="EN192" s="9"/>
      <c r="EO192" s="9"/>
      <c r="EP192" s="9"/>
      <c r="EQ192" s="9"/>
      <c r="ER192" s="9"/>
      <c r="ES192" s="9"/>
      <c r="ET192" s="9"/>
      <c r="EU192" s="10"/>
      <c r="EV192" s="9"/>
      <c r="EW192" s="9"/>
      <c r="EX192" s="9"/>
      <c r="EY192" s="9"/>
      <c r="EZ192" s="9"/>
      <c r="FA192" s="9"/>
      <c r="FB192" s="9"/>
      <c r="FC192" s="9"/>
      <c r="FD192" s="9"/>
      <c r="FE192" s="9"/>
      <c r="FF192" s="9"/>
      <c r="FG192" s="9"/>
      <c r="FH192" s="9"/>
      <c r="FI192" s="9"/>
      <c r="FJ192" s="9"/>
      <c r="FK192" s="9"/>
      <c r="FL192" s="9"/>
      <c r="FM192" s="9"/>
      <c r="FN192" s="9"/>
      <c r="FO192" s="9"/>
      <c r="FP192" s="9"/>
      <c r="FQ192" s="9"/>
      <c r="FR192" s="9"/>
      <c r="FS192" s="9"/>
      <c r="FT192" s="9"/>
      <c r="FU192" s="9"/>
      <c r="FV192" s="9"/>
      <c r="FW192" s="10"/>
      <c r="FX192" s="9"/>
      <c r="FY192" s="9"/>
      <c r="FZ192" s="9"/>
      <c r="GA192" s="9"/>
      <c r="GB192" s="9"/>
      <c r="GC192" s="9"/>
      <c r="GD192" s="9"/>
      <c r="GE192" s="9"/>
      <c r="GF192" s="9"/>
      <c r="GG192" s="9"/>
      <c r="GH192" s="9"/>
      <c r="GI192" s="9"/>
      <c r="GJ192" s="9"/>
      <c r="GK192" s="9"/>
      <c r="GL192" s="9"/>
      <c r="GM192" s="9"/>
      <c r="GN192" s="9"/>
      <c r="GO192" s="9"/>
      <c r="GP192" s="9"/>
      <c r="GQ192" s="9"/>
      <c r="GR192" s="9"/>
      <c r="GS192" s="9"/>
      <c r="GT192" s="9"/>
      <c r="GU192" s="9"/>
      <c r="GV192" s="9"/>
      <c r="GW192" s="9"/>
      <c r="GX192" s="9"/>
      <c r="GY192" s="10"/>
      <c r="GZ192" s="9"/>
      <c r="HA192" s="9"/>
    </row>
    <row r="193" spans="1:209" s="2" customFormat="1" ht="17" customHeight="1">
      <c r="A193" s="14" t="s">
        <v>190</v>
      </c>
      <c r="B193" s="35">
        <v>0</v>
      </c>
      <c r="C193" s="35">
        <v>0</v>
      </c>
      <c r="D193" s="4">
        <f t="shared" si="57"/>
        <v>0</v>
      </c>
      <c r="E193" s="11">
        <v>0</v>
      </c>
      <c r="F193" s="5" t="s">
        <v>362</v>
      </c>
      <c r="G193" s="5" t="s">
        <v>362</v>
      </c>
      <c r="H193" s="5" t="s">
        <v>362</v>
      </c>
      <c r="I193" s="5" t="s">
        <v>362</v>
      </c>
      <c r="J193" s="5" t="s">
        <v>362</v>
      </c>
      <c r="K193" s="5" t="s">
        <v>362</v>
      </c>
      <c r="L193" s="5" t="s">
        <v>362</v>
      </c>
      <c r="M193" s="5" t="s">
        <v>362</v>
      </c>
      <c r="N193" s="35">
        <v>625</v>
      </c>
      <c r="O193" s="35">
        <v>579.4</v>
      </c>
      <c r="P193" s="4">
        <f t="shared" si="58"/>
        <v>0.92703999999999998</v>
      </c>
      <c r="Q193" s="11">
        <v>20</v>
      </c>
      <c r="R193" s="35">
        <v>11</v>
      </c>
      <c r="S193" s="35">
        <v>12.8</v>
      </c>
      <c r="T193" s="4">
        <f t="shared" si="59"/>
        <v>1.1636363636363638</v>
      </c>
      <c r="U193" s="11">
        <v>35</v>
      </c>
      <c r="V193" s="35">
        <v>2.2999999999999998</v>
      </c>
      <c r="W193" s="35">
        <v>2.5</v>
      </c>
      <c r="X193" s="4">
        <f t="shared" si="60"/>
        <v>1.0869565217391306</v>
      </c>
      <c r="Y193" s="11">
        <v>15</v>
      </c>
      <c r="Z193" s="35">
        <v>841.2</v>
      </c>
      <c r="AA193" s="35">
        <v>840</v>
      </c>
      <c r="AB193" s="4">
        <f t="shared" si="61"/>
        <v>0.99857346647646217</v>
      </c>
      <c r="AC193" s="11">
        <v>5</v>
      </c>
      <c r="AD193" s="11">
        <v>290</v>
      </c>
      <c r="AE193" s="11">
        <v>273</v>
      </c>
      <c r="AF193" s="4">
        <f t="shared" si="62"/>
        <v>0.94137931034482758</v>
      </c>
      <c r="AG193" s="11">
        <v>20</v>
      </c>
      <c r="AH193" s="5" t="s">
        <v>362</v>
      </c>
      <c r="AI193" s="5" t="s">
        <v>362</v>
      </c>
      <c r="AJ193" s="5" t="s">
        <v>362</v>
      </c>
      <c r="AK193" s="5" t="s">
        <v>362</v>
      </c>
      <c r="AL193" s="5" t="s">
        <v>362</v>
      </c>
      <c r="AM193" s="5" t="s">
        <v>362</v>
      </c>
      <c r="AN193" s="5" t="s">
        <v>362</v>
      </c>
      <c r="AO193" s="5" t="s">
        <v>362</v>
      </c>
      <c r="AP193" s="44">
        <f t="shared" si="71"/>
        <v>1.0462407799225113</v>
      </c>
      <c r="AQ193" s="45">
        <v>1172</v>
      </c>
      <c r="AR193" s="35">
        <f t="shared" si="63"/>
        <v>319.63636363636363</v>
      </c>
      <c r="AS193" s="35">
        <f t="shared" si="64"/>
        <v>334.4</v>
      </c>
      <c r="AT193" s="35">
        <f t="shared" si="65"/>
        <v>14.763636363636351</v>
      </c>
      <c r="AU193" s="35">
        <v>127.7</v>
      </c>
      <c r="AV193" s="35">
        <v>109.4</v>
      </c>
      <c r="AW193" s="35">
        <f t="shared" si="66"/>
        <v>97.3</v>
      </c>
      <c r="AX193" s="35"/>
      <c r="AY193" s="35">
        <f t="shared" si="67"/>
        <v>97.3</v>
      </c>
      <c r="AZ193" s="35">
        <v>0</v>
      </c>
      <c r="BA193" s="35">
        <f t="shared" si="68"/>
        <v>97.3</v>
      </c>
      <c r="BB193" s="35">
        <f>MIN(BA193,53.3)</f>
        <v>53.3</v>
      </c>
      <c r="BC193" s="35">
        <f>IF((BA193-BB193)&gt;0,ROUND(BA193-BB193,1),0)</f>
        <v>44</v>
      </c>
      <c r="BD193" s="35">
        <v>44.9</v>
      </c>
      <c r="BE193" s="35">
        <f t="shared" si="70"/>
        <v>-0.9</v>
      </c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9"/>
      <c r="BU193" s="9"/>
      <c r="BV193" s="9"/>
      <c r="BW193" s="9"/>
      <c r="BX193" s="9"/>
      <c r="BY193" s="9"/>
      <c r="BZ193" s="9"/>
      <c r="CA193" s="9"/>
      <c r="CB193" s="9"/>
      <c r="CC193" s="9"/>
      <c r="CD193" s="9"/>
      <c r="CE193" s="9"/>
      <c r="CF193" s="9"/>
      <c r="CG193" s="9"/>
      <c r="CH193" s="9"/>
      <c r="CI193" s="9"/>
      <c r="CJ193" s="9"/>
      <c r="CK193" s="9"/>
      <c r="CL193" s="9"/>
      <c r="CM193" s="9"/>
      <c r="CN193" s="9"/>
      <c r="CO193" s="9"/>
      <c r="CP193" s="9"/>
      <c r="CQ193" s="10"/>
      <c r="CR193" s="9"/>
      <c r="CS193" s="9"/>
      <c r="CT193" s="9"/>
      <c r="CU193" s="9"/>
      <c r="CV193" s="9"/>
      <c r="CW193" s="9"/>
      <c r="CX193" s="9"/>
      <c r="CY193" s="9"/>
      <c r="CZ193" s="9"/>
      <c r="DA193" s="9"/>
      <c r="DB193" s="9"/>
      <c r="DC193" s="9"/>
      <c r="DD193" s="9"/>
      <c r="DE193" s="9"/>
      <c r="DF193" s="9"/>
      <c r="DG193" s="9"/>
      <c r="DH193" s="9"/>
      <c r="DI193" s="9"/>
      <c r="DJ193" s="9"/>
      <c r="DK193" s="9"/>
      <c r="DL193" s="9"/>
      <c r="DM193" s="9"/>
      <c r="DN193" s="9"/>
      <c r="DO193" s="9"/>
      <c r="DP193" s="9"/>
      <c r="DQ193" s="9"/>
      <c r="DR193" s="9"/>
      <c r="DS193" s="10"/>
      <c r="DT193" s="9"/>
      <c r="DU193" s="9"/>
      <c r="DV193" s="9"/>
      <c r="DW193" s="9"/>
      <c r="DX193" s="9"/>
      <c r="DY193" s="9"/>
      <c r="DZ193" s="9"/>
      <c r="EA193" s="9"/>
      <c r="EB193" s="9"/>
      <c r="EC193" s="9"/>
      <c r="ED193" s="9"/>
      <c r="EE193" s="9"/>
      <c r="EF193" s="9"/>
      <c r="EG193" s="9"/>
      <c r="EH193" s="9"/>
      <c r="EI193" s="9"/>
      <c r="EJ193" s="9"/>
      <c r="EK193" s="9"/>
      <c r="EL193" s="9"/>
      <c r="EM193" s="9"/>
      <c r="EN193" s="9"/>
      <c r="EO193" s="9"/>
      <c r="EP193" s="9"/>
      <c r="EQ193" s="9"/>
      <c r="ER193" s="9"/>
      <c r="ES193" s="9"/>
      <c r="ET193" s="9"/>
      <c r="EU193" s="10"/>
      <c r="EV193" s="9"/>
      <c r="EW193" s="9"/>
      <c r="EX193" s="9"/>
      <c r="EY193" s="9"/>
      <c r="EZ193" s="9"/>
      <c r="FA193" s="9"/>
      <c r="FB193" s="9"/>
      <c r="FC193" s="9"/>
      <c r="FD193" s="9"/>
      <c r="FE193" s="9"/>
      <c r="FF193" s="9"/>
      <c r="FG193" s="9"/>
      <c r="FH193" s="9"/>
      <c r="FI193" s="9"/>
      <c r="FJ193" s="9"/>
      <c r="FK193" s="9"/>
      <c r="FL193" s="9"/>
      <c r="FM193" s="9"/>
      <c r="FN193" s="9"/>
      <c r="FO193" s="9"/>
      <c r="FP193" s="9"/>
      <c r="FQ193" s="9"/>
      <c r="FR193" s="9"/>
      <c r="FS193" s="9"/>
      <c r="FT193" s="9"/>
      <c r="FU193" s="9"/>
      <c r="FV193" s="9"/>
      <c r="FW193" s="10"/>
      <c r="FX193" s="9"/>
      <c r="FY193" s="9"/>
      <c r="FZ193" s="9"/>
      <c r="GA193" s="9"/>
      <c r="GB193" s="9"/>
      <c r="GC193" s="9"/>
      <c r="GD193" s="9"/>
      <c r="GE193" s="9"/>
      <c r="GF193" s="9"/>
      <c r="GG193" s="9"/>
      <c r="GH193" s="9"/>
      <c r="GI193" s="9"/>
      <c r="GJ193" s="9"/>
      <c r="GK193" s="9"/>
      <c r="GL193" s="9"/>
      <c r="GM193" s="9"/>
      <c r="GN193" s="9"/>
      <c r="GO193" s="9"/>
      <c r="GP193" s="9"/>
      <c r="GQ193" s="9"/>
      <c r="GR193" s="9"/>
      <c r="GS193" s="9"/>
      <c r="GT193" s="9"/>
      <c r="GU193" s="9"/>
      <c r="GV193" s="9"/>
      <c r="GW193" s="9"/>
      <c r="GX193" s="9"/>
      <c r="GY193" s="10"/>
      <c r="GZ193" s="9"/>
      <c r="HA193" s="9"/>
    </row>
    <row r="194" spans="1:209" s="2" customFormat="1" ht="17" customHeight="1">
      <c r="A194" s="14" t="s">
        <v>191</v>
      </c>
      <c r="B194" s="35">
        <v>0</v>
      </c>
      <c r="C194" s="35">
        <v>0</v>
      </c>
      <c r="D194" s="4">
        <f t="shared" si="57"/>
        <v>0</v>
      </c>
      <c r="E194" s="11">
        <v>0</v>
      </c>
      <c r="F194" s="5" t="s">
        <v>362</v>
      </c>
      <c r="G194" s="5" t="s">
        <v>362</v>
      </c>
      <c r="H194" s="5" t="s">
        <v>362</v>
      </c>
      <c r="I194" s="5" t="s">
        <v>362</v>
      </c>
      <c r="J194" s="5" t="s">
        <v>362</v>
      </c>
      <c r="K194" s="5" t="s">
        <v>362</v>
      </c>
      <c r="L194" s="5" t="s">
        <v>362</v>
      </c>
      <c r="M194" s="5" t="s">
        <v>362</v>
      </c>
      <c r="N194" s="35">
        <v>197</v>
      </c>
      <c r="O194" s="35">
        <v>175.2</v>
      </c>
      <c r="P194" s="4">
        <f t="shared" si="58"/>
        <v>0.8893401015228426</v>
      </c>
      <c r="Q194" s="11">
        <v>20</v>
      </c>
      <c r="R194" s="35">
        <v>0.2</v>
      </c>
      <c r="S194" s="35">
        <v>0</v>
      </c>
      <c r="T194" s="4">
        <f t="shared" si="59"/>
        <v>0</v>
      </c>
      <c r="U194" s="11">
        <v>30</v>
      </c>
      <c r="V194" s="35">
        <v>0.4</v>
      </c>
      <c r="W194" s="35">
        <v>0</v>
      </c>
      <c r="X194" s="4">
        <f t="shared" si="60"/>
        <v>0</v>
      </c>
      <c r="Y194" s="11">
        <v>20</v>
      </c>
      <c r="Z194" s="35">
        <v>1300.7</v>
      </c>
      <c r="AA194" s="35">
        <v>1427</v>
      </c>
      <c r="AB194" s="4">
        <f t="shared" si="61"/>
        <v>1.0971015606980856</v>
      </c>
      <c r="AC194" s="11">
        <v>5</v>
      </c>
      <c r="AD194" s="11">
        <v>45</v>
      </c>
      <c r="AE194" s="11">
        <v>45</v>
      </c>
      <c r="AF194" s="4">
        <f t="shared" si="62"/>
        <v>1</v>
      </c>
      <c r="AG194" s="11">
        <v>20</v>
      </c>
      <c r="AH194" s="5" t="s">
        <v>362</v>
      </c>
      <c r="AI194" s="5" t="s">
        <v>362</v>
      </c>
      <c r="AJ194" s="5" t="s">
        <v>362</v>
      </c>
      <c r="AK194" s="5" t="s">
        <v>362</v>
      </c>
      <c r="AL194" s="5" t="s">
        <v>362</v>
      </c>
      <c r="AM194" s="5" t="s">
        <v>362</v>
      </c>
      <c r="AN194" s="5" t="s">
        <v>362</v>
      </c>
      <c r="AO194" s="5" t="s">
        <v>362</v>
      </c>
      <c r="AP194" s="44">
        <f t="shared" si="71"/>
        <v>0.4554979982520766</v>
      </c>
      <c r="AQ194" s="45">
        <v>733</v>
      </c>
      <c r="AR194" s="35">
        <f t="shared" si="63"/>
        <v>199.90909090909093</v>
      </c>
      <c r="AS194" s="35">
        <f t="shared" si="64"/>
        <v>91.1</v>
      </c>
      <c r="AT194" s="35">
        <f t="shared" si="65"/>
        <v>-108.80909090909094</v>
      </c>
      <c r="AU194" s="35">
        <v>51.7</v>
      </c>
      <c r="AV194" s="35">
        <v>22.9</v>
      </c>
      <c r="AW194" s="35">
        <f t="shared" si="66"/>
        <v>16.5</v>
      </c>
      <c r="AX194" s="35"/>
      <c r="AY194" s="35">
        <f t="shared" si="67"/>
        <v>16.5</v>
      </c>
      <c r="AZ194" s="35">
        <v>0</v>
      </c>
      <c r="BA194" s="35">
        <f t="shared" si="68"/>
        <v>16.5</v>
      </c>
      <c r="BB194" s="35">
        <f>MIN(BA194,33.3)</f>
        <v>16.5</v>
      </c>
      <c r="BC194" s="35">
        <f>IF((BA194-BB194)&gt;0,ROUND(BA194-BB194,1),0)</f>
        <v>0</v>
      </c>
      <c r="BD194" s="35">
        <v>0</v>
      </c>
      <c r="BE194" s="35">
        <f t="shared" si="70"/>
        <v>0</v>
      </c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9"/>
      <c r="BU194" s="9"/>
      <c r="BV194" s="9"/>
      <c r="BW194" s="9"/>
      <c r="BX194" s="9"/>
      <c r="BY194" s="9"/>
      <c r="BZ194" s="9"/>
      <c r="CA194" s="9"/>
      <c r="CB194" s="9"/>
      <c r="CC194" s="9"/>
      <c r="CD194" s="9"/>
      <c r="CE194" s="9"/>
      <c r="CF194" s="9"/>
      <c r="CG194" s="9"/>
      <c r="CH194" s="9"/>
      <c r="CI194" s="9"/>
      <c r="CJ194" s="9"/>
      <c r="CK194" s="9"/>
      <c r="CL194" s="9"/>
      <c r="CM194" s="9"/>
      <c r="CN194" s="9"/>
      <c r="CO194" s="9"/>
      <c r="CP194" s="9"/>
      <c r="CQ194" s="10"/>
      <c r="CR194" s="9"/>
      <c r="CS194" s="9"/>
      <c r="CT194" s="9"/>
      <c r="CU194" s="9"/>
      <c r="CV194" s="9"/>
      <c r="CW194" s="9"/>
      <c r="CX194" s="9"/>
      <c r="CY194" s="9"/>
      <c r="CZ194" s="9"/>
      <c r="DA194" s="9"/>
      <c r="DB194" s="9"/>
      <c r="DC194" s="9"/>
      <c r="DD194" s="9"/>
      <c r="DE194" s="9"/>
      <c r="DF194" s="9"/>
      <c r="DG194" s="9"/>
      <c r="DH194" s="9"/>
      <c r="DI194" s="9"/>
      <c r="DJ194" s="9"/>
      <c r="DK194" s="9"/>
      <c r="DL194" s="9"/>
      <c r="DM194" s="9"/>
      <c r="DN194" s="9"/>
      <c r="DO194" s="9"/>
      <c r="DP194" s="9"/>
      <c r="DQ194" s="9"/>
      <c r="DR194" s="9"/>
      <c r="DS194" s="10"/>
      <c r="DT194" s="9"/>
      <c r="DU194" s="9"/>
      <c r="DV194" s="9"/>
      <c r="DW194" s="9"/>
      <c r="DX194" s="9"/>
      <c r="DY194" s="9"/>
      <c r="DZ194" s="9"/>
      <c r="EA194" s="9"/>
      <c r="EB194" s="9"/>
      <c r="EC194" s="9"/>
      <c r="ED194" s="9"/>
      <c r="EE194" s="9"/>
      <c r="EF194" s="9"/>
      <c r="EG194" s="9"/>
      <c r="EH194" s="9"/>
      <c r="EI194" s="9"/>
      <c r="EJ194" s="9"/>
      <c r="EK194" s="9"/>
      <c r="EL194" s="9"/>
      <c r="EM194" s="9"/>
      <c r="EN194" s="9"/>
      <c r="EO194" s="9"/>
      <c r="EP194" s="9"/>
      <c r="EQ194" s="9"/>
      <c r="ER194" s="9"/>
      <c r="ES194" s="9"/>
      <c r="ET194" s="9"/>
      <c r="EU194" s="10"/>
      <c r="EV194" s="9"/>
      <c r="EW194" s="9"/>
      <c r="EX194" s="9"/>
      <c r="EY194" s="9"/>
      <c r="EZ194" s="9"/>
      <c r="FA194" s="9"/>
      <c r="FB194" s="9"/>
      <c r="FC194" s="9"/>
      <c r="FD194" s="9"/>
      <c r="FE194" s="9"/>
      <c r="FF194" s="9"/>
      <c r="FG194" s="9"/>
      <c r="FH194" s="9"/>
      <c r="FI194" s="9"/>
      <c r="FJ194" s="9"/>
      <c r="FK194" s="9"/>
      <c r="FL194" s="9"/>
      <c r="FM194" s="9"/>
      <c r="FN194" s="9"/>
      <c r="FO194" s="9"/>
      <c r="FP194" s="9"/>
      <c r="FQ194" s="9"/>
      <c r="FR194" s="9"/>
      <c r="FS194" s="9"/>
      <c r="FT194" s="9"/>
      <c r="FU194" s="9"/>
      <c r="FV194" s="9"/>
      <c r="FW194" s="10"/>
      <c r="FX194" s="9"/>
      <c r="FY194" s="9"/>
      <c r="FZ194" s="9"/>
      <c r="GA194" s="9"/>
      <c r="GB194" s="9"/>
      <c r="GC194" s="9"/>
      <c r="GD194" s="9"/>
      <c r="GE194" s="9"/>
      <c r="GF194" s="9"/>
      <c r="GG194" s="9"/>
      <c r="GH194" s="9"/>
      <c r="GI194" s="9"/>
      <c r="GJ194" s="9"/>
      <c r="GK194" s="9"/>
      <c r="GL194" s="9"/>
      <c r="GM194" s="9"/>
      <c r="GN194" s="9"/>
      <c r="GO194" s="9"/>
      <c r="GP194" s="9"/>
      <c r="GQ194" s="9"/>
      <c r="GR194" s="9"/>
      <c r="GS194" s="9"/>
      <c r="GT194" s="9"/>
      <c r="GU194" s="9"/>
      <c r="GV194" s="9"/>
      <c r="GW194" s="9"/>
      <c r="GX194" s="9"/>
      <c r="GY194" s="10"/>
      <c r="GZ194" s="9"/>
      <c r="HA194" s="9"/>
    </row>
    <row r="195" spans="1:209" s="2" customFormat="1" ht="17" customHeight="1">
      <c r="A195" s="14" t="s">
        <v>192</v>
      </c>
      <c r="B195" s="35">
        <v>0</v>
      </c>
      <c r="C195" s="35">
        <v>0</v>
      </c>
      <c r="D195" s="4">
        <f t="shared" si="57"/>
        <v>0</v>
      </c>
      <c r="E195" s="11">
        <v>0</v>
      </c>
      <c r="F195" s="5" t="s">
        <v>362</v>
      </c>
      <c r="G195" s="5" t="s">
        <v>362</v>
      </c>
      <c r="H195" s="5" t="s">
        <v>362</v>
      </c>
      <c r="I195" s="5" t="s">
        <v>362</v>
      </c>
      <c r="J195" s="5" t="s">
        <v>362</v>
      </c>
      <c r="K195" s="5" t="s">
        <v>362</v>
      </c>
      <c r="L195" s="5" t="s">
        <v>362</v>
      </c>
      <c r="M195" s="5" t="s">
        <v>362</v>
      </c>
      <c r="N195" s="35">
        <v>312.60000000000002</v>
      </c>
      <c r="O195" s="35">
        <v>920</v>
      </c>
      <c r="P195" s="4">
        <f t="shared" si="58"/>
        <v>1.3</v>
      </c>
      <c r="Q195" s="11">
        <v>20</v>
      </c>
      <c r="R195" s="35">
        <v>193</v>
      </c>
      <c r="S195" s="35">
        <v>233.9</v>
      </c>
      <c r="T195" s="4">
        <f t="shared" si="59"/>
        <v>1.2011917098445595</v>
      </c>
      <c r="U195" s="11">
        <v>30</v>
      </c>
      <c r="V195" s="35">
        <v>22.6</v>
      </c>
      <c r="W195" s="35">
        <v>23.5</v>
      </c>
      <c r="X195" s="4">
        <f t="shared" si="60"/>
        <v>1.0398230088495575</v>
      </c>
      <c r="Y195" s="11">
        <v>20</v>
      </c>
      <c r="Z195" s="35">
        <v>1028.5</v>
      </c>
      <c r="AA195" s="35">
        <v>1161</v>
      </c>
      <c r="AB195" s="4">
        <f t="shared" si="61"/>
        <v>1.1288283908604764</v>
      </c>
      <c r="AC195" s="11">
        <v>5</v>
      </c>
      <c r="AD195" s="11">
        <v>559</v>
      </c>
      <c r="AE195" s="11">
        <v>596</v>
      </c>
      <c r="AF195" s="4">
        <f t="shared" si="62"/>
        <v>1.0661896243291593</v>
      </c>
      <c r="AG195" s="11">
        <v>20</v>
      </c>
      <c r="AH195" s="5" t="s">
        <v>362</v>
      </c>
      <c r="AI195" s="5" t="s">
        <v>362</v>
      </c>
      <c r="AJ195" s="5" t="s">
        <v>362</v>
      </c>
      <c r="AK195" s="5" t="s">
        <v>362</v>
      </c>
      <c r="AL195" s="5" t="s">
        <v>362</v>
      </c>
      <c r="AM195" s="5" t="s">
        <v>362</v>
      </c>
      <c r="AN195" s="5" t="s">
        <v>362</v>
      </c>
      <c r="AO195" s="5" t="s">
        <v>362</v>
      </c>
      <c r="AP195" s="44">
        <f t="shared" si="71"/>
        <v>1.1557910096127739</v>
      </c>
      <c r="AQ195" s="45">
        <v>1939</v>
      </c>
      <c r="AR195" s="35">
        <f t="shared" si="63"/>
        <v>528.81818181818187</v>
      </c>
      <c r="AS195" s="35">
        <f t="shared" si="64"/>
        <v>611.20000000000005</v>
      </c>
      <c r="AT195" s="35">
        <f t="shared" si="65"/>
        <v>82.381818181818176</v>
      </c>
      <c r="AU195" s="35">
        <v>210.8</v>
      </c>
      <c r="AV195" s="35">
        <v>154.80000000000001</v>
      </c>
      <c r="AW195" s="35">
        <f t="shared" si="66"/>
        <v>245.6</v>
      </c>
      <c r="AX195" s="35"/>
      <c r="AY195" s="35">
        <f t="shared" si="67"/>
        <v>245.6</v>
      </c>
      <c r="AZ195" s="35">
        <v>0</v>
      </c>
      <c r="BA195" s="35">
        <f t="shared" si="68"/>
        <v>245.6</v>
      </c>
      <c r="BB195" s="35">
        <f>MIN(BA195,88.1)</f>
        <v>88.1</v>
      </c>
      <c r="BC195" s="35">
        <f t="shared" si="69"/>
        <v>157.5</v>
      </c>
      <c r="BD195" s="35">
        <v>158.30000000000001</v>
      </c>
      <c r="BE195" s="35">
        <f t="shared" si="70"/>
        <v>-0.8</v>
      </c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9"/>
      <c r="BU195" s="9"/>
      <c r="BV195" s="9"/>
      <c r="BW195" s="9"/>
      <c r="BX195" s="9"/>
      <c r="BY195" s="9"/>
      <c r="BZ195" s="9"/>
      <c r="CA195" s="9"/>
      <c r="CB195" s="9"/>
      <c r="CC195" s="9"/>
      <c r="CD195" s="9"/>
      <c r="CE195" s="9"/>
      <c r="CF195" s="9"/>
      <c r="CG195" s="9"/>
      <c r="CH195" s="9"/>
      <c r="CI195" s="9"/>
      <c r="CJ195" s="9"/>
      <c r="CK195" s="9"/>
      <c r="CL195" s="9"/>
      <c r="CM195" s="9"/>
      <c r="CN195" s="9"/>
      <c r="CO195" s="9"/>
      <c r="CP195" s="9"/>
      <c r="CQ195" s="10"/>
      <c r="CR195" s="9"/>
      <c r="CS195" s="9"/>
      <c r="CT195" s="9"/>
      <c r="CU195" s="9"/>
      <c r="CV195" s="9"/>
      <c r="CW195" s="9"/>
      <c r="CX195" s="9"/>
      <c r="CY195" s="9"/>
      <c r="CZ195" s="9"/>
      <c r="DA195" s="9"/>
      <c r="DB195" s="9"/>
      <c r="DC195" s="9"/>
      <c r="DD195" s="9"/>
      <c r="DE195" s="9"/>
      <c r="DF195" s="9"/>
      <c r="DG195" s="9"/>
      <c r="DH195" s="9"/>
      <c r="DI195" s="9"/>
      <c r="DJ195" s="9"/>
      <c r="DK195" s="9"/>
      <c r="DL195" s="9"/>
      <c r="DM195" s="9"/>
      <c r="DN195" s="9"/>
      <c r="DO195" s="9"/>
      <c r="DP195" s="9"/>
      <c r="DQ195" s="9"/>
      <c r="DR195" s="9"/>
      <c r="DS195" s="10"/>
      <c r="DT195" s="9"/>
      <c r="DU195" s="9"/>
      <c r="DV195" s="9"/>
      <c r="DW195" s="9"/>
      <c r="DX195" s="9"/>
      <c r="DY195" s="9"/>
      <c r="DZ195" s="9"/>
      <c r="EA195" s="9"/>
      <c r="EB195" s="9"/>
      <c r="EC195" s="9"/>
      <c r="ED195" s="9"/>
      <c r="EE195" s="9"/>
      <c r="EF195" s="9"/>
      <c r="EG195" s="9"/>
      <c r="EH195" s="9"/>
      <c r="EI195" s="9"/>
      <c r="EJ195" s="9"/>
      <c r="EK195" s="9"/>
      <c r="EL195" s="9"/>
      <c r="EM195" s="9"/>
      <c r="EN195" s="9"/>
      <c r="EO195" s="9"/>
      <c r="EP195" s="9"/>
      <c r="EQ195" s="9"/>
      <c r="ER195" s="9"/>
      <c r="ES195" s="9"/>
      <c r="ET195" s="9"/>
      <c r="EU195" s="10"/>
      <c r="EV195" s="9"/>
      <c r="EW195" s="9"/>
      <c r="EX195" s="9"/>
      <c r="EY195" s="9"/>
      <c r="EZ195" s="9"/>
      <c r="FA195" s="9"/>
      <c r="FB195" s="9"/>
      <c r="FC195" s="9"/>
      <c r="FD195" s="9"/>
      <c r="FE195" s="9"/>
      <c r="FF195" s="9"/>
      <c r="FG195" s="9"/>
      <c r="FH195" s="9"/>
      <c r="FI195" s="9"/>
      <c r="FJ195" s="9"/>
      <c r="FK195" s="9"/>
      <c r="FL195" s="9"/>
      <c r="FM195" s="9"/>
      <c r="FN195" s="9"/>
      <c r="FO195" s="9"/>
      <c r="FP195" s="9"/>
      <c r="FQ195" s="9"/>
      <c r="FR195" s="9"/>
      <c r="FS195" s="9"/>
      <c r="FT195" s="9"/>
      <c r="FU195" s="9"/>
      <c r="FV195" s="9"/>
      <c r="FW195" s="10"/>
      <c r="FX195" s="9"/>
      <c r="FY195" s="9"/>
      <c r="FZ195" s="9"/>
      <c r="GA195" s="9"/>
      <c r="GB195" s="9"/>
      <c r="GC195" s="9"/>
      <c r="GD195" s="9"/>
      <c r="GE195" s="9"/>
      <c r="GF195" s="9"/>
      <c r="GG195" s="9"/>
      <c r="GH195" s="9"/>
      <c r="GI195" s="9"/>
      <c r="GJ195" s="9"/>
      <c r="GK195" s="9"/>
      <c r="GL195" s="9"/>
      <c r="GM195" s="9"/>
      <c r="GN195" s="9"/>
      <c r="GO195" s="9"/>
      <c r="GP195" s="9"/>
      <c r="GQ195" s="9"/>
      <c r="GR195" s="9"/>
      <c r="GS195" s="9"/>
      <c r="GT195" s="9"/>
      <c r="GU195" s="9"/>
      <c r="GV195" s="9"/>
      <c r="GW195" s="9"/>
      <c r="GX195" s="9"/>
      <c r="GY195" s="10"/>
      <c r="GZ195" s="9"/>
      <c r="HA195" s="9"/>
    </row>
    <row r="196" spans="1:209" s="2" customFormat="1" ht="17" customHeight="1">
      <c r="A196" s="14" t="s">
        <v>193</v>
      </c>
      <c r="B196" s="35">
        <v>0</v>
      </c>
      <c r="C196" s="35">
        <v>0</v>
      </c>
      <c r="D196" s="4">
        <f t="shared" si="57"/>
        <v>0</v>
      </c>
      <c r="E196" s="11">
        <v>0</v>
      </c>
      <c r="F196" s="5" t="s">
        <v>362</v>
      </c>
      <c r="G196" s="5" t="s">
        <v>362</v>
      </c>
      <c r="H196" s="5" t="s">
        <v>362</v>
      </c>
      <c r="I196" s="5" t="s">
        <v>362</v>
      </c>
      <c r="J196" s="5" t="s">
        <v>362</v>
      </c>
      <c r="K196" s="5" t="s">
        <v>362</v>
      </c>
      <c r="L196" s="5" t="s">
        <v>362</v>
      </c>
      <c r="M196" s="5" t="s">
        <v>362</v>
      </c>
      <c r="N196" s="35">
        <v>235.5</v>
      </c>
      <c r="O196" s="35">
        <v>316.39999999999998</v>
      </c>
      <c r="P196" s="4">
        <f t="shared" si="58"/>
        <v>1.214352441613588</v>
      </c>
      <c r="Q196" s="11">
        <v>20</v>
      </c>
      <c r="R196" s="35">
        <v>0.2</v>
      </c>
      <c r="S196" s="35">
        <v>0.6</v>
      </c>
      <c r="T196" s="4">
        <f t="shared" si="59"/>
        <v>1.3</v>
      </c>
      <c r="U196" s="11">
        <v>30</v>
      </c>
      <c r="V196" s="35">
        <v>0.2</v>
      </c>
      <c r="W196" s="35">
        <v>1.1000000000000001</v>
      </c>
      <c r="X196" s="4">
        <f t="shared" si="60"/>
        <v>1.3</v>
      </c>
      <c r="Y196" s="11">
        <v>20</v>
      </c>
      <c r="Z196" s="35">
        <v>1367</v>
      </c>
      <c r="AA196" s="35">
        <v>1497</v>
      </c>
      <c r="AB196" s="4">
        <f t="shared" si="61"/>
        <v>1.0950987564008778</v>
      </c>
      <c r="AC196" s="11">
        <v>5</v>
      </c>
      <c r="AD196" s="11">
        <v>75</v>
      </c>
      <c r="AE196" s="11">
        <v>75</v>
      </c>
      <c r="AF196" s="4">
        <f t="shared" si="62"/>
        <v>1</v>
      </c>
      <c r="AG196" s="11">
        <v>20</v>
      </c>
      <c r="AH196" s="5" t="s">
        <v>362</v>
      </c>
      <c r="AI196" s="5" t="s">
        <v>362</v>
      </c>
      <c r="AJ196" s="5" t="s">
        <v>362</v>
      </c>
      <c r="AK196" s="5" t="s">
        <v>362</v>
      </c>
      <c r="AL196" s="5" t="s">
        <v>362</v>
      </c>
      <c r="AM196" s="5" t="s">
        <v>362</v>
      </c>
      <c r="AN196" s="5" t="s">
        <v>362</v>
      </c>
      <c r="AO196" s="5" t="s">
        <v>362</v>
      </c>
      <c r="AP196" s="44">
        <f t="shared" si="71"/>
        <v>1.2080267643608016</v>
      </c>
      <c r="AQ196" s="45">
        <v>472</v>
      </c>
      <c r="AR196" s="35">
        <f t="shared" si="63"/>
        <v>128.72727272727272</v>
      </c>
      <c r="AS196" s="35">
        <f t="shared" si="64"/>
        <v>155.5</v>
      </c>
      <c r="AT196" s="35">
        <f t="shared" si="65"/>
        <v>26.77272727272728</v>
      </c>
      <c r="AU196" s="35">
        <v>49.7</v>
      </c>
      <c r="AV196" s="35">
        <v>42.5</v>
      </c>
      <c r="AW196" s="35">
        <f t="shared" si="66"/>
        <v>63.3</v>
      </c>
      <c r="AX196" s="35"/>
      <c r="AY196" s="35">
        <f t="shared" si="67"/>
        <v>63.3</v>
      </c>
      <c r="AZ196" s="35">
        <v>0</v>
      </c>
      <c r="BA196" s="35">
        <f t="shared" si="68"/>
        <v>63.3</v>
      </c>
      <c r="BB196" s="35">
        <f>MIN(BA196,9.1)</f>
        <v>9.1</v>
      </c>
      <c r="BC196" s="35">
        <f t="shared" si="69"/>
        <v>54.2</v>
      </c>
      <c r="BD196" s="35">
        <v>55</v>
      </c>
      <c r="BE196" s="35">
        <f t="shared" si="70"/>
        <v>-0.8</v>
      </c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9"/>
      <c r="BU196" s="9"/>
      <c r="BV196" s="9"/>
      <c r="BW196" s="9"/>
      <c r="BX196" s="9"/>
      <c r="BY196" s="9"/>
      <c r="BZ196" s="9"/>
      <c r="CA196" s="9"/>
      <c r="CB196" s="9"/>
      <c r="CC196" s="9"/>
      <c r="CD196" s="9"/>
      <c r="CE196" s="9"/>
      <c r="CF196" s="9"/>
      <c r="CG196" s="9"/>
      <c r="CH196" s="9"/>
      <c r="CI196" s="9"/>
      <c r="CJ196" s="9"/>
      <c r="CK196" s="9"/>
      <c r="CL196" s="9"/>
      <c r="CM196" s="9"/>
      <c r="CN196" s="9"/>
      <c r="CO196" s="9"/>
      <c r="CP196" s="9"/>
      <c r="CQ196" s="10"/>
      <c r="CR196" s="9"/>
      <c r="CS196" s="9"/>
      <c r="CT196" s="9"/>
      <c r="CU196" s="9"/>
      <c r="CV196" s="9"/>
      <c r="CW196" s="9"/>
      <c r="CX196" s="9"/>
      <c r="CY196" s="9"/>
      <c r="CZ196" s="9"/>
      <c r="DA196" s="9"/>
      <c r="DB196" s="9"/>
      <c r="DC196" s="9"/>
      <c r="DD196" s="9"/>
      <c r="DE196" s="9"/>
      <c r="DF196" s="9"/>
      <c r="DG196" s="9"/>
      <c r="DH196" s="9"/>
      <c r="DI196" s="9"/>
      <c r="DJ196" s="9"/>
      <c r="DK196" s="9"/>
      <c r="DL196" s="9"/>
      <c r="DM196" s="9"/>
      <c r="DN196" s="9"/>
      <c r="DO196" s="9"/>
      <c r="DP196" s="9"/>
      <c r="DQ196" s="9"/>
      <c r="DR196" s="9"/>
      <c r="DS196" s="10"/>
      <c r="DT196" s="9"/>
      <c r="DU196" s="9"/>
      <c r="DV196" s="9"/>
      <c r="DW196" s="9"/>
      <c r="DX196" s="9"/>
      <c r="DY196" s="9"/>
      <c r="DZ196" s="9"/>
      <c r="EA196" s="9"/>
      <c r="EB196" s="9"/>
      <c r="EC196" s="9"/>
      <c r="ED196" s="9"/>
      <c r="EE196" s="9"/>
      <c r="EF196" s="9"/>
      <c r="EG196" s="9"/>
      <c r="EH196" s="9"/>
      <c r="EI196" s="9"/>
      <c r="EJ196" s="9"/>
      <c r="EK196" s="9"/>
      <c r="EL196" s="9"/>
      <c r="EM196" s="9"/>
      <c r="EN196" s="9"/>
      <c r="EO196" s="9"/>
      <c r="EP196" s="9"/>
      <c r="EQ196" s="9"/>
      <c r="ER196" s="9"/>
      <c r="ES196" s="9"/>
      <c r="ET196" s="9"/>
      <c r="EU196" s="10"/>
      <c r="EV196" s="9"/>
      <c r="EW196" s="9"/>
      <c r="EX196" s="9"/>
      <c r="EY196" s="9"/>
      <c r="EZ196" s="9"/>
      <c r="FA196" s="9"/>
      <c r="FB196" s="9"/>
      <c r="FC196" s="9"/>
      <c r="FD196" s="9"/>
      <c r="FE196" s="9"/>
      <c r="FF196" s="9"/>
      <c r="FG196" s="9"/>
      <c r="FH196" s="9"/>
      <c r="FI196" s="9"/>
      <c r="FJ196" s="9"/>
      <c r="FK196" s="9"/>
      <c r="FL196" s="9"/>
      <c r="FM196" s="9"/>
      <c r="FN196" s="9"/>
      <c r="FO196" s="9"/>
      <c r="FP196" s="9"/>
      <c r="FQ196" s="9"/>
      <c r="FR196" s="9"/>
      <c r="FS196" s="9"/>
      <c r="FT196" s="9"/>
      <c r="FU196" s="9"/>
      <c r="FV196" s="9"/>
      <c r="FW196" s="10"/>
      <c r="FX196" s="9"/>
      <c r="FY196" s="9"/>
      <c r="FZ196" s="9"/>
      <c r="GA196" s="9"/>
      <c r="GB196" s="9"/>
      <c r="GC196" s="9"/>
      <c r="GD196" s="9"/>
      <c r="GE196" s="9"/>
      <c r="GF196" s="9"/>
      <c r="GG196" s="9"/>
      <c r="GH196" s="9"/>
      <c r="GI196" s="9"/>
      <c r="GJ196" s="9"/>
      <c r="GK196" s="9"/>
      <c r="GL196" s="9"/>
      <c r="GM196" s="9"/>
      <c r="GN196" s="9"/>
      <c r="GO196" s="9"/>
      <c r="GP196" s="9"/>
      <c r="GQ196" s="9"/>
      <c r="GR196" s="9"/>
      <c r="GS196" s="9"/>
      <c r="GT196" s="9"/>
      <c r="GU196" s="9"/>
      <c r="GV196" s="9"/>
      <c r="GW196" s="9"/>
      <c r="GX196" s="9"/>
      <c r="GY196" s="10"/>
      <c r="GZ196" s="9"/>
      <c r="HA196" s="9"/>
    </row>
    <row r="197" spans="1:209" s="2" customFormat="1" ht="17" customHeight="1">
      <c r="A197" s="14" t="s">
        <v>194</v>
      </c>
      <c r="B197" s="35">
        <v>0</v>
      </c>
      <c r="C197" s="35">
        <v>0</v>
      </c>
      <c r="D197" s="4">
        <f t="shared" si="57"/>
        <v>0</v>
      </c>
      <c r="E197" s="11">
        <v>0</v>
      </c>
      <c r="F197" s="5" t="s">
        <v>362</v>
      </c>
      <c r="G197" s="5" t="s">
        <v>362</v>
      </c>
      <c r="H197" s="5" t="s">
        <v>362</v>
      </c>
      <c r="I197" s="5" t="s">
        <v>362</v>
      </c>
      <c r="J197" s="5" t="s">
        <v>362</v>
      </c>
      <c r="K197" s="5" t="s">
        <v>362</v>
      </c>
      <c r="L197" s="5" t="s">
        <v>362</v>
      </c>
      <c r="M197" s="5" t="s">
        <v>362</v>
      </c>
      <c r="N197" s="35">
        <v>989</v>
      </c>
      <c r="O197" s="35">
        <v>356.8</v>
      </c>
      <c r="P197" s="4">
        <f t="shared" si="58"/>
        <v>0.36076845298281091</v>
      </c>
      <c r="Q197" s="11">
        <v>20</v>
      </c>
      <c r="R197" s="35">
        <v>8</v>
      </c>
      <c r="S197" s="35">
        <v>9.4</v>
      </c>
      <c r="T197" s="4">
        <f t="shared" si="59"/>
        <v>1.175</v>
      </c>
      <c r="U197" s="11">
        <v>5</v>
      </c>
      <c r="V197" s="35">
        <v>7</v>
      </c>
      <c r="W197" s="35">
        <v>7.1</v>
      </c>
      <c r="X197" s="4">
        <f t="shared" si="60"/>
        <v>1.0142857142857142</v>
      </c>
      <c r="Y197" s="11">
        <v>45</v>
      </c>
      <c r="Z197" s="35">
        <v>2244.1</v>
      </c>
      <c r="AA197" s="35">
        <v>1385</v>
      </c>
      <c r="AB197" s="4">
        <f t="shared" si="61"/>
        <v>0.61717392273071614</v>
      </c>
      <c r="AC197" s="11">
        <v>5</v>
      </c>
      <c r="AD197" s="11">
        <v>387</v>
      </c>
      <c r="AE197" s="11">
        <v>412</v>
      </c>
      <c r="AF197" s="4">
        <f t="shared" si="62"/>
        <v>1.0645994832041343</v>
      </c>
      <c r="AG197" s="11">
        <v>20</v>
      </c>
      <c r="AH197" s="5" t="s">
        <v>362</v>
      </c>
      <c r="AI197" s="5" t="s">
        <v>362</v>
      </c>
      <c r="AJ197" s="5" t="s">
        <v>362</v>
      </c>
      <c r="AK197" s="5" t="s">
        <v>362</v>
      </c>
      <c r="AL197" s="5" t="s">
        <v>362</v>
      </c>
      <c r="AM197" s="5" t="s">
        <v>362</v>
      </c>
      <c r="AN197" s="5" t="s">
        <v>362</v>
      </c>
      <c r="AO197" s="5" t="s">
        <v>362</v>
      </c>
      <c r="AP197" s="44">
        <f t="shared" si="71"/>
        <v>0.8748535313710486</v>
      </c>
      <c r="AQ197" s="45">
        <v>913</v>
      </c>
      <c r="AR197" s="35">
        <f t="shared" si="63"/>
        <v>249</v>
      </c>
      <c r="AS197" s="35">
        <f t="shared" si="64"/>
        <v>217.8</v>
      </c>
      <c r="AT197" s="35">
        <f t="shared" si="65"/>
        <v>-31.199999999999989</v>
      </c>
      <c r="AU197" s="35">
        <v>74.8</v>
      </c>
      <c r="AV197" s="35">
        <v>67.8</v>
      </c>
      <c r="AW197" s="35">
        <f t="shared" si="66"/>
        <v>75.2</v>
      </c>
      <c r="AX197" s="35"/>
      <c r="AY197" s="35">
        <f t="shared" si="67"/>
        <v>75.2</v>
      </c>
      <c r="AZ197" s="35">
        <v>0</v>
      </c>
      <c r="BA197" s="35">
        <f t="shared" si="68"/>
        <v>75.2</v>
      </c>
      <c r="BB197" s="35">
        <f>MIN(BA197,41.5)</f>
        <v>41.5</v>
      </c>
      <c r="BC197" s="35">
        <f t="shared" si="69"/>
        <v>33.700000000000003</v>
      </c>
      <c r="BD197" s="35">
        <v>37.299999999999997</v>
      </c>
      <c r="BE197" s="35">
        <f t="shared" si="70"/>
        <v>-3.6</v>
      </c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9"/>
      <c r="BU197" s="9"/>
      <c r="BV197" s="9"/>
      <c r="BW197" s="9"/>
      <c r="BX197" s="9"/>
      <c r="BY197" s="9"/>
      <c r="BZ197" s="9"/>
      <c r="CA197" s="9"/>
      <c r="CB197" s="9"/>
      <c r="CC197" s="9"/>
      <c r="CD197" s="9"/>
      <c r="CE197" s="9"/>
      <c r="CF197" s="9"/>
      <c r="CG197" s="9"/>
      <c r="CH197" s="9"/>
      <c r="CI197" s="9"/>
      <c r="CJ197" s="9"/>
      <c r="CK197" s="9"/>
      <c r="CL197" s="9"/>
      <c r="CM197" s="9"/>
      <c r="CN197" s="9"/>
      <c r="CO197" s="9"/>
      <c r="CP197" s="9"/>
      <c r="CQ197" s="10"/>
      <c r="CR197" s="9"/>
      <c r="CS197" s="9"/>
      <c r="CT197" s="9"/>
      <c r="CU197" s="9"/>
      <c r="CV197" s="9"/>
      <c r="CW197" s="9"/>
      <c r="CX197" s="9"/>
      <c r="CY197" s="9"/>
      <c r="CZ197" s="9"/>
      <c r="DA197" s="9"/>
      <c r="DB197" s="9"/>
      <c r="DC197" s="9"/>
      <c r="DD197" s="9"/>
      <c r="DE197" s="9"/>
      <c r="DF197" s="9"/>
      <c r="DG197" s="9"/>
      <c r="DH197" s="9"/>
      <c r="DI197" s="9"/>
      <c r="DJ197" s="9"/>
      <c r="DK197" s="9"/>
      <c r="DL197" s="9"/>
      <c r="DM197" s="9"/>
      <c r="DN197" s="9"/>
      <c r="DO197" s="9"/>
      <c r="DP197" s="9"/>
      <c r="DQ197" s="9"/>
      <c r="DR197" s="9"/>
      <c r="DS197" s="10"/>
      <c r="DT197" s="9"/>
      <c r="DU197" s="9"/>
      <c r="DV197" s="9"/>
      <c r="DW197" s="9"/>
      <c r="DX197" s="9"/>
      <c r="DY197" s="9"/>
      <c r="DZ197" s="9"/>
      <c r="EA197" s="9"/>
      <c r="EB197" s="9"/>
      <c r="EC197" s="9"/>
      <c r="ED197" s="9"/>
      <c r="EE197" s="9"/>
      <c r="EF197" s="9"/>
      <c r="EG197" s="9"/>
      <c r="EH197" s="9"/>
      <c r="EI197" s="9"/>
      <c r="EJ197" s="9"/>
      <c r="EK197" s="9"/>
      <c r="EL197" s="9"/>
      <c r="EM197" s="9"/>
      <c r="EN197" s="9"/>
      <c r="EO197" s="9"/>
      <c r="EP197" s="9"/>
      <c r="EQ197" s="9"/>
      <c r="ER197" s="9"/>
      <c r="ES197" s="9"/>
      <c r="ET197" s="9"/>
      <c r="EU197" s="10"/>
      <c r="EV197" s="9"/>
      <c r="EW197" s="9"/>
      <c r="EX197" s="9"/>
      <c r="EY197" s="9"/>
      <c r="EZ197" s="9"/>
      <c r="FA197" s="9"/>
      <c r="FB197" s="9"/>
      <c r="FC197" s="9"/>
      <c r="FD197" s="9"/>
      <c r="FE197" s="9"/>
      <c r="FF197" s="9"/>
      <c r="FG197" s="9"/>
      <c r="FH197" s="9"/>
      <c r="FI197" s="9"/>
      <c r="FJ197" s="9"/>
      <c r="FK197" s="9"/>
      <c r="FL197" s="9"/>
      <c r="FM197" s="9"/>
      <c r="FN197" s="9"/>
      <c r="FO197" s="9"/>
      <c r="FP197" s="9"/>
      <c r="FQ197" s="9"/>
      <c r="FR197" s="9"/>
      <c r="FS197" s="9"/>
      <c r="FT197" s="9"/>
      <c r="FU197" s="9"/>
      <c r="FV197" s="9"/>
      <c r="FW197" s="10"/>
      <c r="FX197" s="9"/>
      <c r="FY197" s="9"/>
      <c r="FZ197" s="9"/>
      <c r="GA197" s="9"/>
      <c r="GB197" s="9"/>
      <c r="GC197" s="9"/>
      <c r="GD197" s="9"/>
      <c r="GE197" s="9"/>
      <c r="GF197" s="9"/>
      <c r="GG197" s="9"/>
      <c r="GH197" s="9"/>
      <c r="GI197" s="9"/>
      <c r="GJ197" s="9"/>
      <c r="GK197" s="9"/>
      <c r="GL197" s="9"/>
      <c r="GM197" s="9"/>
      <c r="GN197" s="9"/>
      <c r="GO197" s="9"/>
      <c r="GP197" s="9"/>
      <c r="GQ197" s="9"/>
      <c r="GR197" s="9"/>
      <c r="GS197" s="9"/>
      <c r="GT197" s="9"/>
      <c r="GU197" s="9"/>
      <c r="GV197" s="9"/>
      <c r="GW197" s="9"/>
      <c r="GX197" s="9"/>
      <c r="GY197" s="10"/>
      <c r="GZ197" s="9"/>
      <c r="HA197" s="9"/>
    </row>
    <row r="198" spans="1:209" s="2" customFormat="1" ht="17" customHeight="1">
      <c r="A198" s="14" t="s">
        <v>195</v>
      </c>
      <c r="B198" s="35">
        <v>577</v>
      </c>
      <c r="C198" s="35">
        <v>768.2</v>
      </c>
      <c r="D198" s="4">
        <f t="shared" si="57"/>
        <v>1.2131369150779896</v>
      </c>
      <c r="E198" s="11">
        <v>10</v>
      </c>
      <c r="F198" s="5" t="s">
        <v>362</v>
      </c>
      <c r="G198" s="5" t="s">
        <v>362</v>
      </c>
      <c r="H198" s="5" t="s">
        <v>362</v>
      </c>
      <c r="I198" s="5" t="s">
        <v>362</v>
      </c>
      <c r="J198" s="5" t="s">
        <v>362</v>
      </c>
      <c r="K198" s="5" t="s">
        <v>362</v>
      </c>
      <c r="L198" s="5" t="s">
        <v>362</v>
      </c>
      <c r="M198" s="5" t="s">
        <v>362</v>
      </c>
      <c r="N198" s="35">
        <v>269.5</v>
      </c>
      <c r="O198" s="35">
        <v>487.4</v>
      </c>
      <c r="P198" s="4">
        <f t="shared" si="58"/>
        <v>1.2608534322820037</v>
      </c>
      <c r="Q198" s="11">
        <v>20</v>
      </c>
      <c r="R198" s="35">
        <v>30.1</v>
      </c>
      <c r="S198" s="35">
        <v>36.5</v>
      </c>
      <c r="T198" s="4">
        <f t="shared" si="59"/>
        <v>1.2012624584717608</v>
      </c>
      <c r="U198" s="11">
        <v>35</v>
      </c>
      <c r="V198" s="35">
        <v>14.1</v>
      </c>
      <c r="W198" s="35">
        <v>14.5</v>
      </c>
      <c r="X198" s="4">
        <f t="shared" si="60"/>
        <v>1.0283687943262412</v>
      </c>
      <c r="Y198" s="11">
        <v>15</v>
      </c>
      <c r="Z198" s="35">
        <v>7562.6</v>
      </c>
      <c r="AA198" s="35">
        <v>6325</v>
      </c>
      <c r="AB198" s="4">
        <f t="shared" si="61"/>
        <v>0.83635257715600453</v>
      </c>
      <c r="AC198" s="11">
        <v>5</v>
      </c>
      <c r="AD198" s="11">
        <v>481</v>
      </c>
      <c r="AE198" s="11">
        <v>488</v>
      </c>
      <c r="AF198" s="4">
        <f t="shared" si="62"/>
        <v>1.0145530145530146</v>
      </c>
      <c r="AG198" s="11">
        <v>20</v>
      </c>
      <c r="AH198" s="5" t="s">
        <v>362</v>
      </c>
      <c r="AI198" s="5" t="s">
        <v>362</v>
      </c>
      <c r="AJ198" s="5" t="s">
        <v>362</v>
      </c>
      <c r="AK198" s="5" t="s">
        <v>362</v>
      </c>
      <c r="AL198" s="5" t="s">
        <v>362</v>
      </c>
      <c r="AM198" s="5" t="s">
        <v>362</v>
      </c>
      <c r="AN198" s="5" t="s">
        <v>362</v>
      </c>
      <c r="AO198" s="5" t="s">
        <v>362</v>
      </c>
      <c r="AP198" s="44">
        <f t="shared" si="71"/>
        <v>1.1361045612825289</v>
      </c>
      <c r="AQ198" s="45">
        <v>1319</v>
      </c>
      <c r="AR198" s="35">
        <f t="shared" si="63"/>
        <v>359.72727272727275</v>
      </c>
      <c r="AS198" s="35">
        <f t="shared" si="64"/>
        <v>408.7</v>
      </c>
      <c r="AT198" s="35">
        <f t="shared" si="65"/>
        <v>48.972727272727241</v>
      </c>
      <c r="AU198" s="35">
        <v>126.2</v>
      </c>
      <c r="AV198" s="35">
        <v>143.9</v>
      </c>
      <c r="AW198" s="35">
        <f t="shared" si="66"/>
        <v>138.6</v>
      </c>
      <c r="AX198" s="35"/>
      <c r="AY198" s="35">
        <f t="shared" si="67"/>
        <v>138.6</v>
      </c>
      <c r="AZ198" s="35">
        <v>0</v>
      </c>
      <c r="BA198" s="35">
        <f t="shared" si="68"/>
        <v>138.6</v>
      </c>
      <c r="BB198" s="35"/>
      <c r="BC198" s="35">
        <f t="shared" si="69"/>
        <v>138.6</v>
      </c>
      <c r="BD198" s="35">
        <v>144</v>
      </c>
      <c r="BE198" s="35">
        <f t="shared" si="70"/>
        <v>-5.4</v>
      </c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9"/>
      <c r="BU198" s="9"/>
      <c r="BV198" s="9"/>
      <c r="BW198" s="9"/>
      <c r="BX198" s="9"/>
      <c r="BY198" s="9"/>
      <c r="BZ198" s="9"/>
      <c r="CA198" s="9"/>
      <c r="CB198" s="9"/>
      <c r="CC198" s="9"/>
      <c r="CD198" s="9"/>
      <c r="CE198" s="9"/>
      <c r="CF198" s="9"/>
      <c r="CG198" s="9"/>
      <c r="CH198" s="9"/>
      <c r="CI198" s="9"/>
      <c r="CJ198" s="9"/>
      <c r="CK198" s="9"/>
      <c r="CL198" s="9"/>
      <c r="CM198" s="9"/>
      <c r="CN198" s="9"/>
      <c r="CO198" s="9"/>
      <c r="CP198" s="9"/>
      <c r="CQ198" s="10"/>
      <c r="CR198" s="9"/>
      <c r="CS198" s="9"/>
      <c r="CT198" s="9"/>
      <c r="CU198" s="9"/>
      <c r="CV198" s="9"/>
      <c r="CW198" s="9"/>
      <c r="CX198" s="9"/>
      <c r="CY198" s="9"/>
      <c r="CZ198" s="9"/>
      <c r="DA198" s="9"/>
      <c r="DB198" s="9"/>
      <c r="DC198" s="9"/>
      <c r="DD198" s="9"/>
      <c r="DE198" s="9"/>
      <c r="DF198" s="9"/>
      <c r="DG198" s="9"/>
      <c r="DH198" s="9"/>
      <c r="DI198" s="9"/>
      <c r="DJ198" s="9"/>
      <c r="DK198" s="9"/>
      <c r="DL198" s="9"/>
      <c r="DM198" s="9"/>
      <c r="DN198" s="9"/>
      <c r="DO198" s="9"/>
      <c r="DP198" s="9"/>
      <c r="DQ198" s="9"/>
      <c r="DR198" s="9"/>
      <c r="DS198" s="10"/>
      <c r="DT198" s="9"/>
      <c r="DU198" s="9"/>
      <c r="DV198" s="9"/>
      <c r="DW198" s="9"/>
      <c r="DX198" s="9"/>
      <c r="DY198" s="9"/>
      <c r="DZ198" s="9"/>
      <c r="EA198" s="9"/>
      <c r="EB198" s="9"/>
      <c r="EC198" s="9"/>
      <c r="ED198" s="9"/>
      <c r="EE198" s="9"/>
      <c r="EF198" s="9"/>
      <c r="EG198" s="9"/>
      <c r="EH198" s="9"/>
      <c r="EI198" s="9"/>
      <c r="EJ198" s="9"/>
      <c r="EK198" s="9"/>
      <c r="EL198" s="9"/>
      <c r="EM198" s="9"/>
      <c r="EN198" s="9"/>
      <c r="EO198" s="9"/>
      <c r="EP198" s="9"/>
      <c r="EQ198" s="9"/>
      <c r="ER198" s="9"/>
      <c r="ES198" s="9"/>
      <c r="ET198" s="9"/>
      <c r="EU198" s="10"/>
      <c r="EV198" s="9"/>
      <c r="EW198" s="9"/>
      <c r="EX198" s="9"/>
      <c r="EY198" s="9"/>
      <c r="EZ198" s="9"/>
      <c r="FA198" s="9"/>
      <c r="FB198" s="9"/>
      <c r="FC198" s="9"/>
      <c r="FD198" s="9"/>
      <c r="FE198" s="9"/>
      <c r="FF198" s="9"/>
      <c r="FG198" s="9"/>
      <c r="FH198" s="9"/>
      <c r="FI198" s="9"/>
      <c r="FJ198" s="9"/>
      <c r="FK198" s="9"/>
      <c r="FL198" s="9"/>
      <c r="FM198" s="9"/>
      <c r="FN198" s="9"/>
      <c r="FO198" s="9"/>
      <c r="FP198" s="9"/>
      <c r="FQ198" s="9"/>
      <c r="FR198" s="9"/>
      <c r="FS198" s="9"/>
      <c r="FT198" s="9"/>
      <c r="FU198" s="9"/>
      <c r="FV198" s="9"/>
      <c r="FW198" s="10"/>
      <c r="FX198" s="9"/>
      <c r="FY198" s="9"/>
      <c r="FZ198" s="9"/>
      <c r="GA198" s="9"/>
      <c r="GB198" s="9"/>
      <c r="GC198" s="9"/>
      <c r="GD198" s="9"/>
      <c r="GE198" s="9"/>
      <c r="GF198" s="9"/>
      <c r="GG198" s="9"/>
      <c r="GH198" s="9"/>
      <c r="GI198" s="9"/>
      <c r="GJ198" s="9"/>
      <c r="GK198" s="9"/>
      <c r="GL198" s="9"/>
      <c r="GM198" s="9"/>
      <c r="GN198" s="9"/>
      <c r="GO198" s="9"/>
      <c r="GP198" s="9"/>
      <c r="GQ198" s="9"/>
      <c r="GR198" s="9"/>
      <c r="GS198" s="9"/>
      <c r="GT198" s="9"/>
      <c r="GU198" s="9"/>
      <c r="GV198" s="9"/>
      <c r="GW198" s="9"/>
      <c r="GX198" s="9"/>
      <c r="GY198" s="10"/>
      <c r="GZ198" s="9"/>
      <c r="HA198" s="9"/>
    </row>
    <row r="199" spans="1:209" s="2" customFormat="1" ht="17" customHeight="1">
      <c r="A199" s="14" t="s">
        <v>196</v>
      </c>
      <c r="B199" s="35">
        <v>40499</v>
      </c>
      <c r="C199" s="35">
        <v>42683.8</v>
      </c>
      <c r="D199" s="4">
        <f t="shared" si="57"/>
        <v>1.0539470110373097</v>
      </c>
      <c r="E199" s="11">
        <v>10</v>
      </c>
      <c r="F199" s="5" t="s">
        <v>362</v>
      </c>
      <c r="G199" s="5" t="s">
        <v>362</v>
      </c>
      <c r="H199" s="5" t="s">
        <v>362</v>
      </c>
      <c r="I199" s="5" t="s">
        <v>362</v>
      </c>
      <c r="J199" s="5" t="s">
        <v>362</v>
      </c>
      <c r="K199" s="5" t="s">
        <v>362</v>
      </c>
      <c r="L199" s="5" t="s">
        <v>362</v>
      </c>
      <c r="M199" s="5" t="s">
        <v>362</v>
      </c>
      <c r="N199" s="35">
        <v>2501</v>
      </c>
      <c r="O199" s="35">
        <v>2957.5</v>
      </c>
      <c r="P199" s="4">
        <f t="shared" si="58"/>
        <v>1.1825269892043182</v>
      </c>
      <c r="Q199" s="11">
        <v>20</v>
      </c>
      <c r="R199" s="35">
        <v>115</v>
      </c>
      <c r="S199" s="35">
        <v>142.69999999999999</v>
      </c>
      <c r="T199" s="4">
        <f t="shared" si="59"/>
        <v>1.2040869565217391</v>
      </c>
      <c r="U199" s="11">
        <v>30</v>
      </c>
      <c r="V199" s="35">
        <v>9.4</v>
      </c>
      <c r="W199" s="35">
        <v>10.9</v>
      </c>
      <c r="X199" s="4">
        <f t="shared" si="60"/>
        <v>1.1595744680851063</v>
      </c>
      <c r="Y199" s="11">
        <v>20</v>
      </c>
      <c r="Z199" s="35">
        <v>130406.3</v>
      </c>
      <c r="AA199" s="35">
        <v>121018</v>
      </c>
      <c r="AB199" s="4">
        <f t="shared" si="61"/>
        <v>0.92800731253014612</v>
      </c>
      <c r="AC199" s="11">
        <v>5</v>
      </c>
      <c r="AD199" s="11">
        <v>378</v>
      </c>
      <c r="AE199" s="11">
        <v>396</v>
      </c>
      <c r="AF199" s="4">
        <f t="shared" si="62"/>
        <v>1.0476190476190477</v>
      </c>
      <c r="AG199" s="11">
        <v>20</v>
      </c>
      <c r="AH199" s="5" t="s">
        <v>362</v>
      </c>
      <c r="AI199" s="5" t="s">
        <v>362</v>
      </c>
      <c r="AJ199" s="5" t="s">
        <v>362</v>
      </c>
      <c r="AK199" s="5" t="s">
        <v>362</v>
      </c>
      <c r="AL199" s="5" t="s">
        <v>362</v>
      </c>
      <c r="AM199" s="5" t="s">
        <v>362</v>
      </c>
      <c r="AN199" s="5" t="s">
        <v>362</v>
      </c>
      <c r="AO199" s="5" t="s">
        <v>362</v>
      </c>
      <c r="AP199" s="44">
        <f t="shared" si="71"/>
        <v>1.1342526234937662</v>
      </c>
      <c r="AQ199" s="45">
        <v>1033</v>
      </c>
      <c r="AR199" s="35">
        <f t="shared" si="63"/>
        <v>281.72727272727275</v>
      </c>
      <c r="AS199" s="35">
        <f t="shared" si="64"/>
        <v>319.5</v>
      </c>
      <c r="AT199" s="35">
        <f t="shared" si="65"/>
        <v>37.772727272727252</v>
      </c>
      <c r="AU199" s="35">
        <v>97.8</v>
      </c>
      <c r="AV199" s="35">
        <v>109.6</v>
      </c>
      <c r="AW199" s="35">
        <f t="shared" si="66"/>
        <v>112.1</v>
      </c>
      <c r="AX199" s="35"/>
      <c r="AY199" s="35">
        <f t="shared" si="67"/>
        <v>112.1</v>
      </c>
      <c r="AZ199" s="35">
        <v>0</v>
      </c>
      <c r="BA199" s="35">
        <f t="shared" si="68"/>
        <v>112.1</v>
      </c>
      <c r="BB199" s="35"/>
      <c r="BC199" s="35">
        <f t="shared" si="69"/>
        <v>112.1</v>
      </c>
      <c r="BD199" s="35">
        <v>115.1</v>
      </c>
      <c r="BE199" s="35">
        <f t="shared" si="70"/>
        <v>-3</v>
      </c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9"/>
      <c r="BU199" s="9"/>
      <c r="BV199" s="9"/>
      <c r="BW199" s="9"/>
      <c r="BX199" s="9"/>
      <c r="BY199" s="9"/>
      <c r="BZ199" s="9"/>
      <c r="CA199" s="9"/>
      <c r="CB199" s="9"/>
      <c r="CC199" s="9"/>
      <c r="CD199" s="9"/>
      <c r="CE199" s="9"/>
      <c r="CF199" s="9"/>
      <c r="CG199" s="9"/>
      <c r="CH199" s="9"/>
      <c r="CI199" s="9"/>
      <c r="CJ199" s="9"/>
      <c r="CK199" s="9"/>
      <c r="CL199" s="9"/>
      <c r="CM199" s="9"/>
      <c r="CN199" s="9"/>
      <c r="CO199" s="9"/>
      <c r="CP199" s="9"/>
      <c r="CQ199" s="10"/>
      <c r="CR199" s="9"/>
      <c r="CS199" s="9"/>
      <c r="CT199" s="9"/>
      <c r="CU199" s="9"/>
      <c r="CV199" s="9"/>
      <c r="CW199" s="9"/>
      <c r="CX199" s="9"/>
      <c r="CY199" s="9"/>
      <c r="CZ199" s="9"/>
      <c r="DA199" s="9"/>
      <c r="DB199" s="9"/>
      <c r="DC199" s="9"/>
      <c r="DD199" s="9"/>
      <c r="DE199" s="9"/>
      <c r="DF199" s="9"/>
      <c r="DG199" s="9"/>
      <c r="DH199" s="9"/>
      <c r="DI199" s="9"/>
      <c r="DJ199" s="9"/>
      <c r="DK199" s="9"/>
      <c r="DL199" s="9"/>
      <c r="DM199" s="9"/>
      <c r="DN199" s="9"/>
      <c r="DO199" s="9"/>
      <c r="DP199" s="9"/>
      <c r="DQ199" s="9"/>
      <c r="DR199" s="9"/>
      <c r="DS199" s="10"/>
      <c r="DT199" s="9"/>
      <c r="DU199" s="9"/>
      <c r="DV199" s="9"/>
      <c r="DW199" s="9"/>
      <c r="DX199" s="9"/>
      <c r="DY199" s="9"/>
      <c r="DZ199" s="9"/>
      <c r="EA199" s="9"/>
      <c r="EB199" s="9"/>
      <c r="EC199" s="9"/>
      <c r="ED199" s="9"/>
      <c r="EE199" s="9"/>
      <c r="EF199" s="9"/>
      <c r="EG199" s="9"/>
      <c r="EH199" s="9"/>
      <c r="EI199" s="9"/>
      <c r="EJ199" s="9"/>
      <c r="EK199" s="9"/>
      <c r="EL199" s="9"/>
      <c r="EM199" s="9"/>
      <c r="EN199" s="9"/>
      <c r="EO199" s="9"/>
      <c r="EP199" s="9"/>
      <c r="EQ199" s="9"/>
      <c r="ER199" s="9"/>
      <c r="ES199" s="9"/>
      <c r="ET199" s="9"/>
      <c r="EU199" s="10"/>
      <c r="EV199" s="9"/>
      <c r="EW199" s="9"/>
      <c r="EX199" s="9"/>
      <c r="EY199" s="9"/>
      <c r="EZ199" s="9"/>
      <c r="FA199" s="9"/>
      <c r="FB199" s="9"/>
      <c r="FC199" s="9"/>
      <c r="FD199" s="9"/>
      <c r="FE199" s="9"/>
      <c r="FF199" s="9"/>
      <c r="FG199" s="9"/>
      <c r="FH199" s="9"/>
      <c r="FI199" s="9"/>
      <c r="FJ199" s="9"/>
      <c r="FK199" s="9"/>
      <c r="FL199" s="9"/>
      <c r="FM199" s="9"/>
      <c r="FN199" s="9"/>
      <c r="FO199" s="9"/>
      <c r="FP199" s="9"/>
      <c r="FQ199" s="9"/>
      <c r="FR199" s="9"/>
      <c r="FS199" s="9"/>
      <c r="FT199" s="9"/>
      <c r="FU199" s="9"/>
      <c r="FV199" s="9"/>
      <c r="FW199" s="10"/>
      <c r="FX199" s="9"/>
      <c r="FY199" s="9"/>
      <c r="FZ199" s="9"/>
      <c r="GA199" s="9"/>
      <c r="GB199" s="9"/>
      <c r="GC199" s="9"/>
      <c r="GD199" s="9"/>
      <c r="GE199" s="9"/>
      <c r="GF199" s="9"/>
      <c r="GG199" s="9"/>
      <c r="GH199" s="9"/>
      <c r="GI199" s="9"/>
      <c r="GJ199" s="9"/>
      <c r="GK199" s="9"/>
      <c r="GL199" s="9"/>
      <c r="GM199" s="9"/>
      <c r="GN199" s="9"/>
      <c r="GO199" s="9"/>
      <c r="GP199" s="9"/>
      <c r="GQ199" s="9"/>
      <c r="GR199" s="9"/>
      <c r="GS199" s="9"/>
      <c r="GT199" s="9"/>
      <c r="GU199" s="9"/>
      <c r="GV199" s="9"/>
      <c r="GW199" s="9"/>
      <c r="GX199" s="9"/>
      <c r="GY199" s="10"/>
      <c r="GZ199" s="9"/>
      <c r="HA199" s="9"/>
    </row>
    <row r="200" spans="1:209" s="2" customFormat="1" ht="17" customHeight="1">
      <c r="A200" s="14" t="s">
        <v>197</v>
      </c>
      <c r="B200" s="35">
        <v>0</v>
      </c>
      <c r="C200" s="35">
        <v>0</v>
      </c>
      <c r="D200" s="4">
        <f t="shared" si="57"/>
        <v>0</v>
      </c>
      <c r="E200" s="11">
        <v>0</v>
      </c>
      <c r="F200" s="5" t="s">
        <v>362</v>
      </c>
      <c r="G200" s="5" t="s">
        <v>362</v>
      </c>
      <c r="H200" s="5" t="s">
        <v>362</v>
      </c>
      <c r="I200" s="5" t="s">
        <v>362</v>
      </c>
      <c r="J200" s="5" t="s">
        <v>362</v>
      </c>
      <c r="K200" s="5" t="s">
        <v>362</v>
      </c>
      <c r="L200" s="5" t="s">
        <v>362</v>
      </c>
      <c r="M200" s="5" t="s">
        <v>362</v>
      </c>
      <c r="N200" s="35">
        <v>489.3</v>
      </c>
      <c r="O200" s="35">
        <v>94.9</v>
      </c>
      <c r="P200" s="4">
        <f t="shared" si="58"/>
        <v>0.19395054159002659</v>
      </c>
      <c r="Q200" s="11">
        <v>20</v>
      </c>
      <c r="R200" s="35">
        <v>31</v>
      </c>
      <c r="S200" s="35">
        <v>52.1</v>
      </c>
      <c r="T200" s="4">
        <f t="shared" si="59"/>
        <v>1.2480645161290322</v>
      </c>
      <c r="U200" s="11">
        <v>30</v>
      </c>
      <c r="V200" s="35">
        <v>5.3</v>
      </c>
      <c r="W200" s="35">
        <v>5.8</v>
      </c>
      <c r="X200" s="4">
        <f t="shared" si="60"/>
        <v>1.0943396226415094</v>
      </c>
      <c r="Y200" s="11">
        <v>20</v>
      </c>
      <c r="Z200" s="35">
        <v>1047.2</v>
      </c>
      <c r="AA200" s="35">
        <v>1008</v>
      </c>
      <c r="AB200" s="4">
        <f t="shared" si="61"/>
        <v>0.96256684491978606</v>
      </c>
      <c r="AC200" s="11">
        <v>5</v>
      </c>
      <c r="AD200" s="11">
        <v>260</v>
      </c>
      <c r="AE200" s="11">
        <v>286</v>
      </c>
      <c r="AF200" s="4">
        <f t="shared" si="62"/>
        <v>1.1000000000000001</v>
      </c>
      <c r="AG200" s="11">
        <v>20</v>
      </c>
      <c r="AH200" s="5" t="s">
        <v>362</v>
      </c>
      <c r="AI200" s="5" t="s">
        <v>362</v>
      </c>
      <c r="AJ200" s="5" t="s">
        <v>362</v>
      </c>
      <c r="AK200" s="5" t="s">
        <v>362</v>
      </c>
      <c r="AL200" s="5" t="s">
        <v>362</v>
      </c>
      <c r="AM200" s="5" t="s">
        <v>362</v>
      </c>
      <c r="AN200" s="5" t="s">
        <v>362</v>
      </c>
      <c r="AO200" s="5" t="s">
        <v>362</v>
      </c>
      <c r="AP200" s="44">
        <f t="shared" si="71"/>
        <v>0.94758497887474336</v>
      </c>
      <c r="AQ200" s="45">
        <v>786</v>
      </c>
      <c r="AR200" s="35">
        <f t="shared" si="63"/>
        <v>214.36363636363637</v>
      </c>
      <c r="AS200" s="35">
        <f t="shared" si="64"/>
        <v>203.1</v>
      </c>
      <c r="AT200" s="35">
        <f t="shared" si="65"/>
        <v>-11.26363636363638</v>
      </c>
      <c r="AU200" s="35">
        <v>60.7</v>
      </c>
      <c r="AV200" s="35">
        <v>62.3</v>
      </c>
      <c r="AW200" s="35">
        <f t="shared" si="66"/>
        <v>80.099999999999994</v>
      </c>
      <c r="AX200" s="35"/>
      <c r="AY200" s="35">
        <f t="shared" si="67"/>
        <v>80.099999999999994</v>
      </c>
      <c r="AZ200" s="35">
        <v>0</v>
      </c>
      <c r="BA200" s="35">
        <f t="shared" si="68"/>
        <v>80.099999999999994</v>
      </c>
      <c r="BB200" s="35"/>
      <c r="BC200" s="35">
        <f t="shared" si="69"/>
        <v>80.099999999999994</v>
      </c>
      <c r="BD200" s="35">
        <v>79.900000000000006</v>
      </c>
      <c r="BE200" s="35">
        <f t="shared" si="70"/>
        <v>0.2</v>
      </c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9"/>
      <c r="BU200" s="9"/>
      <c r="BV200" s="9"/>
      <c r="BW200" s="9"/>
      <c r="BX200" s="9"/>
      <c r="BY200" s="9"/>
      <c r="BZ200" s="9"/>
      <c r="CA200" s="9"/>
      <c r="CB200" s="9"/>
      <c r="CC200" s="9"/>
      <c r="CD200" s="9"/>
      <c r="CE200" s="9"/>
      <c r="CF200" s="9"/>
      <c r="CG200" s="9"/>
      <c r="CH200" s="9"/>
      <c r="CI200" s="9"/>
      <c r="CJ200" s="9"/>
      <c r="CK200" s="9"/>
      <c r="CL200" s="9"/>
      <c r="CM200" s="9"/>
      <c r="CN200" s="9"/>
      <c r="CO200" s="9"/>
      <c r="CP200" s="9"/>
      <c r="CQ200" s="10"/>
      <c r="CR200" s="9"/>
      <c r="CS200" s="9"/>
      <c r="CT200" s="9"/>
      <c r="CU200" s="9"/>
      <c r="CV200" s="9"/>
      <c r="CW200" s="9"/>
      <c r="CX200" s="9"/>
      <c r="CY200" s="9"/>
      <c r="CZ200" s="9"/>
      <c r="DA200" s="9"/>
      <c r="DB200" s="9"/>
      <c r="DC200" s="9"/>
      <c r="DD200" s="9"/>
      <c r="DE200" s="9"/>
      <c r="DF200" s="9"/>
      <c r="DG200" s="9"/>
      <c r="DH200" s="9"/>
      <c r="DI200" s="9"/>
      <c r="DJ200" s="9"/>
      <c r="DK200" s="9"/>
      <c r="DL200" s="9"/>
      <c r="DM200" s="9"/>
      <c r="DN200" s="9"/>
      <c r="DO200" s="9"/>
      <c r="DP200" s="9"/>
      <c r="DQ200" s="9"/>
      <c r="DR200" s="9"/>
      <c r="DS200" s="10"/>
      <c r="DT200" s="9"/>
      <c r="DU200" s="9"/>
      <c r="DV200" s="9"/>
      <c r="DW200" s="9"/>
      <c r="DX200" s="9"/>
      <c r="DY200" s="9"/>
      <c r="DZ200" s="9"/>
      <c r="EA200" s="9"/>
      <c r="EB200" s="9"/>
      <c r="EC200" s="9"/>
      <c r="ED200" s="9"/>
      <c r="EE200" s="9"/>
      <c r="EF200" s="9"/>
      <c r="EG200" s="9"/>
      <c r="EH200" s="9"/>
      <c r="EI200" s="9"/>
      <c r="EJ200" s="9"/>
      <c r="EK200" s="9"/>
      <c r="EL200" s="9"/>
      <c r="EM200" s="9"/>
      <c r="EN200" s="9"/>
      <c r="EO200" s="9"/>
      <c r="EP200" s="9"/>
      <c r="EQ200" s="9"/>
      <c r="ER200" s="9"/>
      <c r="ES200" s="9"/>
      <c r="ET200" s="9"/>
      <c r="EU200" s="10"/>
      <c r="EV200" s="9"/>
      <c r="EW200" s="9"/>
      <c r="EX200" s="9"/>
      <c r="EY200" s="9"/>
      <c r="EZ200" s="9"/>
      <c r="FA200" s="9"/>
      <c r="FB200" s="9"/>
      <c r="FC200" s="9"/>
      <c r="FD200" s="9"/>
      <c r="FE200" s="9"/>
      <c r="FF200" s="9"/>
      <c r="FG200" s="9"/>
      <c r="FH200" s="9"/>
      <c r="FI200" s="9"/>
      <c r="FJ200" s="9"/>
      <c r="FK200" s="9"/>
      <c r="FL200" s="9"/>
      <c r="FM200" s="9"/>
      <c r="FN200" s="9"/>
      <c r="FO200" s="9"/>
      <c r="FP200" s="9"/>
      <c r="FQ200" s="9"/>
      <c r="FR200" s="9"/>
      <c r="FS200" s="9"/>
      <c r="FT200" s="9"/>
      <c r="FU200" s="9"/>
      <c r="FV200" s="9"/>
      <c r="FW200" s="10"/>
      <c r="FX200" s="9"/>
      <c r="FY200" s="9"/>
      <c r="FZ200" s="9"/>
      <c r="GA200" s="9"/>
      <c r="GB200" s="9"/>
      <c r="GC200" s="9"/>
      <c r="GD200" s="9"/>
      <c r="GE200" s="9"/>
      <c r="GF200" s="9"/>
      <c r="GG200" s="9"/>
      <c r="GH200" s="9"/>
      <c r="GI200" s="9"/>
      <c r="GJ200" s="9"/>
      <c r="GK200" s="9"/>
      <c r="GL200" s="9"/>
      <c r="GM200" s="9"/>
      <c r="GN200" s="9"/>
      <c r="GO200" s="9"/>
      <c r="GP200" s="9"/>
      <c r="GQ200" s="9"/>
      <c r="GR200" s="9"/>
      <c r="GS200" s="9"/>
      <c r="GT200" s="9"/>
      <c r="GU200" s="9"/>
      <c r="GV200" s="9"/>
      <c r="GW200" s="9"/>
      <c r="GX200" s="9"/>
      <c r="GY200" s="10"/>
      <c r="GZ200" s="9"/>
      <c r="HA200" s="9"/>
    </row>
    <row r="201" spans="1:209" s="2" customFormat="1" ht="17" customHeight="1">
      <c r="A201" s="14" t="s">
        <v>198</v>
      </c>
      <c r="B201" s="35">
        <v>0</v>
      </c>
      <c r="C201" s="35">
        <v>0</v>
      </c>
      <c r="D201" s="4">
        <f t="shared" si="57"/>
        <v>0</v>
      </c>
      <c r="E201" s="11">
        <v>0</v>
      </c>
      <c r="F201" s="5" t="s">
        <v>362</v>
      </c>
      <c r="G201" s="5" t="s">
        <v>362</v>
      </c>
      <c r="H201" s="5" t="s">
        <v>362</v>
      </c>
      <c r="I201" s="5" t="s">
        <v>362</v>
      </c>
      <c r="J201" s="5" t="s">
        <v>362</v>
      </c>
      <c r="K201" s="5" t="s">
        <v>362</v>
      </c>
      <c r="L201" s="5" t="s">
        <v>362</v>
      </c>
      <c r="M201" s="5" t="s">
        <v>362</v>
      </c>
      <c r="N201" s="35">
        <v>152.30000000000001</v>
      </c>
      <c r="O201" s="35">
        <v>81.2</v>
      </c>
      <c r="P201" s="4">
        <f t="shared" si="58"/>
        <v>0.53315824031516745</v>
      </c>
      <c r="Q201" s="11">
        <v>20</v>
      </c>
      <c r="R201" s="35">
        <v>0.2</v>
      </c>
      <c r="S201" s="35">
        <v>1.8</v>
      </c>
      <c r="T201" s="4">
        <f t="shared" si="59"/>
        <v>1.3</v>
      </c>
      <c r="U201" s="11">
        <v>30</v>
      </c>
      <c r="V201" s="35">
        <v>1</v>
      </c>
      <c r="W201" s="35">
        <v>1.2</v>
      </c>
      <c r="X201" s="4">
        <f t="shared" si="60"/>
        <v>1.2</v>
      </c>
      <c r="Y201" s="11">
        <v>20</v>
      </c>
      <c r="Z201" s="35">
        <v>1376.2</v>
      </c>
      <c r="AA201" s="35">
        <v>1539</v>
      </c>
      <c r="AB201" s="4">
        <f t="shared" si="61"/>
        <v>1.1182967591919779</v>
      </c>
      <c r="AC201" s="11">
        <v>5</v>
      </c>
      <c r="AD201" s="11">
        <v>110</v>
      </c>
      <c r="AE201" s="11">
        <v>110</v>
      </c>
      <c r="AF201" s="4">
        <f t="shared" si="62"/>
        <v>1</v>
      </c>
      <c r="AG201" s="11">
        <v>20</v>
      </c>
      <c r="AH201" s="5" t="s">
        <v>362</v>
      </c>
      <c r="AI201" s="5" t="s">
        <v>362</v>
      </c>
      <c r="AJ201" s="5" t="s">
        <v>362</v>
      </c>
      <c r="AK201" s="5" t="s">
        <v>362</v>
      </c>
      <c r="AL201" s="5" t="s">
        <v>362</v>
      </c>
      <c r="AM201" s="5" t="s">
        <v>362</v>
      </c>
      <c r="AN201" s="5" t="s">
        <v>362</v>
      </c>
      <c r="AO201" s="5" t="s">
        <v>362</v>
      </c>
      <c r="AP201" s="44">
        <f t="shared" si="71"/>
        <v>1.0447857747606657</v>
      </c>
      <c r="AQ201" s="45">
        <v>516</v>
      </c>
      <c r="AR201" s="35">
        <f t="shared" si="63"/>
        <v>140.72727272727272</v>
      </c>
      <c r="AS201" s="35">
        <f t="shared" si="64"/>
        <v>147</v>
      </c>
      <c r="AT201" s="35">
        <f t="shared" si="65"/>
        <v>6.2727272727272805</v>
      </c>
      <c r="AU201" s="35">
        <v>39.200000000000003</v>
      </c>
      <c r="AV201" s="35">
        <v>48.8</v>
      </c>
      <c r="AW201" s="35">
        <f t="shared" si="66"/>
        <v>59</v>
      </c>
      <c r="AX201" s="35"/>
      <c r="AY201" s="35">
        <f t="shared" si="67"/>
        <v>59</v>
      </c>
      <c r="AZ201" s="35">
        <v>0</v>
      </c>
      <c r="BA201" s="35">
        <f t="shared" si="68"/>
        <v>59</v>
      </c>
      <c r="BB201" s="35">
        <f>MIN(BA201,21.8)</f>
        <v>21.8</v>
      </c>
      <c r="BC201" s="35">
        <f t="shared" si="69"/>
        <v>37.200000000000003</v>
      </c>
      <c r="BD201" s="35">
        <v>36.700000000000003</v>
      </c>
      <c r="BE201" s="35">
        <f t="shared" si="70"/>
        <v>0.5</v>
      </c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9"/>
      <c r="BU201" s="9"/>
      <c r="BV201" s="9"/>
      <c r="BW201" s="9"/>
      <c r="BX201" s="9"/>
      <c r="BY201" s="9"/>
      <c r="BZ201" s="9"/>
      <c r="CA201" s="9"/>
      <c r="CB201" s="9"/>
      <c r="CC201" s="9"/>
      <c r="CD201" s="9"/>
      <c r="CE201" s="9"/>
      <c r="CF201" s="9"/>
      <c r="CG201" s="9"/>
      <c r="CH201" s="9"/>
      <c r="CI201" s="9"/>
      <c r="CJ201" s="9"/>
      <c r="CK201" s="9"/>
      <c r="CL201" s="9"/>
      <c r="CM201" s="9"/>
      <c r="CN201" s="9"/>
      <c r="CO201" s="9"/>
      <c r="CP201" s="9"/>
      <c r="CQ201" s="10"/>
      <c r="CR201" s="9"/>
      <c r="CS201" s="9"/>
      <c r="CT201" s="9"/>
      <c r="CU201" s="9"/>
      <c r="CV201" s="9"/>
      <c r="CW201" s="9"/>
      <c r="CX201" s="9"/>
      <c r="CY201" s="9"/>
      <c r="CZ201" s="9"/>
      <c r="DA201" s="9"/>
      <c r="DB201" s="9"/>
      <c r="DC201" s="9"/>
      <c r="DD201" s="9"/>
      <c r="DE201" s="9"/>
      <c r="DF201" s="9"/>
      <c r="DG201" s="9"/>
      <c r="DH201" s="9"/>
      <c r="DI201" s="9"/>
      <c r="DJ201" s="9"/>
      <c r="DK201" s="9"/>
      <c r="DL201" s="9"/>
      <c r="DM201" s="9"/>
      <c r="DN201" s="9"/>
      <c r="DO201" s="9"/>
      <c r="DP201" s="9"/>
      <c r="DQ201" s="9"/>
      <c r="DR201" s="9"/>
      <c r="DS201" s="10"/>
      <c r="DT201" s="9"/>
      <c r="DU201" s="9"/>
      <c r="DV201" s="9"/>
      <c r="DW201" s="9"/>
      <c r="DX201" s="9"/>
      <c r="DY201" s="9"/>
      <c r="DZ201" s="9"/>
      <c r="EA201" s="9"/>
      <c r="EB201" s="9"/>
      <c r="EC201" s="9"/>
      <c r="ED201" s="9"/>
      <c r="EE201" s="9"/>
      <c r="EF201" s="9"/>
      <c r="EG201" s="9"/>
      <c r="EH201" s="9"/>
      <c r="EI201" s="9"/>
      <c r="EJ201" s="9"/>
      <c r="EK201" s="9"/>
      <c r="EL201" s="9"/>
      <c r="EM201" s="9"/>
      <c r="EN201" s="9"/>
      <c r="EO201" s="9"/>
      <c r="EP201" s="9"/>
      <c r="EQ201" s="9"/>
      <c r="ER201" s="9"/>
      <c r="ES201" s="9"/>
      <c r="ET201" s="9"/>
      <c r="EU201" s="10"/>
      <c r="EV201" s="9"/>
      <c r="EW201" s="9"/>
      <c r="EX201" s="9"/>
      <c r="EY201" s="9"/>
      <c r="EZ201" s="9"/>
      <c r="FA201" s="9"/>
      <c r="FB201" s="9"/>
      <c r="FC201" s="9"/>
      <c r="FD201" s="9"/>
      <c r="FE201" s="9"/>
      <c r="FF201" s="9"/>
      <c r="FG201" s="9"/>
      <c r="FH201" s="9"/>
      <c r="FI201" s="9"/>
      <c r="FJ201" s="9"/>
      <c r="FK201" s="9"/>
      <c r="FL201" s="9"/>
      <c r="FM201" s="9"/>
      <c r="FN201" s="9"/>
      <c r="FO201" s="9"/>
      <c r="FP201" s="9"/>
      <c r="FQ201" s="9"/>
      <c r="FR201" s="9"/>
      <c r="FS201" s="9"/>
      <c r="FT201" s="9"/>
      <c r="FU201" s="9"/>
      <c r="FV201" s="9"/>
      <c r="FW201" s="10"/>
      <c r="FX201" s="9"/>
      <c r="FY201" s="9"/>
      <c r="FZ201" s="9"/>
      <c r="GA201" s="9"/>
      <c r="GB201" s="9"/>
      <c r="GC201" s="9"/>
      <c r="GD201" s="9"/>
      <c r="GE201" s="9"/>
      <c r="GF201" s="9"/>
      <c r="GG201" s="9"/>
      <c r="GH201" s="9"/>
      <c r="GI201" s="9"/>
      <c r="GJ201" s="9"/>
      <c r="GK201" s="9"/>
      <c r="GL201" s="9"/>
      <c r="GM201" s="9"/>
      <c r="GN201" s="9"/>
      <c r="GO201" s="9"/>
      <c r="GP201" s="9"/>
      <c r="GQ201" s="9"/>
      <c r="GR201" s="9"/>
      <c r="GS201" s="9"/>
      <c r="GT201" s="9"/>
      <c r="GU201" s="9"/>
      <c r="GV201" s="9"/>
      <c r="GW201" s="9"/>
      <c r="GX201" s="9"/>
      <c r="GY201" s="10"/>
      <c r="GZ201" s="9"/>
      <c r="HA201" s="9"/>
    </row>
    <row r="202" spans="1:209" s="2" customFormat="1" ht="17" customHeight="1">
      <c r="A202" s="14" t="s">
        <v>199</v>
      </c>
      <c r="B202" s="35">
        <v>0</v>
      </c>
      <c r="C202" s="35">
        <v>0</v>
      </c>
      <c r="D202" s="4">
        <f t="shared" si="57"/>
        <v>0</v>
      </c>
      <c r="E202" s="11">
        <v>0</v>
      </c>
      <c r="F202" s="5" t="s">
        <v>362</v>
      </c>
      <c r="G202" s="5" t="s">
        <v>362</v>
      </c>
      <c r="H202" s="5" t="s">
        <v>362</v>
      </c>
      <c r="I202" s="5" t="s">
        <v>362</v>
      </c>
      <c r="J202" s="5" t="s">
        <v>362</v>
      </c>
      <c r="K202" s="5" t="s">
        <v>362</v>
      </c>
      <c r="L202" s="5" t="s">
        <v>362</v>
      </c>
      <c r="M202" s="5" t="s">
        <v>362</v>
      </c>
      <c r="N202" s="35">
        <v>914.9</v>
      </c>
      <c r="O202" s="35">
        <v>386</v>
      </c>
      <c r="P202" s="4">
        <f t="shared" si="58"/>
        <v>0.42190403322767517</v>
      </c>
      <c r="Q202" s="11">
        <v>20</v>
      </c>
      <c r="R202" s="35">
        <v>305</v>
      </c>
      <c r="S202" s="35">
        <v>209.2</v>
      </c>
      <c r="T202" s="4">
        <f t="shared" si="59"/>
        <v>0.68590163934426229</v>
      </c>
      <c r="U202" s="11">
        <v>35</v>
      </c>
      <c r="V202" s="35">
        <v>8</v>
      </c>
      <c r="W202" s="35">
        <v>11.4</v>
      </c>
      <c r="X202" s="4">
        <f t="shared" si="60"/>
        <v>1.2224999999999999</v>
      </c>
      <c r="Y202" s="11">
        <v>15</v>
      </c>
      <c r="Z202" s="35">
        <v>2912.6</v>
      </c>
      <c r="AA202" s="35">
        <v>2323</v>
      </c>
      <c r="AB202" s="4">
        <f t="shared" si="61"/>
        <v>0.79756918217400263</v>
      </c>
      <c r="AC202" s="11">
        <v>5</v>
      </c>
      <c r="AD202" s="11">
        <v>696</v>
      </c>
      <c r="AE202" s="11">
        <v>620</v>
      </c>
      <c r="AF202" s="4">
        <f t="shared" si="62"/>
        <v>0.89080459770114939</v>
      </c>
      <c r="AG202" s="11">
        <v>20</v>
      </c>
      <c r="AH202" s="5" t="s">
        <v>362</v>
      </c>
      <c r="AI202" s="5" t="s">
        <v>362</v>
      </c>
      <c r="AJ202" s="5" t="s">
        <v>362</v>
      </c>
      <c r="AK202" s="5" t="s">
        <v>362</v>
      </c>
      <c r="AL202" s="5" t="s">
        <v>362</v>
      </c>
      <c r="AM202" s="5" t="s">
        <v>362</v>
      </c>
      <c r="AN202" s="5" t="s">
        <v>362</v>
      </c>
      <c r="AO202" s="5" t="s">
        <v>362</v>
      </c>
      <c r="AP202" s="44">
        <f t="shared" si="71"/>
        <v>0.76406395691048101</v>
      </c>
      <c r="AQ202" s="45">
        <v>1433</v>
      </c>
      <c r="AR202" s="35">
        <f t="shared" si="63"/>
        <v>390.81818181818187</v>
      </c>
      <c r="AS202" s="35">
        <f t="shared" si="64"/>
        <v>298.60000000000002</v>
      </c>
      <c r="AT202" s="35">
        <f t="shared" si="65"/>
        <v>-92.218181818181847</v>
      </c>
      <c r="AU202" s="35">
        <v>90</v>
      </c>
      <c r="AV202" s="35">
        <v>69.599999999999994</v>
      </c>
      <c r="AW202" s="35">
        <f t="shared" si="66"/>
        <v>139</v>
      </c>
      <c r="AX202" s="35"/>
      <c r="AY202" s="35">
        <f t="shared" si="67"/>
        <v>139</v>
      </c>
      <c r="AZ202" s="35">
        <v>0</v>
      </c>
      <c r="BA202" s="35">
        <f t="shared" si="68"/>
        <v>139</v>
      </c>
      <c r="BB202" s="35">
        <f>MIN(BA202,65.1)</f>
        <v>65.099999999999994</v>
      </c>
      <c r="BC202" s="35">
        <f t="shared" si="69"/>
        <v>73.900000000000006</v>
      </c>
      <c r="BD202" s="35">
        <v>73.2</v>
      </c>
      <c r="BE202" s="35">
        <f t="shared" si="70"/>
        <v>0.7</v>
      </c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9"/>
      <c r="BU202" s="9"/>
      <c r="BV202" s="9"/>
      <c r="BW202" s="9"/>
      <c r="BX202" s="9"/>
      <c r="BY202" s="9"/>
      <c r="BZ202" s="9"/>
      <c r="CA202" s="9"/>
      <c r="CB202" s="9"/>
      <c r="CC202" s="9"/>
      <c r="CD202" s="9"/>
      <c r="CE202" s="9"/>
      <c r="CF202" s="9"/>
      <c r="CG202" s="9"/>
      <c r="CH202" s="9"/>
      <c r="CI202" s="9"/>
      <c r="CJ202" s="9"/>
      <c r="CK202" s="9"/>
      <c r="CL202" s="9"/>
      <c r="CM202" s="9"/>
      <c r="CN202" s="9"/>
      <c r="CO202" s="9"/>
      <c r="CP202" s="9"/>
      <c r="CQ202" s="10"/>
      <c r="CR202" s="9"/>
      <c r="CS202" s="9"/>
      <c r="CT202" s="9"/>
      <c r="CU202" s="9"/>
      <c r="CV202" s="9"/>
      <c r="CW202" s="9"/>
      <c r="CX202" s="9"/>
      <c r="CY202" s="9"/>
      <c r="CZ202" s="9"/>
      <c r="DA202" s="9"/>
      <c r="DB202" s="9"/>
      <c r="DC202" s="9"/>
      <c r="DD202" s="9"/>
      <c r="DE202" s="9"/>
      <c r="DF202" s="9"/>
      <c r="DG202" s="9"/>
      <c r="DH202" s="9"/>
      <c r="DI202" s="9"/>
      <c r="DJ202" s="9"/>
      <c r="DK202" s="9"/>
      <c r="DL202" s="9"/>
      <c r="DM202" s="9"/>
      <c r="DN202" s="9"/>
      <c r="DO202" s="9"/>
      <c r="DP202" s="9"/>
      <c r="DQ202" s="9"/>
      <c r="DR202" s="9"/>
      <c r="DS202" s="10"/>
      <c r="DT202" s="9"/>
      <c r="DU202" s="9"/>
      <c r="DV202" s="9"/>
      <c r="DW202" s="9"/>
      <c r="DX202" s="9"/>
      <c r="DY202" s="9"/>
      <c r="DZ202" s="9"/>
      <c r="EA202" s="9"/>
      <c r="EB202" s="9"/>
      <c r="EC202" s="9"/>
      <c r="ED202" s="9"/>
      <c r="EE202" s="9"/>
      <c r="EF202" s="9"/>
      <c r="EG202" s="9"/>
      <c r="EH202" s="9"/>
      <c r="EI202" s="9"/>
      <c r="EJ202" s="9"/>
      <c r="EK202" s="9"/>
      <c r="EL202" s="9"/>
      <c r="EM202" s="9"/>
      <c r="EN202" s="9"/>
      <c r="EO202" s="9"/>
      <c r="EP202" s="9"/>
      <c r="EQ202" s="9"/>
      <c r="ER202" s="9"/>
      <c r="ES202" s="9"/>
      <c r="ET202" s="9"/>
      <c r="EU202" s="10"/>
      <c r="EV202" s="9"/>
      <c r="EW202" s="9"/>
      <c r="EX202" s="9"/>
      <c r="EY202" s="9"/>
      <c r="EZ202" s="9"/>
      <c r="FA202" s="9"/>
      <c r="FB202" s="9"/>
      <c r="FC202" s="9"/>
      <c r="FD202" s="9"/>
      <c r="FE202" s="9"/>
      <c r="FF202" s="9"/>
      <c r="FG202" s="9"/>
      <c r="FH202" s="9"/>
      <c r="FI202" s="9"/>
      <c r="FJ202" s="9"/>
      <c r="FK202" s="9"/>
      <c r="FL202" s="9"/>
      <c r="FM202" s="9"/>
      <c r="FN202" s="9"/>
      <c r="FO202" s="9"/>
      <c r="FP202" s="9"/>
      <c r="FQ202" s="9"/>
      <c r="FR202" s="9"/>
      <c r="FS202" s="9"/>
      <c r="FT202" s="9"/>
      <c r="FU202" s="9"/>
      <c r="FV202" s="9"/>
      <c r="FW202" s="10"/>
      <c r="FX202" s="9"/>
      <c r="FY202" s="9"/>
      <c r="FZ202" s="9"/>
      <c r="GA202" s="9"/>
      <c r="GB202" s="9"/>
      <c r="GC202" s="9"/>
      <c r="GD202" s="9"/>
      <c r="GE202" s="9"/>
      <c r="GF202" s="9"/>
      <c r="GG202" s="9"/>
      <c r="GH202" s="9"/>
      <c r="GI202" s="9"/>
      <c r="GJ202" s="9"/>
      <c r="GK202" s="9"/>
      <c r="GL202" s="9"/>
      <c r="GM202" s="9"/>
      <c r="GN202" s="9"/>
      <c r="GO202" s="9"/>
      <c r="GP202" s="9"/>
      <c r="GQ202" s="9"/>
      <c r="GR202" s="9"/>
      <c r="GS202" s="9"/>
      <c r="GT202" s="9"/>
      <c r="GU202" s="9"/>
      <c r="GV202" s="9"/>
      <c r="GW202" s="9"/>
      <c r="GX202" s="9"/>
      <c r="GY202" s="10"/>
      <c r="GZ202" s="9"/>
      <c r="HA202" s="9"/>
    </row>
    <row r="203" spans="1:209" s="2" customFormat="1" ht="17" customHeight="1">
      <c r="A203" s="14" t="s">
        <v>200</v>
      </c>
      <c r="B203" s="35">
        <v>0</v>
      </c>
      <c r="C203" s="35">
        <v>0</v>
      </c>
      <c r="D203" s="4">
        <f t="shared" si="57"/>
        <v>0</v>
      </c>
      <c r="E203" s="11">
        <v>0</v>
      </c>
      <c r="F203" s="5" t="s">
        <v>362</v>
      </c>
      <c r="G203" s="5" t="s">
        <v>362</v>
      </c>
      <c r="H203" s="5" t="s">
        <v>362</v>
      </c>
      <c r="I203" s="5" t="s">
        <v>362</v>
      </c>
      <c r="J203" s="5" t="s">
        <v>362</v>
      </c>
      <c r="K203" s="5" t="s">
        <v>362</v>
      </c>
      <c r="L203" s="5" t="s">
        <v>362</v>
      </c>
      <c r="M203" s="5" t="s">
        <v>362</v>
      </c>
      <c r="N203" s="35">
        <v>118</v>
      </c>
      <c r="O203" s="35">
        <v>71.400000000000006</v>
      </c>
      <c r="P203" s="4">
        <f t="shared" si="58"/>
        <v>0.60508474576271187</v>
      </c>
      <c r="Q203" s="11">
        <v>20</v>
      </c>
      <c r="R203" s="35">
        <v>15</v>
      </c>
      <c r="S203" s="35">
        <v>13.9</v>
      </c>
      <c r="T203" s="4">
        <f t="shared" si="59"/>
        <v>0.92666666666666664</v>
      </c>
      <c r="U203" s="11">
        <v>35</v>
      </c>
      <c r="V203" s="35">
        <v>0.1</v>
      </c>
      <c r="W203" s="35">
        <v>0.2</v>
      </c>
      <c r="X203" s="4">
        <f t="shared" si="60"/>
        <v>1.28</v>
      </c>
      <c r="Y203" s="11">
        <v>15</v>
      </c>
      <c r="Z203" s="35">
        <v>392.3</v>
      </c>
      <c r="AA203" s="35">
        <v>392</v>
      </c>
      <c r="AB203" s="4">
        <f t="shared" si="61"/>
        <v>0.99923527912312005</v>
      </c>
      <c r="AC203" s="11">
        <v>5</v>
      </c>
      <c r="AD203" s="11">
        <v>87</v>
      </c>
      <c r="AE203" s="11">
        <v>74</v>
      </c>
      <c r="AF203" s="4">
        <f t="shared" si="62"/>
        <v>0.85057471264367812</v>
      </c>
      <c r="AG203" s="11">
        <v>20</v>
      </c>
      <c r="AH203" s="5" t="s">
        <v>362</v>
      </c>
      <c r="AI203" s="5" t="s">
        <v>362</v>
      </c>
      <c r="AJ203" s="5" t="s">
        <v>362</v>
      </c>
      <c r="AK203" s="5" t="s">
        <v>362</v>
      </c>
      <c r="AL203" s="5" t="s">
        <v>362</v>
      </c>
      <c r="AM203" s="5" t="s">
        <v>362</v>
      </c>
      <c r="AN203" s="5" t="s">
        <v>362</v>
      </c>
      <c r="AO203" s="5" t="s">
        <v>362</v>
      </c>
      <c r="AP203" s="44">
        <f t="shared" si="71"/>
        <v>0.90255472523238667</v>
      </c>
      <c r="AQ203" s="45">
        <v>449</v>
      </c>
      <c r="AR203" s="35">
        <f t="shared" si="63"/>
        <v>122.45454545454547</v>
      </c>
      <c r="AS203" s="35">
        <f t="shared" si="64"/>
        <v>110.5</v>
      </c>
      <c r="AT203" s="35">
        <f t="shared" si="65"/>
        <v>-11.954545454545467</v>
      </c>
      <c r="AU203" s="35">
        <v>25.6</v>
      </c>
      <c r="AV203" s="35">
        <v>34.6</v>
      </c>
      <c r="AW203" s="35">
        <f t="shared" si="66"/>
        <v>50.3</v>
      </c>
      <c r="AX203" s="35"/>
      <c r="AY203" s="35">
        <f t="shared" si="67"/>
        <v>50.3</v>
      </c>
      <c r="AZ203" s="35">
        <v>0</v>
      </c>
      <c r="BA203" s="35">
        <f t="shared" si="68"/>
        <v>50.3</v>
      </c>
      <c r="BB203" s="35"/>
      <c r="BC203" s="35">
        <f t="shared" si="69"/>
        <v>50.3</v>
      </c>
      <c r="BD203" s="35">
        <v>49.7</v>
      </c>
      <c r="BE203" s="35">
        <f t="shared" si="70"/>
        <v>0.6</v>
      </c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9"/>
      <c r="BU203" s="9"/>
      <c r="BV203" s="9"/>
      <c r="BW203" s="9"/>
      <c r="BX203" s="9"/>
      <c r="BY203" s="9"/>
      <c r="BZ203" s="9"/>
      <c r="CA203" s="9"/>
      <c r="CB203" s="9"/>
      <c r="CC203" s="9"/>
      <c r="CD203" s="9"/>
      <c r="CE203" s="9"/>
      <c r="CF203" s="9"/>
      <c r="CG203" s="9"/>
      <c r="CH203" s="9"/>
      <c r="CI203" s="9"/>
      <c r="CJ203" s="9"/>
      <c r="CK203" s="9"/>
      <c r="CL203" s="9"/>
      <c r="CM203" s="9"/>
      <c r="CN203" s="9"/>
      <c r="CO203" s="9"/>
      <c r="CP203" s="9"/>
      <c r="CQ203" s="10"/>
      <c r="CR203" s="9"/>
      <c r="CS203" s="9"/>
      <c r="CT203" s="9"/>
      <c r="CU203" s="9"/>
      <c r="CV203" s="9"/>
      <c r="CW203" s="9"/>
      <c r="CX203" s="9"/>
      <c r="CY203" s="9"/>
      <c r="CZ203" s="9"/>
      <c r="DA203" s="9"/>
      <c r="DB203" s="9"/>
      <c r="DC203" s="9"/>
      <c r="DD203" s="9"/>
      <c r="DE203" s="9"/>
      <c r="DF203" s="9"/>
      <c r="DG203" s="9"/>
      <c r="DH203" s="9"/>
      <c r="DI203" s="9"/>
      <c r="DJ203" s="9"/>
      <c r="DK203" s="9"/>
      <c r="DL203" s="9"/>
      <c r="DM203" s="9"/>
      <c r="DN203" s="9"/>
      <c r="DO203" s="9"/>
      <c r="DP203" s="9"/>
      <c r="DQ203" s="9"/>
      <c r="DR203" s="9"/>
      <c r="DS203" s="10"/>
      <c r="DT203" s="9"/>
      <c r="DU203" s="9"/>
      <c r="DV203" s="9"/>
      <c r="DW203" s="9"/>
      <c r="DX203" s="9"/>
      <c r="DY203" s="9"/>
      <c r="DZ203" s="9"/>
      <c r="EA203" s="9"/>
      <c r="EB203" s="9"/>
      <c r="EC203" s="9"/>
      <c r="ED203" s="9"/>
      <c r="EE203" s="9"/>
      <c r="EF203" s="9"/>
      <c r="EG203" s="9"/>
      <c r="EH203" s="9"/>
      <c r="EI203" s="9"/>
      <c r="EJ203" s="9"/>
      <c r="EK203" s="9"/>
      <c r="EL203" s="9"/>
      <c r="EM203" s="9"/>
      <c r="EN203" s="9"/>
      <c r="EO203" s="9"/>
      <c r="EP203" s="9"/>
      <c r="EQ203" s="9"/>
      <c r="ER203" s="9"/>
      <c r="ES203" s="9"/>
      <c r="ET203" s="9"/>
      <c r="EU203" s="10"/>
      <c r="EV203" s="9"/>
      <c r="EW203" s="9"/>
      <c r="EX203" s="9"/>
      <c r="EY203" s="9"/>
      <c r="EZ203" s="9"/>
      <c r="FA203" s="9"/>
      <c r="FB203" s="9"/>
      <c r="FC203" s="9"/>
      <c r="FD203" s="9"/>
      <c r="FE203" s="9"/>
      <c r="FF203" s="9"/>
      <c r="FG203" s="9"/>
      <c r="FH203" s="9"/>
      <c r="FI203" s="9"/>
      <c r="FJ203" s="9"/>
      <c r="FK203" s="9"/>
      <c r="FL203" s="9"/>
      <c r="FM203" s="9"/>
      <c r="FN203" s="9"/>
      <c r="FO203" s="9"/>
      <c r="FP203" s="9"/>
      <c r="FQ203" s="9"/>
      <c r="FR203" s="9"/>
      <c r="FS203" s="9"/>
      <c r="FT203" s="9"/>
      <c r="FU203" s="9"/>
      <c r="FV203" s="9"/>
      <c r="FW203" s="10"/>
      <c r="FX203" s="9"/>
      <c r="FY203" s="9"/>
      <c r="FZ203" s="9"/>
      <c r="GA203" s="9"/>
      <c r="GB203" s="9"/>
      <c r="GC203" s="9"/>
      <c r="GD203" s="9"/>
      <c r="GE203" s="9"/>
      <c r="GF203" s="9"/>
      <c r="GG203" s="9"/>
      <c r="GH203" s="9"/>
      <c r="GI203" s="9"/>
      <c r="GJ203" s="9"/>
      <c r="GK203" s="9"/>
      <c r="GL203" s="9"/>
      <c r="GM203" s="9"/>
      <c r="GN203" s="9"/>
      <c r="GO203" s="9"/>
      <c r="GP203" s="9"/>
      <c r="GQ203" s="9"/>
      <c r="GR203" s="9"/>
      <c r="GS203" s="9"/>
      <c r="GT203" s="9"/>
      <c r="GU203" s="9"/>
      <c r="GV203" s="9"/>
      <c r="GW203" s="9"/>
      <c r="GX203" s="9"/>
      <c r="GY203" s="10"/>
      <c r="GZ203" s="9"/>
      <c r="HA203" s="9"/>
    </row>
    <row r="204" spans="1:209" s="2" customFormat="1" ht="17" customHeight="1">
      <c r="A204" s="14" t="s">
        <v>201</v>
      </c>
      <c r="B204" s="35">
        <v>0</v>
      </c>
      <c r="C204" s="35">
        <v>0</v>
      </c>
      <c r="D204" s="4">
        <f t="shared" si="57"/>
        <v>0</v>
      </c>
      <c r="E204" s="11">
        <v>0</v>
      </c>
      <c r="F204" s="5" t="s">
        <v>362</v>
      </c>
      <c r="G204" s="5" t="s">
        <v>362</v>
      </c>
      <c r="H204" s="5" t="s">
        <v>362</v>
      </c>
      <c r="I204" s="5" t="s">
        <v>362</v>
      </c>
      <c r="J204" s="5" t="s">
        <v>362</v>
      </c>
      <c r="K204" s="5" t="s">
        <v>362</v>
      </c>
      <c r="L204" s="5" t="s">
        <v>362</v>
      </c>
      <c r="M204" s="5" t="s">
        <v>362</v>
      </c>
      <c r="N204" s="35">
        <v>338.1</v>
      </c>
      <c r="O204" s="35">
        <v>384.5</v>
      </c>
      <c r="P204" s="4">
        <f t="shared" si="58"/>
        <v>1.1372375036971309</v>
      </c>
      <c r="Q204" s="11">
        <v>20</v>
      </c>
      <c r="R204" s="35">
        <v>0.2</v>
      </c>
      <c r="S204" s="35">
        <v>0.1</v>
      </c>
      <c r="T204" s="4">
        <f t="shared" si="59"/>
        <v>0.5</v>
      </c>
      <c r="U204" s="11">
        <v>35</v>
      </c>
      <c r="V204" s="35">
        <v>0.4</v>
      </c>
      <c r="W204" s="35">
        <v>0.2</v>
      </c>
      <c r="X204" s="4">
        <f t="shared" si="60"/>
        <v>0.5</v>
      </c>
      <c r="Y204" s="11">
        <v>15</v>
      </c>
      <c r="Z204" s="35">
        <v>835.9</v>
      </c>
      <c r="AA204" s="35">
        <v>1022</v>
      </c>
      <c r="AB204" s="4">
        <f t="shared" si="61"/>
        <v>1.2022634286397893</v>
      </c>
      <c r="AC204" s="11">
        <v>5</v>
      </c>
      <c r="AD204" s="11">
        <v>86</v>
      </c>
      <c r="AE204" s="11">
        <v>60</v>
      </c>
      <c r="AF204" s="4">
        <f t="shared" si="62"/>
        <v>0.69767441860465118</v>
      </c>
      <c r="AG204" s="11">
        <v>20</v>
      </c>
      <c r="AH204" s="5" t="s">
        <v>362</v>
      </c>
      <c r="AI204" s="5" t="s">
        <v>362</v>
      </c>
      <c r="AJ204" s="5" t="s">
        <v>362</v>
      </c>
      <c r="AK204" s="5" t="s">
        <v>362</v>
      </c>
      <c r="AL204" s="5" t="s">
        <v>362</v>
      </c>
      <c r="AM204" s="5" t="s">
        <v>362</v>
      </c>
      <c r="AN204" s="5" t="s">
        <v>362</v>
      </c>
      <c r="AO204" s="5" t="s">
        <v>362</v>
      </c>
      <c r="AP204" s="44">
        <f t="shared" si="71"/>
        <v>0.71273216409720619</v>
      </c>
      <c r="AQ204" s="45">
        <v>676</v>
      </c>
      <c r="AR204" s="35">
        <f t="shared" si="63"/>
        <v>184.36363636363637</v>
      </c>
      <c r="AS204" s="35">
        <f t="shared" si="64"/>
        <v>131.4</v>
      </c>
      <c r="AT204" s="35">
        <f t="shared" si="65"/>
        <v>-52.963636363636368</v>
      </c>
      <c r="AU204" s="35">
        <v>50.2</v>
      </c>
      <c r="AV204" s="35">
        <v>51.9</v>
      </c>
      <c r="AW204" s="35">
        <f t="shared" si="66"/>
        <v>29.3</v>
      </c>
      <c r="AX204" s="35"/>
      <c r="AY204" s="35">
        <f t="shared" si="67"/>
        <v>29.3</v>
      </c>
      <c r="AZ204" s="35">
        <v>0</v>
      </c>
      <c r="BA204" s="35">
        <f t="shared" si="68"/>
        <v>29.3</v>
      </c>
      <c r="BB204" s="35"/>
      <c r="BC204" s="35">
        <f t="shared" si="69"/>
        <v>29.3</v>
      </c>
      <c r="BD204" s="35">
        <v>24.3</v>
      </c>
      <c r="BE204" s="35">
        <f t="shared" si="70"/>
        <v>5</v>
      </c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9"/>
      <c r="BU204" s="9"/>
      <c r="BV204" s="9"/>
      <c r="BW204" s="9"/>
      <c r="BX204" s="9"/>
      <c r="BY204" s="9"/>
      <c r="BZ204" s="9"/>
      <c r="CA204" s="9"/>
      <c r="CB204" s="9"/>
      <c r="CC204" s="9"/>
      <c r="CD204" s="9"/>
      <c r="CE204" s="9"/>
      <c r="CF204" s="9"/>
      <c r="CG204" s="9"/>
      <c r="CH204" s="9"/>
      <c r="CI204" s="9"/>
      <c r="CJ204" s="9"/>
      <c r="CK204" s="9"/>
      <c r="CL204" s="9"/>
      <c r="CM204" s="9"/>
      <c r="CN204" s="9"/>
      <c r="CO204" s="9"/>
      <c r="CP204" s="9"/>
      <c r="CQ204" s="10"/>
      <c r="CR204" s="9"/>
      <c r="CS204" s="9"/>
      <c r="CT204" s="9"/>
      <c r="CU204" s="9"/>
      <c r="CV204" s="9"/>
      <c r="CW204" s="9"/>
      <c r="CX204" s="9"/>
      <c r="CY204" s="9"/>
      <c r="CZ204" s="9"/>
      <c r="DA204" s="9"/>
      <c r="DB204" s="9"/>
      <c r="DC204" s="9"/>
      <c r="DD204" s="9"/>
      <c r="DE204" s="9"/>
      <c r="DF204" s="9"/>
      <c r="DG204" s="9"/>
      <c r="DH204" s="9"/>
      <c r="DI204" s="9"/>
      <c r="DJ204" s="9"/>
      <c r="DK204" s="9"/>
      <c r="DL204" s="9"/>
      <c r="DM204" s="9"/>
      <c r="DN204" s="9"/>
      <c r="DO204" s="9"/>
      <c r="DP204" s="9"/>
      <c r="DQ204" s="9"/>
      <c r="DR204" s="9"/>
      <c r="DS204" s="10"/>
      <c r="DT204" s="9"/>
      <c r="DU204" s="9"/>
      <c r="DV204" s="9"/>
      <c r="DW204" s="9"/>
      <c r="DX204" s="9"/>
      <c r="DY204" s="9"/>
      <c r="DZ204" s="9"/>
      <c r="EA204" s="9"/>
      <c r="EB204" s="9"/>
      <c r="EC204" s="9"/>
      <c r="ED204" s="9"/>
      <c r="EE204" s="9"/>
      <c r="EF204" s="9"/>
      <c r="EG204" s="9"/>
      <c r="EH204" s="9"/>
      <c r="EI204" s="9"/>
      <c r="EJ204" s="9"/>
      <c r="EK204" s="9"/>
      <c r="EL204" s="9"/>
      <c r="EM204" s="9"/>
      <c r="EN204" s="9"/>
      <c r="EO204" s="9"/>
      <c r="EP204" s="9"/>
      <c r="EQ204" s="9"/>
      <c r="ER204" s="9"/>
      <c r="ES204" s="9"/>
      <c r="ET204" s="9"/>
      <c r="EU204" s="10"/>
      <c r="EV204" s="9"/>
      <c r="EW204" s="9"/>
      <c r="EX204" s="9"/>
      <c r="EY204" s="9"/>
      <c r="EZ204" s="9"/>
      <c r="FA204" s="9"/>
      <c r="FB204" s="9"/>
      <c r="FC204" s="9"/>
      <c r="FD204" s="9"/>
      <c r="FE204" s="9"/>
      <c r="FF204" s="9"/>
      <c r="FG204" s="9"/>
      <c r="FH204" s="9"/>
      <c r="FI204" s="9"/>
      <c r="FJ204" s="9"/>
      <c r="FK204" s="9"/>
      <c r="FL204" s="9"/>
      <c r="FM204" s="9"/>
      <c r="FN204" s="9"/>
      <c r="FO204" s="9"/>
      <c r="FP204" s="9"/>
      <c r="FQ204" s="9"/>
      <c r="FR204" s="9"/>
      <c r="FS204" s="9"/>
      <c r="FT204" s="9"/>
      <c r="FU204" s="9"/>
      <c r="FV204" s="9"/>
      <c r="FW204" s="10"/>
      <c r="FX204" s="9"/>
      <c r="FY204" s="9"/>
      <c r="FZ204" s="9"/>
      <c r="GA204" s="9"/>
      <c r="GB204" s="9"/>
      <c r="GC204" s="9"/>
      <c r="GD204" s="9"/>
      <c r="GE204" s="9"/>
      <c r="GF204" s="9"/>
      <c r="GG204" s="9"/>
      <c r="GH204" s="9"/>
      <c r="GI204" s="9"/>
      <c r="GJ204" s="9"/>
      <c r="GK204" s="9"/>
      <c r="GL204" s="9"/>
      <c r="GM204" s="9"/>
      <c r="GN204" s="9"/>
      <c r="GO204" s="9"/>
      <c r="GP204" s="9"/>
      <c r="GQ204" s="9"/>
      <c r="GR204" s="9"/>
      <c r="GS204" s="9"/>
      <c r="GT204" s="9"/>
      <c r="GU204" s="9"/>
      <c r="GV204" s="9"/>
      <c r="GW204" s="9"/>
      <c r="GX204" s="9"/>
      <c r="GY204" s="10"/>
      <c r="GZ204" s="9"/>
      <c r="HA204" s="9"/>
    </row>
    <row r="205" spans="1:209" s="2" customFormat="1" ht="17" customHeight="1">
      <c r="A205" s="18" t="s">
        <v>202</v>
      </c>
      <c r="B205" s="6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35"/>
      <c r="AA205" s="35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  <c r="AR205" s="11"/>
      <c r="AS205" s="11"/>
      <c r="AT205" s="11"/>
      <c r="AU205" s="11"/>
      <c r="AV205" s="11"/>
      <c r="AW205" s="11"/>
      <c r="AX205" s="11"/>
      <c r="AY205" s="11"/>
      <c r="AZ205" s="11"/>
      <c r="BA205" s="11"/>
      <c r="BB205" s="11"/>
      <c r="BC205" s="35"/>
      <c r="BD205" s="35"/>
      <c r="BE205" s="35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9"/>
      <c r="BU205" s="9"/>
      <c r="BV205" s="9"/>
      <c r="BW205" s="9"/>
      <c r="BX205" s="9"/>
      <c r="BY205" s="9"/>
      <c r="BZ205" s="9"/>
      <c r="CA205" s="9"/>
      <c r="CB205" s="9"/>
      <c r="CC205" s="9"/>
      <c r="CD205" s="9"/>
      <c r="CE205" s="9"/>
      <c r="CF205" s="9"/>
      <c r="CG205" s="9"/>
      <c r="CH205" s="9"/>
      <c r="CI205" s="9"/>
      <c r="CJ205" s="9"/>
      <c r="CK205" s="9"/>
      <c r="CL205" s="9"/>
      <c r="CM205" s="9"/>
      <c r="CN205" s="9"/>
      <c r="CO205" s="9"/>
      <c r="CP205" s="9"/>
      <c r="CQ205" s="10"/>
      <c r="CR205" s="9"/>
      <c r="CS205" s="9"/>
      <c r="CT205" s="9"/>
      <c r="CU205" s="9"/>
      <c r="CV205" s="9"/>
      <c r="CW205" s="9"/>
      <c r="CX205" s="9"/>
      <c r="CY205" s="9"/>
      <c r="CZ205" s="9"/>
      <c r="DA205" s="9"/>
      <c r="DB205" s="9"/>
      <c r="DC205" s="9"/>
      <c r="DD205" s="9"/>
      <c r="DE205" s="9"/>
      <c r="DF205" s="9"/>
      <c r="DG205" s="9"/>
      <c r="DH205" s="9"/>
      <c r="DI205" s="9"/>
      <c r="DJ205" s="9"/>
      <c r="DK205" s="9"/>
      <c r="DL205" s="9"/>
      <c r="DM205" s="9"/>
      <c r="DN205" s="9"/>
      <c r="DO205" s="9"/>
      <c r="DP205" s="9"/>
      <c r="DQ205" s="9"/>
      <c r="DR205" s="9"/>
      <c r="DS205" s="10"/>
      <c r="DT205" s="9"/>
      <c r="DU205" s="9"/>
      <c r="DV205" s="9"/>
      <c r="DW205" s="9"/>
      <c r="DX205" s="9"/>
      <c r="DY205" s="9"/>
      <c r="DZ205" s="9"/>
      <c r="EA205" s="9"/>
      <c r="EB205" s="9"/>
      <c r="EC205" s="9"/>
      <c r="ED205" s="9"/>
      <c r="EE205" s="9"/>
      <c r="EF205" s="9"/>
      <c r="EG205" s="9"/>
      <c r="EH205" s="9"/>
      <c r="EI205" s="9"/>
      <c r="EJ205" s="9"/>
      <c r="EK205" s="9"/>
      <c r="EL205" s="9"/>
      <c r="EM205" s="9"/>
      <c r="EN205" s="9"/>
      <c r="EO205" s="9"/>
      <c r="EP205" s="9"/>
      <c r="EQ205" s="9"/>
      <c r="ER205" s="9"/>
      <c r="ES205" s="9"/>
      <c r="ET205" s="9"/>
      <c r="EU205" s="10"/>
      <c r="EV205" s="9"/>
      <c r="EW205" s="9"/>
      <c r="EX205" s="9"/>
      <c r="EY205" s="9"/>
      <c r="EZ205" s="9"/>
      <c r="FA205" s="9"/>
      <c r="FB205" s="9"/>
      <c r="FC205" s="9"/>
      <c r="FD205" s="9"/>
      <c r="FE205" s="9"/>
      <c r="FF205" s="9"/>
      <c r="FG205" s="9"/>
      <c r="FH205" s="9"/>
      <c r="FI205" s="9"/>
      <c r="FJ205" s="9"/>
      <c r="FK205" s="9"/>
      <c r="FL205" s="9"/>
      <c r="FM205" s="9"/>
      <c r="FN205" s="9"/>
      <c r="FO205" s="9"/>
      <c r="FP205" s="9"/>
      <c r="FQ205" s="9"/>
      <c r="FR205" s="9"/>
      <c r="FS205" s="9"/>
      <c r="FT205" s="9"/>
      <c r="FU205" s="9"/>
      <c r="FV205" s="9"/>
      <c r="FW205" s="10"/>
      <c r="FX205" s="9"/>
      <c r="FY205" s="9"/>
      <c r="FZ205" s="9"/>
      <c r="GA205" s="9"/>
      <c r="GB205" s="9"/>
      <c r="GC205" s="9"/>
      <c r="GD205" s="9"/>
      <c r="GE205" s="9"/>
      <c r="GF205" s="9"/>
      <c r="GG205" s="9"/>
      <c r="GH205" s="9"/>
      <c r="GI205" s="9"/>
      <c r="GJ205" s="9"/>
      <c r="GK205" s="9"/>
      <c r="GL205" s="9"/>
      <c r="GM205" s="9"/>
      <c r="GN205" s="9"/>
      <c r="GO205" s="9"/>
      <c r="GP205" s="9"/>
      <c r="GQ205" s="9"/>
      <c r="GR205" s="9"/>
      <c r="GS205" s="9"/>
      <c r="GT205" s="9"/>
      <c r="GU205" s="9"/>
      <c r="GV205" s="9"/>
      <c r="GW205" s="9"/>
      <c r="GX205" s="9"/>
      <c r="GY205" s="10"/>
      <c r="GZ205" s="9"/>
      <c r="HA205" s="9"/>
    </row>
    <row r="206" spans="1:209" s="2" customFormat="1" ht="16.7" customHeight="1">
      <c r="A206" s="46" t="s">
        <v>203</v>
      </c>
      <c r="B206" s="35">
        <v>188</v>
      </c>
      <c r="C206" s="35">
        <v>0</v>
      </c>
      <c r="D206" s="4">
        <f t="shared" si="57"/>
        <v>0</v>
      </c>
      <c r="E206" s="11">
        <v>10</v>
      </c>
      <c r="F206" s="5" t="s">
        <v>362</v>
      </c>
      <c r="G206" s="5" t="s">
        <v>362</v>
      </c>
      <c r="H206" s="5" t="s">
        <v>362</v>
      </c>
      <c r="I206" s="5" t="s">
        <v>362</v>
      </c>
      <c r="J206" s="5" t="s">
        <v>362</v>
      </c>
      <c r="K206" s="5" t="s">
        <v>362</v>
      </c>
      <c r="L206" s="5" t="s">
        <v>362</v>
      </c>
      <c r="M206" s="5" t="s">
        <v>362</v>
      </c>
      <c r="N206" s="35">
        <v>505.7</v>
      </c>
      <c r="O206" s="35">
        <v>360.2</v>
      </c>
      <c r="P206" s="4">
        <f t="shared" si="58"/>
        <v>0.71228000790982793</v>
      </c>
      <c r="Q206" s="11">
        <v>20</v>
      </c>
      <c r="R206" s="35">
        <v>244</v>
      </c>
      <c r="S206" s="35">
        <v>255.1</v>
      </c>
      <c r="T206" s="4">
        <f t="shared" si="59"/>
        <v>1.0454918032786884</v>
      </c>
      <c r="U206" s="11">
        <v>15</v>
      </c>
      <c r="V206" s="35">
        <v>0.6</v>
      </c>
      <c r="W206" s="35">
        <v>0.8</v>
      </c>
      <c r="X206" s="4">
        <f t="shared" si="60"/>
        <v>1.2133333333333334</v>
      </c>
      <c r="Y206" s="11">
        <v>35</v>
      </c>
      <c r="Z206" s="35">
        <v>3424</v>
      </c>
      <c r="AA206" s="35">
        <v>3112</v>
      </c>
      <c r="AB206" s="4">
        <f t="shared" si="61"/>
        <v>0.90887850467289721</v>
      </c>
      <c r="AC206" s="11">
        <v>5</v>
      </c>
      <c r="AD206" s="11">
        <v>370</v>
      </c>
      <c r="AE206" s="11">
        <v>347</v>
      </c>
      <c r="AF206" s="4">
        <f t="shared" si="62"/>
        <v>0.93783783783783781</v>
      </c>
      <c r="AG206" s="11">
        <v>20</v>
      </c>
      <c r="AH206" s="5" t="s">
        <v>362</v>
      </c>
      <c r="AI206" s="5" t="s">
        <v>362</v>
      </c>
      <c r="AJ206" s="5" t="s">
        <v>362</v>
      </c>
      <c r="AK206" s="5" t="s">
        <v>362</v>
      </c>
      <c r="AL206" s="5" t="s">
        <v>362</v>
      </c>
      <c r="AM206" s="5" t="s">
        <v>362</v>
      </c>
      <c r="AN206" s="5" t="s">
        <v>362</v>
      </c>
      <c r="AO206" s="5" t="s">
        <v>362</v>
      </c>
      <c r="AP206" s="44">
        <f t="shared" si="71"/>
        <v>0.911388506230141</v>
      </c>
      <c r="AQ206" s="45">
        <v>904</v>
      </c>
      <c r="AR206" s="35">
        <f t="shared" si="63"/>
        <v>246.54545454545456</v>
      </c>
      <c r="AS206" s="35">
        <f t="shared" si="64"/>
        <v>224.7</v>
      </c>
      <c r="AT206" s="35">
        <f t="shared" si="65"/>
        <v>-21.845454545454572</v>
      </c>
      <c r="AU206" s="35">
        <v>67</v>
      </c>
      <c r="AV206" s="35">
        <v>65.3</v>
      </c>
      <c r="AW206" s="35">
        <f t="shared" si="66"/>
        <v>92.4</v>
      </c>
      <c r="AX206" s="35"/>
      <c r="AY206" s="35">
        <f t="shared" si="67"/>
        <v>92.4</v>
      </c>
      <c r="AZ206" s="35">
        <v>0</v>
      </c>
      <c r="BA206" s="35">
        <f t="shared" si="68"/>
        <v>92.4</v>
      </c>
      <c r="BB206" s="35"/>
      <c r="BC206" s="35">
        <f t="shared" si="69"/>
        <v>92.4</v>
      </c>
      <c r="BD206" s="35">
        <v>92.4</v>
      </c>
      <c r="BE206" s="35">
        <f t="shared" si="70"/>
        <v>0</v>
      </c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9"/>
      <c r="BU206" s="9"/>
      <c r="BV206" s="9"/>
      <c r="BW206" s="9"/>
      <c r="BX206" s="9"/>
      <c r="BY206" s="9"/>
      <c r="BZ206" s="9"/>
      <c r="CA206" s="9"/>
      <c r="CB206" s="9"/>
      <c r="CC206" s="9"/>
      <c r="CD206" s="9"/>
      <c r="CE206" s="9"/>
      <c r="CF206" s="9"/>
      <c r="CG206" s="9"/>
      <c r="CH206" s="9"/>
      <c r="CI206" s="9"/>
      <c r="CJ206" s="9"/>
      <c r="CK206" s="9"/>
      <c r="CL206" s="9"/>
      <c r="CM206" s="9"/>
      <c r="CN206" s="9"/>
      <c r="CO206" s="9"/>
      <c r="CP206" s="9"/>
      <c r="CQ206" s="10"/>
      <c r="CR206" s="9"/>
      <c r="CS206" s="9"/>
      <c r="CT206" s="9"/>
      <c r="CU206" s="9"/>
      <c r="CV206" s="9"/>
      <c r="CW206" s="9"/>
      <c r="CX206" s="9"/>
      <c r="CY206" s="9"/>
      <c r="CZ206" s="9"/>
      <c r="DA206" s="9"/>
      <c r="DB206" s="9"/>
      <c r="DC206" s="9"/>
      <c r="DD206" s="9"/>
      <c r="DE206" s="9"/>
      <c r="DF206" s="9"/>
      <c r="DG206" s="9"/>
      <c r="DH206" s="9"/>
      <c r="DI206" s="9"/>
      <c r="DJ206" s="9"/>
      <c r="DK206" s="9"/>
      <c r="DL206" s="9"/>
      <c r="DM206" s="9"/>
      <c r="DN206" s="9"/>
      <c r="DO206" s="9"/>
      <c r="DP206" s="9"/>
      <c r="DQ206" s="9"/>
      <c r="DR206" s="9"/>
      <c r="DS206" s="10"/>
      <c r="DT206" s="9"/>
      <c r="DU206" s="9"/>
      <c r="DV206" s="9"/>
      <c r="DW206" s="9"/>
      <c r="DX206" s="9"/>
      <c r="DY206" s="9"/>
      <c r="DZ206" s="9"/>
      <c r="EA206" s="9"/>
      <c r="EB206" s="9"/>
      <c r="EC206" s="9"/>
      <c r="ED206" s="9"/>
      <c r="EE206" s="9"/>
      <c r="EF206" s="9"/>
      <c r="EG206" s="9"/>
      <c r="EH206" s="9"/>
      <c r="EI206" s="9"/>
      <c r="EJ206" s="9"/>
      <c r="EK206" s="9"/>
      <c r="EL206" s="9"/>
      <c r="EM206" s="9"/>
      <c r="EN206" s="9"/>
      <c r="EO206" s="9"/>
      <c r="EP206" s="9"/>
      <c r="EQ206" s="9"/>
      <c r="ER206" s="9"/>
      <c r="ES206" s="9"/>
      <c r="ET206" s="9"/>
      <c r="EU206" s="10"/>
      <c r="EV206" s="9"/>
      <c r="EW206" s="9"/>
      <c r="EX206" s="9"/>
      <c r="EY206" s="9"/>
      <c r="EZ206" s="9"/>
      <c r="FA206" s="9"/>
      <c r="FB206" s="9"/>
      <c r="FC206" s="9"/>
      <c r="FD206" s="9"/>
      <c r="FE206" s="9"/>
      <c r="FF206" s="9"/>
      <c r="FG206" s="9"/>
      <c r="FH206" s="9"/>
      <c r="FI206" s="9"/>
      <c r="FJ206" s="9"/>
      <c r="FK206" s="9"/>
      <c r="FL206" s="9"/>
      <c r="FM206" s="9"/>
      <c r="FN206" s="9"/>
      <c r="FO206" s="9"/>
      <c r="FP206" s="9"/>
      <c r="FQ206" s="9"/>
      <c r="FR206" s="9"/>
      <c r="FS206" s="9"/>
      <c r="FT206" s="9"/>
      <c r="FU206" s="9"/>
      <c r="FV206" s="9"/>
      <c r="FW206" s="10"/>
      <c r="FX206" s="9"/>
      <c r="FY206" s="9"/>
      <c r="FZ206" s="9"/>
      <c r="GA206" s="9"/>
      <c r="GB206" s="9"/>
      <c r="GC206" s="9"/>
      <c r="GD206" s="9"/>
      <c r="GE206" s="9"/>
      <c r="GF206" s="9"/>
      <c r="GG206" s="9"/>
      <c r="GH206" s="9"/>
      <c r="GI206" s="9"/>
      <c r="GJ206" s="9"/>
      <c r="GK206" s="9"/>
      <c r="GL206" s="9"/>
      <c r="GM206" s="9"/>
      <c r="GN206" s="9"/>
      <c r="GO206" s="9"/>
      <c r="GP206" s="9"/>
      <c r="GQ206" s="9"/>
      <c r="GR206" s="9"/>
      <c r="GS206" s="9"/>
      <c r="GT206" s="9"/>
      <c r="GU206" s="9"/>
      <c r="GV206" s="9"/>
      <c r="GW206" s="9"/>
      <c r="GX206" s="9"/>
      <c r="GY206" s="10"/>
      <c r="GZ206" s="9"/>
      <c r="HA206" s="9"/>
    </row>
    <row r="207" spans="1:209" s="2" customFormat="1" ht="17" customHeight="1">
      <c r="A207" s="46" t="s">
        <v>204</v>
      </c>
      <c r="B207" s="35">
        <v>0</v>
      </c>
      <c r="C207" s="35">
        <v>0</v>
      </c>
      <c r="D207" s="4">
        <f t="shared" si="57"/>
        <v>0</v>
      </c>
      <c r="E207" s="11">
        <v>0</v>
      </c>
      <c r="F207" s="5" t="s">
        <v>362</v>
      </c>
      <c r="G207" s="5" t="s">
        <v>362</v>
      </c>
      <c r="H207" s="5" t="s">
        <v>362</v>
      </c>
      <c r="I207" s="5" t="s">
        <v>362</v>
      </c>
      <c r="J207" s="5" t="s">
        <v>362</v>
      </c>
      <c r="K207" s="5" t="s">
        <v>362</v>
      </c>
      <c r="L207" s="5" t="s">
        <v>362</v>
      </c>
      <c r="M207" s="5" t="s">
        <v>362</v>
      </c>
      <c r="N207" s="35">
        <v>921.5</v>
      </c>
      <c r="O207" s="35">
        <v>297.10000000000002</v>
      </c>
      <c r="P207" s="4">
        <f t="shared" si="58"/>
        <v>0.32240911557243629</v>
      </c>
      <c r="Q207" s="11">
        <v>20</v>
      </c>
      <c r="R207" s="35">
        <v>13</v>
      </c>
      <c r="S207" s="35">
        <v>11.6</v>
      </c>
      <c r="T207" s="4">
        <f t="shared" si="59"/>
        <v>0.89230769230769225</v>
      </c>
      <c r="U207" s="11">
        <v>20</v>
      </c>
      <c r="V207" s="35">
        <v>0.6</v>
      </c>
      <c r="W207" s="35">
        <v>0.6</v>
      </c>
      <c r="X207" s="4">
        <f t="shared" si="60"/>
        <v>1</v>
      </c>
      <c r="Y207" s="11">
        <v>30</v>
      </c>
      <c r="Z207" s="35">
        <v>5521.6</v>
      </c>
      <c r="AA207" s="35">
        <v>4998</v>
      </c>
      <c r="AB207" s="4">
        <f t="shared" si="61"/>
        <v>0.90517241379310343</v>
      </c>
      <c r="AC207" s="11">
        <v>5</v>
      </c>
      <c r="AD207" s="11">
        <v>126</v>
      </c>
      <c r="AE207" s="11">
        <v>141</v>
      </c>
      <c r="AF207" s="4">
        <f t="shared" si="62"/>
        <v>1.1190476190476191</v>
      </c>
      <c r="AG207" s="11">
        <v>20</v>
      </c>
      <c r="AH207" s="5" t="s">
        <v>362</v>
      </c>
      <c r="AI207" s="5" t="s">
        <v>362</v>
      </c>
      <c r="AJ207" s="5" t="s">
        <v>362</v>
      </c>
      <c r="AK207" s="5" t="s">
        <v>362</v>
      </c>
      <c r="AL207" s="5" t="s">
        <v>362</v>
      </c>
      <c r="AM207" s="5" t="s">
        <v>362</v>
      </c>
      <c r="AN207" s="5" t="s">
        <v>362</v>
      </c>
      <c r="AO207" s="5" t="s">
        <v>362</v>
      </c>
      <c r="AP207" s="44">
        <f t="shared" si="71"/>
        <v>0.85474895376337345</v>
      </c>
      <c r="AQ207" s="45">
        <v>1867</v>
      </c>
      <c r="AR207" s="35">
        <f t="shared" si="63"/>
        <v>509.18181818181813</v>
      </c>
      <c r="AS207" s="35">
        <f t="shared" si="64"/>
        <v>435.2</v>
      </c>
      <c r="AT207" s="35">
        <f t="shared" si="65"/>
        <v>-73.981818181818142</v>
      </c>
      <c r="AU207" s="35">
        <v>129.19999999999999</v>
      </c>
      <c r="AV207" s="35">
        <v>131.4</v>
      </c>
      <c r="AW207" s="35">
        <f t="shared" si="66"/>
        <v>174.6</v>
      </c>
      <c r="AX207" s="35"/>
      <c r="AY207" s="35">
        <f t="shared" si="67"/>
        <v>174.6</v>
      </c>
      <c r="AZ207" s="35">
        <v>0</v>
      </c>
      <c r="BA207" s="35">
        <f t="shared" si="68"/>
        <v>174.6</v>
      </c>
      <c r="BB207" s="35"/>
      <c r="BC207" s="35">
        <f t="shared" si="69"/>
        <v>174.6</v>
      </c>
      <c r="BD207" s="35">
        <v>173.2</v>
      </c>
      <c r="BE207" s="35">
        <f t="shared" si="70"/>
        <v>1.4</v>
      </c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9"/>
      <c r="BU207" s="9"/>
      <c r="BV207" s="9"/>
      <c r="BW207" s="9"/>
      <c r="BX207" s="9"/>
      <c r="BY207" s="9"/>
      <c r="BZ207" s="9"/>
      <c r="CA207" s="9"/>
      <c r="CB207" s="9"/>
      <c r="CC207" s="9"/>
      <c r="CD207" s="9"/>
      <c r="CE207" s="9"/>
      <c r="CF207" s="9"/>
      <c r="CG207" s="9"/>
      <c r="CH207" s="9"/>
      <c r="CI207" s="9"/>
      <c r="CJ207" s="9"/>
      <c r="CK207" s="9"/>
      <c r="CL207" s="9"/>
      <c r="CM207" s="9"/>
      <c r="CN207" s="9"/>
      <c r="CO207" s="9"/>
      <c r="CP207" s="9"/>
      <c r="CQ207" s="10"/>
      <c r="CR207" s="9"/>
      <c r="CS207" s="9"/>
      <c r="CT207" s="9"/>
      <c r="CU207" s="9"/>
      <c r="CV207" s="9"/>
      <c r="CW207" s="9"/>
      <c r="CX207" s="9"/>
      <c r="CY207" s="9"/>
      <c r="CZ207" s="9"/>
      <c r="DA207" s="9"/>
      <c r="DB207" s="9"/>
      <c r="DC207" s="9"/>
      <c r="DD207" s="9"/>
      <c r="DE207" s="9"/>
      <c r="DF207" s="9"/>
      <c r="DG207" s="9"/>
      <c r="DH207" s="9"/>
      <c r="DI207" s="9"/>
      <c r="DJ207" s="9"/>
      <c r="DK207" s="9"/>
      <c r="DL207" s="9"/>
      <c r="DM207" s="9"/>
      <c r="DN207" s="9"/>
      <c r="DO207" s="9"/>
      <c r="DP207" s="9"/>
      <c r="DQ207" s="9"/>
      <c r="DR207" s="9"/>
      <c r="DS207" s="10"/>
      <c r="DT207" s="9"/>
      <c r="DU207" s="9"/>
      <c r="DV207" s="9"/>
      <c r="DW207" s="9"/>
      <c r="DX207" s="9"/>
      <c r="DY207" s="9"/>
      <c r="DZ207" s="9"/>
      <c r="EA207" s="9"/>
      <c r="EB207" s="9"/>
      <c r="EC207" s="9"/>
      <c r="ED207" s="9"/>
      <c r="EE207" s="9"/>
      <c r="EF207" s="9"/>
      <c r="EG207" s="9"/>
      <c r="EH207" s="9"/>
      <c r="EI207" s="9"/>
      <c r="EJ207" s="9"/>
      <c r="EK207" s="9"/>
      <c r="EL207" s="9"/>
      <c r="EM207" s="9"/>
      <c r="EN207" s="9"/>
      <c r="EO207" s="9"/>
      <c r="EP207" s="9"/>
      <c r="EQ207" s="9"/>
      <c r="ER207" s="9"/>
      <c r="ES207" s="9"/>
      <c r="ET207" s="9"/>
      <c r="EU207" s="10"/>
      <c r="EV207" s="9"/>
      <c r="EW207" s="9"/>
      <c r="EX207" s="9"/>
      <c r="EY207" s="9"/>
      <c r="EZ207" s="9"/>
      <c r="FA207" s="9"/>
      <c r="FB207" s="9"/>
      <c r="FC207" s="9"/>
      <c r="FD207" s="9"/>
      <c r="FE207" s="9"/>
      <c r="FF207" s="9"/>
      <c r="FG207" s="9"/>
      <c r="FH207" s="9"/>
      <c r="FI207" s="9"/>
      <c r="FJ207" s="9"/>
      <c r="FK207" s="9"/>
      <c r="FL207" s="9"/>
      <c r="FM207" s="9"/>
      <c r="FN207" s="9"/>
      <c r="FO207" s="9"/>
      <c r="FP207" s="9"/>
      <c r="FQ207" s="9"/>
      <c r="FR207" s="9"/>
      <c r="FS207" s="9"/>
      <c r="FT207" s="9"/>
      <c r="FU207" s="9"/>
      <c r="FV207" s="9"/>
      <c r="FW207" s="10"/>
      <c r="FX207" s="9"/>
      <c r="FY207" s="9"/>
      <c r="FZ207" s="9"/>
      <c r="GA207" s="9"/>
      <c r="GB207" s="9"/>
      <c r="GC207" s="9"/>
      <c r="GD207" s="9"/>
      <c r="GE207" s="9"/>
      <c r="GF207" s="9"/>
      <c r="GG207" s="9"/>
      <c r="GH207" s="9"/>
      <c r="GI207" s="9"/>
      <c r="GJ207" s="9"/>
      <c r="GK207" s="9"/>
      <c r="GL207" s="9"/>
      <c r="GM207" s="9"/>
      <c r="GN207" s="9"/>
      <c r="GO207" s="9"/>
      <c r="GP207" s="9"/>
      <c r="GQ207" s="9"/>
      <c r="GR207" s="9"/>
      <c r="GS207" s="9"/>
      <c r="GT207" s="9"/>
      <c r="GU207" s="9"/>
      <c r="GV207" s="9"/>
      <c r="GW207" s="9"/>
      <c r="GX207" s="9"/>
      <c r="GY207" s="10"/>
      <c r="GZ207" s="9"/>
      <c r="HA207" s="9"/>
    </row>
    <row r="208" spans="1:209" s="2" customFormat="1" ht="17" customHeight="1">
      <c r="A208" s="46" t="s">
        <v>205</v>
      </c>
      <c r="B208" s="35">
        <v>98462</v>
      </c>
      <c r="C208" s="35">
        <v>169213.7</v>
      </c>
      <c r="D208" s="4">
        <f t="shared" si="57"/>
        <v>1.2518568584834759</v>
      </c>
      <c r="E208" s="11">
        <v>10</v>
      </c>
      <c r="F208" s="5" t="s">
        <v>362</v>
      </c>
      <c r="G208" s="5" t="s">
        <v>362</v>
      </c>
      <c r="H208" s="5" t="s">
        <v>362</v>
      </c>
      <c r="I208" s="5" t="s">
        <v>362</v>
      </c>
      <c r="J208" s="5" t="s">
        <v>362</v>
      </c>
      <c r="K208" s="5" t="s">
        <v>362</v>
      </c>
      <c r="L208" s="5" t="s">
        <v>362</v>
      </c>
      <c r="M208" s="5" t="s">
        <v>362</v>
      </c>
      <c r="N208" s="35">
        <v>4517.6000000000004</v>
      </c>
      <c r="O208" s="35">
        <v>3644.4</v>
      </c>
      <c r="P208" s="4">
        <f t="shared" si="58"/>
        <v>0.80671152824508585</v>
      </c>
      <c r="Q208" s="11">
        <v>20</v>
      </c>
      <c r="R208" s="35">
        <v>0.2</v>
      </c>
      <c r="S208" s="35">
        <v>0.2</v>
      </c>
      <c r="T208" s="4">
        <f t="shared" si="59"/>
        <v>1</v>
      </c>
      <c r="U208" s="11">
        <v>5</v>
      </c>
      <c r="V208" s="35">
        <v>1.5</v>
      </c>
      <c r="W208" s="35">
        <v>1.7</v>
      </c>
      <c r="X208" s="4">
        <f t="shared" si="60"/>
        <v>1.1333333333333333</v>
      </c>
      <c r="Y208" s="11">
        <v>45</v>
      </c>
      <c r="Z208" s="35">
        <v>42903.3</v>
      </c>
      <c r="AA208" s="35">
        <v>59975</v>
      </c>
      <c r="AB208" s="4">
        <f t="shared" si="61"/>
        <v>1.2197911116394309</v>
      </c>
      <c r="AC208" s="11">
        <v>5</v>
      </c>
      <c r="AD208" s="11">
        <v>5</v>
      </c>
      <c r="AE208" s="11">
        <v>11</v>
      </c>
      <c r="AF208" s="4">
        <f t="shared" si="62"/>
        <v>1.3</v>
      </c>
      <c r="AG208" s="11">
        <v>20</v>
      </c>
      <c r="AH208" s="5" t="s">
        <v>362</v>
      </c>
      <c r="AI208" s="5" t="s">
        <v>362</v>
      </c>
      <c r="AJ208" s="5" t="s">
        <v>362</v>
      </c>
      <c r="AK208" s="5" t="s">
        <v>362</v>
      </c>
      <c r="AL208" s="5" t="s">
        <v>362</v>
      </c>
      <c r="AM208" s="5" t="s">
        <v>362</v>
      </c>
      <c r="AN208" s="5" t="s">
        <v>362</v>
      </c>
      <c r="AO208" s="5" t="s">
        <v>362</v>
      </c>
      <c r="AP208" s="44">
        <f t="shared" si="71"/>
        <v>1.1119214734088918</v>
      </c>
      <c r="AQ208" s="45">
        <v>12</v>
      </c>
      <c r="AR208" s="35">
        <f t="shared" si="63"/>
        <v>3.2727272727272725</v>
      </c>
      <c r="AS208" s="35">
        <f t="shared" si="64"/>
        <v>3.6</v>
      </c>
      <c r="AT208" s="35">
        <f t="shared" si="65"/>
        <v>0.3272727272727276</v>
      </c>
      <c r="AU208" s="35">
        <v>1.2</v>
      </c>
      <c r="AV208" s="35">
        <v>1.1000000000000001</v>
      </c>
      <c r="AW208" s="35">
        <f t="shared" si="66"/>
        <v>1.3</v>
      </c>
      <c r="AX208" s="35"/>
      <c r="AY208" s="35">
        <f t="shared" si="67"/>
        <v>1.3</v>
      </c>
      <c r="AZ208" s="35">
        <v>0</v>
      </c>
      <c r="BA208" s="35">
        <f t="shared" si="68"/>
        <v>1.3</v>
      </c>
      <c r="BB208" s="35"/>
      <c r="BC208" s="35">
        <f t="shared" si="69"/>
        <v>1.3</v>
      </c>
      <c r="BD208" s="35">
        <v>1.3</v>
      </c>
      <c r="BE208" s="35">
        <f t="shared" si="70"/>
        <v>0</v>
      </c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9"/>
      <c r="BU208" s="9"/>
      <c r="BV208" s="9"/>
      <c r="BW208" s="9"/>
      <c r="BX208" s="9"/>
      <c r="BY208" s="9"/>
      <c r="BZ208" s="9"/>
      <c r="CA208" s="9"/>
      <c r="CB208" s="9"/>
      <c r="CC208" s="9"/>
      <c r="CD208" s="9"/>
      <c r="CE208" s="9"/>
      <c r="CF208" s="9"/>
      <c r="CG208" s="9"/>
      <c r="CH208" s="9"/>
      <c r="CI208" s="9"/>
      <c r="CJ208" s="9"/>
      <c r="CK208" s="9"/>
      <c r="CL208" s="9"/>
      <c r="CM208" s="9"/>
      <c r="CN208" s="9"/>
      <c r="CO208" s="9"/>
      <c r="CP208" s="9"/>
      <c r="CQ208" s="10"/>
      <c r="CR208" s="9"/>
      <c r="CS208" s="9"/>
      <c r="CT208" s="9"/>
      <c r="CU208" s="9"/>
      <c r="CV208" s="9"/>
      <c r="CW208" s="9"/>
      <c r="CX208" s="9"/>
      <c r="CY208" s="9"/>
      <c r="CZ208" s="9"/>
      <c r="DA208" s="9"/>
      <c r="DB208" s="9"/>
      <c r="DC208" s="9"/>
      <c r="DD208" s="9"/>
      <c r="DE208" s="9"/>
      <c r="DF208" s="9"/>
      <c r="DG208" s="9"/>
      <c r="DH208" s="9"/>
      <c r="DI208" s="9"/>
      <c r="DJ208" s="9"/>
      <c r="DK208" s="9"/>
      <c r="DL208" s="9"/>
      <c r="DM208" s="9"/>
      <c r="DN208" s="9"/>
      <c r="DO208" s="9"/>
      <c r="DP208" s="9"/>
      <c r="DQ208" s="9"/>
      <c r="DR208" s="9"/>
      <c r="DS208" s="10"/>
      <c r="DT208" s="9"/>
      <c r="DU208" s="9"/>
      <c r="DV208" s="9"/>
      <c r="DW208" s="9"/>
      <c r="DX208" s="9"/>
      <c r="DY208" s="9"/>
      <c r="DZ208" s="9"/>
      <c r="EA208" s="9"/>
      <c r="EB208" s="9"/>
      <c r="EC208" s="9"/>
      <c r="ED208" s="9"/>
      <c r="EE208" s="9"/>
      <c r="EF208" s="9"/>
      <c r="EG208" s="9"/>
      <c r="EH208" s="9"/>
      <c r="EI208" s="9"/>
      <c r="EJ208" s="9"/>
      <c r="EK208" s="9"/>
      <c r="EL208" s="9"/>
      <c r="EM208" s="9"/>
      <c r="EN208" s="9"/>
      <c r="EO208" s="9"/>
      <c r="EP208" s="9"/>
      <c r="EQ208" s="9"/>
      <c r="ER208" s="9"/>
      <c r="ES208" s="9"/>
      <c r="ET208" s="9"/>
      <c r="EU208" s="10"/>
      <c r="EV208" s="9"/>
      <c r="EW208" s="9"/>
      <c r="EX208" s="9"/>
      <c r="EY208" s="9"/>
      <c r="EZ208" s="9"/>
      <c r="FA208" s="9"/>
      <c r="FB208" s="9"/>
      <c r="FC208" s="9"/>
      <c r="FD208" s="9"/>
      <c r="FE208" s="9"/>
      <c r="FF208" s="9"/>
      <c r="FG208" s="9"/>
      <c r="FH208" s="9"/>
      <c r="FI208" s="9"/>
      <c r="FJ208" s="9"/>
      <c r="FK208" s="9"/>
      <c r="FL208" s="9"/>
      <c r="FM208" s="9"/>
      <c r="FN208" s="9"/>
      <c r="FO208" s="9"/>
      <c r="FP208" s="9"/>
      <c r="FQ208" s="9"/>
      <c r="FR208" s="9"/>
      <c r="FS208" s="9"/>
      <c r="FT208" s="9"/>
      <c r="FU208" s="9"/>
      <c r="FV208" s="9"/>
      <c r="FW208" s="10"/>
      <c r="FX208" s="9"/>
      <c r="FY208" s="9"/>
      <c r="FZ208" s="9"/>
      <c r="GA208" s="9"/>
      <c r="GB208" s="9"/>
      <c r="GC208" s="9"/>
      <c r="GD208" s="9"/>
      <c r="GE208" s="9"/>
      <c r="GF208" s="9"/>
      <c r="GG208" s="9"/>
      <c r="GH208" s="9"/>
      <c r="GI208" s="9"/>
      <c r="GJ208" s="9"/>
      <c r="GK208" s="9"/>
      <c r="GL208" s="9"/>
      <c r="GM208" s="9"/>
      <c r="GN208" s="9"/>
      <c r="GO208" s="9"/>
      <c r="GP208" s="9"/>
      <c r="GQ208" s="9"/>
      <c r="GR208" s="9"/>
      <c r="GS208" s="9"/>
      <c r="GT208" s="9"/>
      <c r="GU208" s="9"/>
      <c r="GV208" s="9"/>
      <c r="GW208" s="9"/>
      <c r="GX208" s="9"/>
      <c r="GY208" s="10"/>
      <c r="GZ208" s="9"/>
      <c r="HA208" s="9"/>
    </row>
    <row r="209" spans="1:209" s="2" customFormat="1" ht="17" customHeight="1">
      <c r="A209" s="46" t="s">
        <v>206</v>
      </c>
      <c r="B209" s="35">
        <v>5014</v>
      </c>
      <c r="C209" s="35">
        <v>5604</v>
      </c>
      <c r="D209" s="4">
        <f t="shared" si="57"/>
        <v>1.1176705225368966</v>
      </c>
      <c r="E209" s="11">
        <v>10</v>
      </c>
      <c r="F209" s="5" t="s">
        <v>362</v>
      </c>
      <c r="G209" s="5" t="s">
        <v>362</v>
      </c>
      <c r="H209" s="5" t="s">
        <v>362</v>
      </c>
      <c r="I209" s="5" t="s">
        <v>362</v>
      </c>
      <c r="J209" s="5" t="s">
        <v>362</v>
      </c>
      <c r="K209" s="5" t="s">
        <v>362</v>
      </c>
      <c r="L209" s="5" t="s">
        <v>362</v>
      </c>
      <c r="M209" s="5" t="s">
        <v>362</v>
      </c>
      <c r="N209" s="35">
        <v>591.9</v>
      </c>
      <c r="O209" s="35">
        <v>392.9</v>
      </c>
      <c r="P209" s="4">
        <f t="shared" si="58"/>
        <v>0.66379455989187364</v>
      </c>
      <c r="Q209" s="11">
        <v>20</v>
      </c>
      <c r="R209" s="35">
        <v>20</v>
      </c>
      <c r="S209" s="35">
        <v>23.7</v>
      </c>
      <c r="T209" s="4">
        <f t="shared" si="59"/>
        <v>1.1850000000000001</v>
      </c>
      <c r="U209" s="11">
        <v>30</v>
      </c>
      <c r="V209" s="35">
        <v>1.5</v>
      </c>
      <c r="W209" s="35">
        <v>1.6</v>
      </c>
      <c r="X209" s="4">
        <f t="shared" si="60"/>
        <v>1.0666666666666667</v>
      </c>
      <c r="Y209" s="11">
        <v>20</v>
      </c>
      <c r="Z209" s="35">
        <v>16107.6</v>
      </c>
      <c r="AA209" s="35">
        <v>3395</v>
      </c>
      <c r="AB209" s="4">
        <f t="shared" si="61"/>
        <v>0.21077007127070452</v>
      </c>
      <c r="AC209" s="11">
        <v>5</v>
      </c>
      <c r="AD209" s="11">
        <v>140</v>
      </c>
      <c r="AE209" s="11">
        <v>141</v>
      </c>
      <c r="AF209" s="4">
        <f t="shared" si="62"/>
        <v>1.0071428571428571</v>
      </c>
      <c r="AG209" s="11">
        <v>20</v>
      </c>
      <c r="AH209" s="5" t="s">
        <v>362</v>
      </c>
      <c r="AI209" s="5" t="s">
        <v>362</v>
      </c>
      <c r="AJ209" s="5" t="s">
        <v>362</v>
      </c>
      <c r="AK209" s="5" t="s">
        <v>362</v>
      </c>
      <c r="AL209" s="5" t="s">
        <v>362</v>
      </c>
      <c r="AM209" s="5" t="s">
        <v>362</v>
      </c>
      <c r="AN209" s="5" t="s">
        <v>362</v>
      </c>
      <c r="AO209" s="5" t="s">
        <v>362</v>
      </c>
      <c r="AP209" s="44">
        <f t="shared" si="71"/>
        <v>0.97650130719762318</v>
      </c>
      <c r="AQ209" s="45">
        <v>1220</v>
      </c>
      <c r="AR209" s="35">
        <f t="shared" si="63"/>
        <v>332.72727272727275</v>
      </c>
      <c r="AS209" s="35">
        <f t="shared" si="64"/>
        <v>324.89999999999998</v>
      </c>
      <c r="AT209" s="35">
        <f t="shared" si="65"/>
        <v>-7.8272727272727707</v>
      </c>
      <c r="AU209" s="35">
        <v>108.7</v>
      </c>
      <c r="AV209" s="35">
        <v>95.7</v>
      </c>
      <c r="AW209" s="35">
        <f t="shared" si="66"/>
        <v>120.5</v>
      </c>
      <c r="AX209" s="35"/>
      <c r="AY209" s="35">
        <f t="shared" si="67"/>
        <v>120.5</v>
      </c>
      <c r="AZ209" s="35">
        <v>0</v>
      </c>
      <c r="BA209" s="35">
        <f t="shared" si="68"/>
        <v>120.5</v>
      </c>
      <c r="BB209" s="35">
        <f>MIN(BA209,55.5)</f>
        <v>55.5</v>
      </c>
      <c r="BC209" s="35">
        <f t="shared" si="69"/>
        <v>65</v>
      </c>
      <c r="BD209" s="35">
        <v>77.7</v>
      </c>
      <c r="BE209" s="35">
        <f t="shared" si="70"/>
        <v>-12.7</v>
      </c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9"/>
      <c r="BU209" s="9"/>
      <c r="BV209" s="9"/>
      <c r="BW209" s="9"/>
      <c r="BX209" s="9"/>
      <c r="BY209" s="9"/>
      <c r="BZ209" s="9"/>
      <c r="CA209" s="9"/>
      <c r="CB209" s="9"/>
      <c r="CC209" s="9"/>
      <c r="CD209" s="9"/>
      <c r="CE209" s="9"/>
      <c r="CF209" s="9"/>
      <c r="CG209" s="9"/>
      <c r="CH209" s="9"/>
      <c r="CI209" s="9"/>
      <c r="CJ209" s="9"/>
      <c r="CK209" s="9"/>
      <c r="CL209" s="9"/>
      <c r="CM209" s="9"/>
      <c r="CN209" s="9"/>
      <c r="CO209" s="9"/>
      <c r="CP209" s="9"/>
      <c r="CQ209" s="10"/>
      <c r="CR209" s="9"/>
      <c r="CS209" s="9"/>
      <c r="CT209" s="9"/>
      <c r="CU209" s="9"/>
      <c r="CV209" s="9"/>
      <c r="CW209" s="9"/>
      <c r="CX209" s="9"/>
      <c r="CY209" s="9"/>
      <c r="CZ209" s="9"/>
      <c r="DA209" s="9"/>
      <c r="DB209" s="9"/>
      <c r="DC209" s="9"/>
      <c r="DD209" s="9"/>
      <c r="DE209" s="9"/>
      <c r="DF209" s="9"/>
      <c r="DG209" s="9"/>
      <c r="DH209" s="9"/>
      <c r="DI209" s="9"/>
      <c r="DJ209" s="9"/>
      <c r="DK209" s="9"/>
      <c r="DL209" s="9"/>
      <c r="DM209" s="9"/>
      <c r="DN209" s="9"/>
      <c r="DO209" s="9"/>
      <c r="DP209" s="9"/>
      <c r="DQ209" s="9"/>
      <c r="DR209" s="9"/>
      <c r="DS209" s="10"/>
      <c r="DT209" s="9"/>
      <c r="DU209" s="9"/>
      <c r="DV209" s="9"/>
      <c r="DW209" s="9"/>
      <c r="DX209" s="9"/>
      <c r="DY209" s="9"/>
      <c r="DZ209" s="9"/>
      <c r="EA209" s="9"/>
      <c r="EB209" s="9"/>
      <c r="EC209" s="9"/>
      <c r="ED209" s="9"/>
      <c r="EE209" s="9"/>
      <c r="EF209" s="9"/>
      <c r="EG209" s="9"/>
      <c r="EH209" s="9"/>
      <c r="EI209" s="9"/>
      <c r="EJ209" s="9"/>
      <c r="EK209" s="9"/>
      <c r="EL209" s="9"/>
      <c r="EM209" s="9"/>
      <c r="EN209" s="9"/>
      <c r="EO209" s="9"/>
      <c r="EP209" s="9"/>
      <c r="EQ209" s="9"/>
      <c r="ER209" s="9"/>
      <c r="ES209" s="9"/>
      <c r="ET209" s="9"/>
      <c r="EU209" s="10"/>
      <c r="EV209" s="9"/>
      <c r="EW209" s="9"/>
      <c r="EX209" s="9"/>
      <c r="EY209" s="9"/>
      <c r="EZ209" s="9"/>
      <c r="FA209" s="9"/>
      <c r="FB209" s="9"/>
      <c r="FC209" s="9"/>
      <c r="FD209" s="9"/>
      <c r="FE209" s="9"/>
      <c r="FF209" s="9"/>
      <c r="FG209" s="9"/>
      <c r="FH209" s="9"/>
      <c r="FI209" s="9"/>
      <c r="FJ209" s="9"/>
      <c r="FK209" s="9"/>
      <c r="FL209" s="9"/>
      <c r="FM209" s="9"/>
      <c r="FN209" s="9"/>
      <c r="FO209" s="9"/>
      <c r="FP209" s="9"/>
      <c r="FQ209" s="9"/>
      <c r="FR209" s="9"/>
      <c r="FS209" s="9"/>
      <c r="FT209" s="9"/>
      <c r="FU209" s="9"/>
      <c r="FV209" s="9"/>
      <c r="FW209" s="10"/>
      <c r="FX209" s="9"/>
      <c r="FY209" s="9"/>
      <c r="FZ209" s="9"/>
      <c r="GA209" s="9"/>
      <c r="GB209" s="9"/>
      <c r="GC209" s="9"/>
      <c r="GD209" s="9"/>
      <c r="GE209" s="9"/>
      <c r="GF209" s="9"/>
      <c r="GG209" s="9"/>
      <c r="GH209" s="9"/>
      <c r="GI209" s="9"/>
      <c r="GJ209" s="9"/>
      <c r="GK209" s="9"/>
      <c r="GL209" s="9"/>
      <c r="GM209" s="9"/>
      <c r="GN209" s="9"/>
      <c r="GO209" s="9"/>
      <c r="GP209" s="9"/>
      <c r="GQ209" s="9"/>
      <c r="GR209" s="9"/>
      <c r="GS209" s="9"/>
      <c r="GT209" s="9"/>
      <c r="GU209" s="9"/>
      <c r="GV209" s="9"/>
      <c r="GW209" s="9"/>
      <c r="GX209" s="9"/>
      <c r="GY209" s="10"/>
      <c r="GZ209" s="9"/>
      <c r="HA209" s="9"/>
    </row>
    <row r="210" spans="1:209" s="2" customFormat="1" ht="17" customHeight="1">
      <c r="A210" s="46" t="s">
        <v>207</v>
      </c>
      <c r="B210" s="35">
        <v>134430</v>
      </c>
      <c r="C210" s="35">
        <v>140074.4</v>
      </c>
      <c r="D210" s="4">
        <f t="shared" si="57"/>
        <v>1.0419876515658706</v>
      </c>
      <c r="E210" s="11">
        <v>10</v>
      </c>
      <c r="F210" s="5" t="s">
        <v>362</v>
      </c>
      <c r="G210" s="5" t="s">
        <v>362</v>
      </c>
      <c r="H210" s="5" t="s">
        <v>362</v>
      </c>
      <c r="I210" s="5" t="s">
        <v>362</v>
      </c>
      <c r="J210" s="5" t="s">
        <v>362</v>
      </c>
      <c r="K210" s="5" t="s">
        <v>362</v>
      </c>
      <c r="L210" s="5" t="s">
        <v>362</v>
      </c>
      <c r="M210" s="5" t="s">
        <v>362</v>
      </c>
      <c r="N210" s="35">
        <v>11310.3</v>
      </c>
      <c r="O210" s="35">
        <v>11238.5</v>
      </c>
      <c r="P210" s="4">
        <f t="shared" si="58"/>
        <v>0.99365180410776022</v>
      </c>
      <c r="Q210" s="11">
        <v>20</v>
      </c>
      <c r="R210" s="35">
        <v>434</v>
      </c>
      <c r="S210" s="35">
        <v>418.8</v>
      </c>
      <c r="T210" s="4">
        <f t="shared" si="59"/>
        <v>0.9649769585253456</v>
      </c>
      <c r="U210" s="11">
        <v>40</v>
      </c>
      <c r="V210" s="35">
        <v>32</v>
      </c>
      <c r="W210" s="35">
        <v>34.799999999999997</v>
      </c>
      <c r="X210" s="4">
        <f t="shared" si="60"/>
        <v>1.0874999999999999</v>
      </c>
      <c r="Y210" s="11">
        <v>10</v>
      </c>
      <c r="Z210" s="35">
        <v>586738.5</v>
      </c>
      <c r="AA210" s="35">
        <v>514696</v>
      </c>
      <c r="AB210" s="4">
        <f t="shared" si="61"/>
        <v>0.87721531823802257</v>
      </c>
      <c r="AC210" s="11">
        <v>5</v>
      </c>
      <c r="AD210" s="11">
        <v>630</v>
      </c>
      <c r="AE210" s="11">
        <v>429</v>
      </c>
      <c r="AF210" s="4">
        <f t="shared" si="62"/>
        <v>0.68095238095238098</v>
      </c>
      <c r="AG210" s="11">
        <v>20</v>
      </c>
      <c r="AH210" s="5" t="s">
        <v>362</v>
      </c>
      <c r="AI210" s="5" t="s">
        <v>362</v>
      </c>
      <c r="AJ210" s="5" t="s">
        <v>362</v>
      </c>
      <c r="AK210" s="5" t="s">
        <v>362</v>
      </c>
      <c r="AL210" s="5" t="s">
        <v>362</v>
      </c>
      <c r="AM210" s="5" t="s">
        <v>362</v>
      </c>
      <c r="AN210" s="5" t="s">
        <v>362</v>
      </c>
      <c r="AO210" s="5" t="s">
        <v>362</v>
      </c>
      <c r="AP210" s="44">
        <f t="shared" si="71"/>
        <v>0.93116300141967112</v>
      </c>
      <c r="AQ210" s="45">
        <v>2132</v>
      </c>
      <c r="AR210" s="35">
        <f t="shared" si="63"/>
        <v>581.4545454545455</v>
      </c>
      <c r="AS210" s="35">
        <f t="shared" si="64"/>
        <v>541.4</v>
      </c>
      <c r="AT210" s="35">
        <f t="shared" si="65"/>
        <v>-40.054545454545519</v>
      </c>
      <c r="AU210" s="35">
        <v>165.2</v>
      </c>
      <c r="AV210" s="35">
        <v>203.6</v>
      </c>
      <c r="AW210" s="35">
        <f t="shared" si="66"/>
        <v>172.6</v>
      </c>
      <c r="AX210" s="35"/>
      <c r="AY210" s="35">
        <f t="shared" si="67"/>
        <v>172.6</v>
      </c>
      <c r="AZ210" s="35">
        <v>0</v>
      </c>
      <c r="BA210" s="35">
        <f t="shared" si="68"/>
        <v>172.6</v>
      </c>
      <c r="BB210" s="35"/>
      <c r="BC210" s="35">
        <f t="shared" si="69"/>
        <v>172.6</v>
      </c>
      <c r="BD210" s="35">
        <v>174.2</v>
      </c>
      <c r="BE210" s="35">
        <f t="shared" si="70"/>
        <v>-1.6</v>
      </c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9"/>
      <c r="BU210" s="9"/>
      <c r="BV210" s="9"/>
      <c r="BW210" s="9"/>
      <c r="BX210" s="9"/>
      <c r="BY210" s="9"/>
      <c r="BZ210" s="9"/>
      <c r="CA210" s="9"/>
      <c r="CB210" s="9"/>
      <c r="CC210" s="9"/>
      <c r="CD210" s="9"/>
      <c r="CE210" s="9"/>
      <c r="CF210" s="9"/>
      <c r="CG210" s="9"/>
      <c r="CH210" s="9"/>
      <c r="CI210" s="9"/>
      <c r="CJ210" s="9"/>
      <c r="CK210" s="9"/>
      <c r="CL210" s="9"/>
      <c r="CM210" s="9"/>
      <c r="CN210" s="9"/>
      <c r="CO210" s="9"/>
      <c r="CP210" s="9"/>
      <c r="CQ210" s="10"/>
      <c r="CR210" s="9"/>
      <c r="CS210" s="9"/>
      <c r="CT210" s="9"/>
      <c r="CU210" s="9"/>
      <c r="CV210" s="9"/>
      <c r="CW210" s="9"/>
      <c r="CX210" s="9"/>
      <c r="CY210" s="9"/>
      <c r="CZ210" s="9"/>
      <c r="DA210" s="9"/>
      <c r="DB210" s="9"/>
      <c r="DC210" s="9"/>
      <c r="DD210" s="9"/>
      <c r="DE210" s="9"/>
      <c r="DF210" s="9"/>
      <c r="DG210" s="9"/>
      <c r="DH210" s="9"/>
      <c r="DI210" s="9"/>
      <c r="DJ210" s="9"/>
      <c r="DK210" s="9"/>
      <c r="DL210" s="9"/>
      <c r="DM210" s="9"/>
      <c r="DN210" s="9"/>
      <c r="DO210" s="9"/>
      <c r="DP210" s="9"/>
      <c r="DQ210" s="9"/>
      <c r="DR210" s="9"/>
      <c r="DS210" s="10"/>
      <c r="DT210" s="9"/>
      <c r="DU210" s="9"/>
      <c r="DV210" s="9"/>
      <c r="DW210" s="9"/>
      <c r="DX210" s="9"/>
      <c r="DY210" s="9"/>
      <c r="DZ210" s="9"/>
      <c r="EA210" s="9"/>
      <c r="EB210" s="9"/>
      <c r="EC210" s="9"/>
      <c r="ED210" s="9"/>
      <c r="EE210" s="9"/>
      <c r="EF210" s="9"/>
      <c r="EG210" s="9"/>
      <c r="EH210" s="9"/>
      <c r="EI210" s="9"/>
      <c r="EJ210" s="9"/>
      <c r="EK210" s="9"/>
      <c r="EL210" s="9"/>
      <c r="EM210" s="9"/>
      <c r="EN210" s="9"/>
      <c r="EO210" s="9"/>
      <c r="EP210" s="9"/>
      <c r="EQ210" s="9"/>
      <c r="ER210" s="9"/>
      <c r="ES210" s="9"/>
      <c r="ET210" s="9"/>
      <c r="EU210" s="10"/>
      <c r="EV210" s="9"/>
      <c r="EW210" s="9"/>
      <c r="EX210" s="9"/>
      <c r="EY210" s="9"/>
      <c r="EZ210" s="9"/>
      <c r="FA210" s="9"/>
      <c r="FB210" s="9"/>
      <c r="FC210" s="9"/>
      <c r="FD210" s="9"/>
      <c r="FE210" s="9"/>
      <c r="FF210" s="9"/>
      <c r="FG210" s="9"/>
      <c r="FH210" s="9"/>
      <c r="FI210" s="9"/>
      <c r="FJ210" s="9"/>
      <c r="FK210" s="9"/>
      <c r="FL210" s="9"/>
      <c r="FM210" s="9"/>
      <c r="FN210" s="9"/>
      <c r="FO210" s="9"/>
      <c r="FP210" s="9"/>
      <c r="FQ210" s="9"/>
      <c r="FR210" s="9"/>
      <c r="FS210" s="9"/>
      <c r="FT210" s="9"/>
      <c r="FU210" s="9"/>
      <c r="FV210" s="9"/>
      <c r="FW210" s="10"/>
      <c r="FX210" s="9"/>
      <c r="FY210" s="9"/>
      <c r="FZ210" s="9"/>
      <c r="GA210" s="9"/>
      <c r="GB210" s="9"/>
      <c r="GC210" s="9"/>
      <c r="GD210" s="9"/>
      <c r="GE210" s="9"/>
      <c r="GF210" s="9"/>
      <c r="GG210" s="9"/>
      <c r="GH210" s="9"/>
      <c r="GI210" s="9"/>
      <c r="GJ210" s="9"/>
      <c r="GK210" s="9"/>
      <c r="GL210" s="9"/>
      <c r="GM210" s="9"/>
      <c r="GN210" s="9"/>
      <c r="GO210" s="9"/>
      <c r="GP210" s="9"/>
      <c r="GQ210" s="9"/>
      <c r="GR210" s="9"/>
      <c r="GS210" s="9"/>
      <c r="GT210" s="9"/>
      <c r="GU210" s="9"/>
      <c r="GV210" s="9"/>
      <c r="GW210" s="9"/>
      <c r="GX210" s="9"/>
      <c r="GY210" s="10"/>
      <c r="GZ210" s="9"/>
      <c r="HA210" s="9"/>
    </row>
    <row r="211" spans="1:209" s="2" customFormat="1" ht="17" customHeight="1">
      <c r="A211" s="46" t="s">
        <v>208</v>
      </c>
      <c r="B211" s="35">
        <v>40276</v>
      </c>
      <c r="C211" s="35">
        <v>38057</v>
      </c>
      <c r="D211" s="4">
        <f t="shared" si="57"/>
        <v>0.94490515443440259</v>
      </c>
      <c r="E211" s="11">
        <v>10</v>
      </c>
      <c r="F211" s="5" t="s">
        <v>362</v>
      </c>
      <c r="G211" s="5" t="s">
        <v>362</v>
      </c>
      <c r="H211" s="5" t="s">
        <v>362</v>
      </c>
      <c r="I211" s="5" t="s">
        <v>362</v>
      </c>
      <c r="J211" s="5" t="s">
        <v>362</v>
      </c>
      <c r="K211" s="5" t="s">
        <v>362</v>
      </c>
      <c r="L211" s="5" t="s">
        <v>362</v>
      </c>
      <c r="M211" s="5" t="s">
        <v>362</v>
      </c>
      <c r="N211" s="35">
        <v>2559.9</v>
      </c>
      <c r="O211" s="35">
        <v>1996.8</v>
      </c>
      <c r="P211" s="4">
        <f t="shared" si="58"/>
        <v>0.78003046994023195</v>
      </c>
      <c r="Q211" s="11">
        <v>20</v>
      </c>
      <c r="R211" s="35">
        <v>0.2</v>
      </c>
      <c r="S211" s="35">
        <v>0.2</v>
      </c>
      <c r="T211" s="4">
        <f t="shared" si="59"/>
        <v>1</v>
      </c>
      <c r="U211" s="11">
        <v>15</v>
      </c>
      <c r="V211" s="35">
        <v>0.6</v>
      </c>
      <c r="W211" s="35">
        <v>0.7</v>
      </c>
      <c r="X211" s="4">
        <f t="shared" si="60"/>
        <v>1.1666666666666667</v>
      </c>
      <c r="Y211" s="11">
        <v>35</v>
      </c>
      <c r="Z211" s="35">
        <v>155102.39999999999</v>
      </c>
      <c r="AA211" s="35">
        <v>150788</v>
      </c>
      <c r="AB211" s="4">
        <f t="shared" si="61"/>
        <v>0.97218353810128022</v>
      </c>
      <c r="AC211" s="11">
        <v>5</v>
      </c>
      <c r="AD211" s="11">
        <v>10</v>
      </c>
      <c r="AE211" s="11">
        <v>9</v>
      </c>
      <c r="AF211" s="4">
        <f t="shared" si="62"/>
        <v>0.9</v>
      </c>
      <c r="AG211" s="11">
        <v>20</v>
      </c>
      <c r="AH211" s="5" t="s">
        <v>362</v>
      </c>
      <c r="AI211" s="5" t="s">
        <v>362</v>
      </c>
      <c r="AJ211" s="5" t="s">
        <v>362</v>
      </c>
      <c r="AK211" s="5" t="s">
        <v>362</v>
      </c>
      <c r="AL211" s="5" t="s">
        <v>362</v>
      </c>
      <c r="AM211" s="5" t="s">
        <v>362</v>
      </c>
      <c r="AN211" s="5" t="s">
        <v>362</v>
      </c>
      <c r="AO211" s="5" t="s">
        <v>362</v>
      </c>
      <c r="AP211" s="44">
        <f t="shared" si="71"/>
        <v>0.988037256828461</v>
      </c>
      <c r="AQ211" s="45">
        <v>532</v>
      </c>
      <c r="AR211" s="35">
        <f t="shared" si="63"/>
        <v>145.09090909090909</v>
      </c>
      <c r="AS211" s="35">
        <f t="shared" si="64"/>
        <v>143.4</v>
      </c>
      <c r="AT211" s="35">
        <f t="shared" si="65"/>
        <v>-1.6909090909090878</v>
      </c>
      <c r="AU211" s="35">
        <v>50.1</v>
      </c>
      <c r="AV211" s="35">
        <v>43.8</v>
      </c>
      <c r="AW211" s="35">
        <f t="shared" si="66"/>
        <v>49.5</v>
      </c>
      <c r="AX211" s="35"/>
      <c r="AY211" s="35">
        <f t="shared" si="67"/>
        <v>49.5</v>
      </c>
      <c r="AZ211" s="35">
        <v>0</v>
      </c>
      <c r="BA211" s="35">
        <f t="shared" si="68"/>
        <v>49.5</v>
      </c>
      <c r="BB211" s="35">
        <f>MIN(BA211,1)</f>
        <v>1</v>
      </c>
      <c r="BC211" s="35">
        <f t="shared" si="69"/>
        <v>48.5</v>
      </c>
      <c r="BD211" s="35">
        <v>48.6</v>
      </c>
      <c r="BE211" s="35">
        <f t="shared" si="70"/>
        <v>-0.1</v>
      </c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9"/>
      <c r="BU211" s="9"/>
      <c r="BV211" s="9"/>
      <c r="BW211" s="9"/>
      <c r="BX211" s="9"/>
      <c r="BY211" s="9"/>
      <c r="BZ211" s="9"/>
      <c r="CA211" s="9"/>
      <c r="CB211" s="9"/>
      <c r="CC211" s="9"/>
      <c r="CD211" s="9"/>
      <c r="CE211" s="9"/>
      <c r="CF211" s="9"/>
      <c r="CG211" s="9"/>
      <c r="CH211" s="9"/>
      <c r="CI211" s="9"/>
      <c r="CJ211" s="9"/>
      <c r="CK211" s="9"/>
      <c r="CL211" s="9"/>
      <c r="CM211" s="9"/>
      <c r="CN211" s="9"/>
      <c r="CO211" s="9"/>
      <c r="CP211" s="9"/>
      <c r="CQ211" s="10"/>
      <c r="CR211" s="9"/>
      <c r="CS211" s="9"/>
      <c r="CT211" s="9"/>
      <c r="CU211" s="9"/>
      <c r="CV211" s="9"/>
      <c r="CW211" s="9"/>
      <c r="CX211" s="9"/>
      <c r="CY211" s="9"/>
      <c r="CZ211" s="9"/>
      <c r="DA211" s="9"/>
      <c r="DB211" s="9"/>
      <c r="DC211" s="9"/>
      <c r="DD211" s="9"/>
      <c r="DE211" s="9"/>
      <c r="DF211" s="9"/>
      <c r="DG211" s="9"/>
      <c r="DH211" s="9"/>
      <c r="DI211" s="9"/>
      <c r="DJ211" s="9"/>
      <c r="DK211" s="9"/>
      <c r="DL211" s="9"/>
      <c r="DM211" s="9"/>
      <c r="DN211" s="9"/>
      <c r="DO211" s="9"/>
      <c r="DP211" s="9"/>
      <c r="DQ211" s="9"/>
      <c r="DR211" s="9"/>
      <c r="DS211" s="10"/>
      <c r="DT211" s="9"/>
      <c r="DU211" s="9"/>
      <c r="DV211" s="9"/>
      <c r="DW211" s="9"/>
      <c r="DX211" s="9"/>
      <c r="DY211" s="9"/>
      <c r="DZ211" s="9"/>
      <c r="EA211" s="9"/>
      <c r="EB211" s="9"/>
      <c r="EC211" s="9"/>
      <c r="ED211" s="9"/>
      <c r="EE211" s="9"/>
      <c r="EF211" s="9"/>
      <c r="EG211" s="9"/>
      <c r="EH211" s="9"/>
      <c r="EI211" s="9"/>
      <c r="EJ211" s="9"/>
      <c r="EK211" s="9"/>
      <c r="EL211" s="9"/>
      <c r="EM211" s="9"/>
      <c r="EN211" s="9"/>
      <c r="EO211" s="9"/>
      <c r="EP211" s="9"/>
      <c r="EQ211" s="9"/>
      <c r="ER211" s="9"/>
      <c r="ES211" s="9"/>
      <c r="ET211" s="9"/>
      <c r="EU211" s="10"/>
      <c r="EV211" s="9"/>
      <c r="EW211" s="9"/>
      <c r="EX211" s="9"/>
      <c r="EY211" s="9"/>
      <c r="EZ211" s="9"/>
      <c r="FA211" s="9"/>
      <c r="FB211" s="9"/>
      <c r="FC211" s="9"/>
      <c r="FD211" s="9"/>
      <c r="FE211" s="9"/>
      <c r="FF211" s="9"/>
      <c r="FG211" s="9"/>
      <c r="FH211" s="9"/>
      <c r="FI211" s="9"/>
      <c r="FJ211" s="9"/>
      <c r="FK211" s="9"/>
      <c r="FL211" s="9"/>
      <c r="FM211" s="9"/>
      <c r="FN211" s="9"/>
      <c r="FO211" s="9"/>
      <c r="FP211" s="9"/>
      <c r="FQ211" s="9"/>
      <c r="FR211" s="9"/>
      <c r="FS211" s="9"/>
      <c r="FT211" s="9"/>
      <c r="FU211" s="9"/>
      <c r="FV211" s="9"/>
      <c r="FW211" s="10"/>
      <c r="FX211" s="9"/>
      <c r="FY211" s="9"/>
      <c r="FZ211" s="9"/>
      <c r="GA211" s="9"/>
      <c r="GB211" s="9"/>
      <c r="GC211" s="9"/>
      <c r="GD211" s="9"/>
      <c r="GE211" s="9"/>
      <c r="GF211" s="9"/>
      <c r="GG211" s="9"/>
      <c r="GH211" s="9"/>
      <c r="GI211" s="9"/>
      <c r="GJ211" s="9"/>
      <c r="GK211" s="9"/>
      <c r="GL211" s="9"/>
      <c r="GM211" s="9"/>
      <c r="GN211" s="9"/>
      <c r="GO211" s="9"/>
      <c r="GP211" s="9"/>
      <c r="GQ211" s="9"/>
      <c r="GR211" s="9"/>
      <c r="GS211" s="9"/>
      <c r="GT211" s="9"/>
      <c r="GU211" s="9"/>
      <c r="GV211" s="9"/>
      <c r="GW211" s="9"/>
      <c r="GX211" s="9"/>
      <c r="GY211" s="10"/>
      <c r="GZ211" s="9"/>
      <c r="HA211" s="9"/>
    </row>
    <row r="212" spans="1:209" s="2" customFormat="1" ht="17" customHeight="1">
      <c r="A212" s="46" t="s">
        <v>209</v>
      </c>
      <c r="B212" s="35">
        <v>736526</v>
      </c>
      <c r="C212" s="35">
        <v>613897.6</v>
      </c>
      <c r="D212" s="4">
        <f t="shared" si="57"/>
        <v>0.83350431620879639</v>
      </c>
      <c r="E212" s="11">
        <v>10</v>
      </c>
      <c r="F212" s="5" t="s">
        <v>362</v>
      </c>
      <c r="G212" s="5" t="s">
        <v>362</v>
      </c>
      <c r="H212" s="5" t="s">
        <v>362</v>
      </c>
      <c r="I212" s="5" t="s">
        <v>362</v>
      </c>
      <c r="J212" s="5" t="s">
        <v>362</v>
      </c>
      <c r="K212" s="5" t="s">
        <v>362</v>
      </c>
      <c r="L212" s="5" t="s">
        <v>362</v>
      </c>
      <c r="M212" s="5" t="s">
        <v>362</v>
      </c>
      <c r="N212" s="35">
        <v>5689</v>
      </c>
      <c r="O212" s="35">
        <v>6204.3</v>
      </c>
      <c r="P212" s="4">
        <f t="shared" si="58"/>
        <v>1.0905783090174019</v>
      </c>
      <c r="Q212" s="11">
        <v>20</v>
      </c>
      <c r="R212" s="35">
        <v>6</v>
      </c>
      <c r="S212" s="35">
        <v>6.6</v>
      </c>
      <c r="T212" s="4">
        <f t="shared" si="59"/>
        <v>1.0999999999999999</v>
      </c>
      <c r="U212" s="11">
        <v>30</v>
      </c>
      <c r="V212" s="35">
        <v>12</v>
      </c>
      <c r="W212" s="35">
        <v>12.5</v>
      </c>
      <c r="X212" s="4">
        <f t="shared" si="60"/>
        <v>1.0416666666666667</v>
      </c>
      <c r="Y212" s="11">
        <v>20</v>
      </c>
      <c r="Z212" s="35">
        <v>107701.9</v>
      </c>
      <c r="AA212" s="35">
        <v>135322</v>
      </c>
      <c r="AB212" s="4">
        <f t="shared" si="61"/>
        <v>1.2056449514818215</v>
      </c>
      <c r="AC212" s="11">
        <v>5</v>
      </c>
      <c r="AD212" s="11">
        <v>60</v>
      </c>
      <c r="AE212" s="11">
        <v>60</v>
      </c>
      <c r="AF212" s="4">
        <f t="shared" si="62"/>
        <v>1</v>
      </c>
      <c r="AG212" s="11">
        <v>20</v>
      </c>
      <c r="AH212" s="5" t="s">
        <v>362</v>
      </c>
      <c r="AI212" s="5" t="s">
        <v>362</v>
      </c>
      <c r="AJ212" s="5" t="s">
        <v>362</v>
      </c>
      <c r="AK212" s="5" t="s">
        <v>362</v>
      </c>
      <c r="AL212" s="5" t="s">
        <v>362</v>
      </c>
      <c r="AM212" s="5" t="s">
        <v>362</v>
      </c>
      <c r="AN212" s="5" t="s">
        <v>362</v>
      </c>
      <c r="AO212" s="5" t="s">
        <v>362</v>
      </c>
      <c r="AP212" s="44">
        <f t="shared" si="71"/>
        <v>1.0476968326969376</v>
      </c>
      <c r="AQ212" s="45">
        <v>47</v>
      </c>
      <c r="AR212" s="35">
        <f t="shared" si="63"/>
        <v>12.818181818181817</v>
      </c>
      <c r="AS212" s="35">
        <f t="shared" si="64"/>
        <v>13.4</v>
      </c>
      <c r="AT212" s="35">
        <f t="shared" si="65"/>
        <v>0.58181818181818379</v>
      </c>
      <c r="AU212" s="35">
        <v>4.7</v>
      </c>
      <c r="AV212" s="35">
        <v>4</v>
      </c>
      <c r="AW212" s="35">
        <f t="shared" si="66"/>
        <v>4.7</v>
      </c>
      <c r="AX212" s="35"/>
      <c r="AY212" s="35">
        <f t="shared" si="67"/>
        <v>4.7</v>
      </c>
      <c r="AZ212" s="35">
        <v>0</v>
      </c>
      <c r="BA212" s="35">
        <f t="shared" si="68"/>
        <v>4.7</v>
      </c>
      <c r="BB212" s="35"/>
      <c r="BC212" s="35">
        <f t="shared" si="69"/>
        <v>4.7</v>
      </c>
      <c r="BD212" s="35">
        <v>4.5999999999999996</v>
      </c>
      <c r="BE212" s="35">
        <f t="shared" si="70"/>
        <v>0.1</v>
      </c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9"/>
      <c r="BU212" s="9"/>
      <c r="BV212" s="9"/>
      <c r="BW212" s="9"/>
      <c r="BX212" s="9"/>
      <c r="BY212" s="9"/>
      <c r="BZ212" s="9"/>
      <c r="CA212" s="9"/>
      <c r="CB212" s="9"/>
      <c r="CC212" s="9"/>
      <c r="CD212" s="9"/>
      <c r="CE212" s="9"/>
      <c r="CF212" s="9"/>
      <c r="CG212" s="9"/>
      <c r="CH212" s="9"/>
      <c r="CI212" s="9"/>
      <c r="CJ212" s="9"/>
      <c r="CK212" s="9"/>
      <c r="CL212" s="9"/>
      <c r="CM212" s="9"/>
      <c r="CN212" s="9"/>
      <c r="CO212" s="9"/>
      <c r="CP212" s="9"/>
      <c r="CQ212" s="10"/>
      <c r="CR212" s="9"/>
      <c r="CS212" s="9"/>
      <c r="CT212" s="9"/>
      <c r="CU212" s="9"/>
      <c r="CV212" s="9"/>
      <c r="CW212" s="9"/>
      <c r="CX212" s="9"/>
      <c r="CY212" s="9"/>
      <c r="CZ212" s="9"/>
      <c r="DA212" s="9"/>
      <c r="DB212" s="9"/>
      <c r="DC212" s="9"/>
      <c r="DD212" s="9"/>
      <c r="DE212" s="9"/>
      <c r="DF212" s="9"/>
      <c r="DG212" s="9"/>
      <c r="DH212" s="9"/>
      <c r="DI212" s="9"/>
      <c r="DJ212" s="9"/>
      <c r="DK212" s="9"/>
      <c r="DL212" s="9"/>
      <c r="DM212" s="9"/>
      <c r="DN212" s="9"/>
      <c r="DO212" s="9"/>
      <c r="DP212" s="9"/>
      <c r="DQ212" s="9"/>
      <c r="DR212" s="9"/>
      <c r="DS212" s="10"/>
      <c r="DT212" s="9"/>
      <c r="DU212" s="9"/>
      <c r="DV212" s="9"/>
      <c r="DW212" s="9"/>
      <c r="DX212" s="9"/>
      <c r="DY212" s="9"/>
      <c r="DZ212" s="9"/>
      <c r="EA212" s="9"/>
      <c r="EB212" s="9"/>
      <c r="EC212" s="9"/>
      <c r="ED212" s="9"/>
      <c r="EE212" s="9"/>
      <c r="EF212" s="9"/>
      <c r="EG212" s="9"/>
      <c r="EH212" s="9"/>
      <c r="EI212" s="9"/>
      <c r="EJ212" s="9"/>
      <c r="EK212" s="9"/>
      <c r="EL212" s="9"/>
      <c r="EM212" s="9"/>
      <c r="EN212" s="9"/>
      <c r="EO212" s="9"/>
      <c r="EP212" s="9"/>
      <c r="EQ212" s="9"/>
      <c r="ER212" s="9"/>
      <c r="ES212" s="9"/>
      <c r="ET212" s="9"/>
      <c r="EU212" s="10"/>
      <c r="EV212" s="9"/>
      <c r="EW212" s="9"/>
      <c r="EX212" s="9"/>
      <c r="EY212" s="9"/>
      <c r="EZ212" s="9"/>
      <c r="FA212" s="9"/>
      <c r="FB212" s="9"/>
      <c r="FC212" s="9"/>
      <c r="FD212" s="9"/>
      <c r="FE212" s="9"/>
      <c r="FF212" s="9"/>
      <c r="FG212" s="9"/>
      <c r="FH212" s="9"/>
      <c r="FI212" s="9"/>
      <c r="FJ212" s="9"/>
      <c r="FK212" s="9"/>
      <c r="FL212" s="9"/>
      <c r="FM212" s="9"/>
      <c r="FN212" s="9"/>
      <c r="FO212" s="9"/>
      <c r="FP212" s="9"/>
      <c r="FQ212" s="9"/>
      <c r="FR212" s="9"/>
      <c r="FS212" s="9"/>
      <c r="FT212" s="9"/>
      <c r="FU212" s="9"/>
      <c r="FV212" s="9"/>
      <c r="FW212" s="10"/>
      <c r="FX212" s="9"/>
      <c r="FY212" s="9"/>
      <c r="FZ212" s="9"/>
      <c r="GA212" s="9"/>
      <c r="GB212" s="9"/>
      <c r="GC212" s="9"/>
      <c r="GD212" s="9"/>
      <c r="GE212" s="9"/>
      <c r="GF212" s="9"/>
      <c r="GG212" s="9"/>
      <c r="GH212" s="9"/>
      <c r="GI212" s="9"/>
      <c r="GJ212" s="9"/>
      <c r="GK212" s="9"/>
      <c r="GL212" s="9"/>
      <c r="GM212" s="9"/>
      <c r="GN212" s="9"/>
      <c r="GO212" s="9"/>
      <c r="GP212" s="9"/>
      <c r="GQ212" s="9"/>
      <c r="GR212" s="9"/>
      <c r="GS212" s="9"/>
      <c r="GT212" s="9"/>
      <c r="GU212" s="9"/>
      <c r="GV212" s="9"/>
      <c r="GW212" s="9"/>
      <c r="GX212" s="9"/>
      <c r="GY212" s="10"/>
      <c r="GZ212" s="9"/>
      <c r="HA212" s="9"/>
    </row>
    <row r="213" spans="1:209" s="2" customFormat="1" ht="17" customHeight="1">
      <c r="A213" s="46" t="s">
        <v>210</v>
      </c>
      <c r="B213" s="35">
        <v>18721</v>
      </c>
      <c r="C213" s="35">
        <v>22111.1</v>
      </c>
      <c r="D213" s="4">
        <f t="shared" si="57"/>
        <v>1.1810854121040542</v>
      </c>
      <c r="E213" s="11">
        <v>10</v>
      </c>
      <c r="F213" s="5" t="s">
        <v>362</v>
      </c>
      <c r="G213" s="5" t="s">
        <v>362</v>
      </c>
      <c r="H213" s="5" t="s">
        <v>362</v>
      </c>
      <c r="I213" s="5" t="s">
        <v>362</v>
      </c>
      <c r="J213" s="5" t="s">
        <v>362</v>
      </c>
      <c r="K213" s="5" t="s">
        <v>362</v>
      </c>
      <c r="L213" s="5" t="s">
        <v>362</v>
      </c>
      <c r="M213" s="5" t="s">
        <v>362</v>
      </c>
      <c r="N213" s="35">
        <v>764.6</v>
      </c>
      <c r="O213" s="35">
        <v>773.9</v>
      </c>
      <c r="P213" s="4">
        <f t="shared" si="58"/>
        <v>1.0121632226000523</v>
      </c>
      <c r="Q213" s="11">
        <v>20</v>
      </c>
      <c r="R213" s="35">
        <v>24</v>
      </c>
      <c r="S213" s="35">
        <v>27.6</v>
      </c>
      <c r="T213" s="4">
        <f t="shared" si="59"/>
        <v>1.1500000000000001</v>
      </c>
      <c r="U213" s="11">
        <v>30</v>
      </c>
      <c r="V213" s="35">
        <v>3</v>
      </c>
      <c r="W213" s="35">
        <v>3.6</v>
      </c>
      <c r="X213" s="4">
        <f t="shared" si="60"/>
        <v>1.2</v>
      </c>
      <c r="Y213" s="11">
        <v>20</v>
      </c>
      <c r="Z213" s="35">
        <v>36583.300000000003</v>
      </c>
      <c r="AA213" s="35">
        <v>38664</v>
      </c>
      <c r="AB213" s="4">
        <f t="shared" si="61"/>
        <v>1.0568756782466315</v>
      </c>
      <c r="AC213" s="11">
        <v>5</v>
      </c>
      <c r="AD213" s="11">
        <v>230</v>
      </c>
      <c r="AE213" s="11">
        <v>242</v>
      </c>
      <c r="AF213" s="4">
        <f t="shared" si="62"/>
        <v>1.0521739130434782</v>
      </c>
      <c r="AG213" s="11">
        <v>20</v>
      </c>
      <c r="AH213" s="5" t="s">
        <v>362</v>
      </c>
      <c r="AI213" s="5" t="s">
        <v>362</v>
      </c>
      <c r="AJ213" s="5" t="s">
        <v>362</v>
      </c>
      <c r="AK213" s="5" t="s">
        <v>362</v>
      </c>
      <c r="AL213" s="5" t="s">
        <v>362</v>
      </c>
      <c r="AM213" s="5" t="s">
        <v>362</v>
      </c>
      <c r="AN213" s="5" t="s">
        <v>362</v>
      </c>
      <c r="AO213" s="5" t="s">
        <v>362</v>
      </c>
      <c r="AP213" s="44">
        <f t="shared" si="71"/>
        <v>1.1131616688108983</v>
      </c>
      <c r="AQ213" s="45">
        <v>2797</v>
      </c>
      <c r="AR213" s="35">
        <f t="shared" si="63"/>
        <v>762.81818181818187</v>
      </c>
      <c r="AS213" s="35">
        <f t="shared" si="64"/>
        <v>849.1</v>
      </c>
      <c r="AT213" s="35">
        <f t="shared" si="65"/>
        <v>86.281818181818153</v>
      </c>
      <c r="AU213" s="35">
        <v>252.6</v>
      </c>
      <c r="AV213" s="35">
        <v>305.10000000000002</v>
      </c>
      <c r="AW213" s="35">
        <f t="shared" si="66"/>
        <v>291.39999999999998</v>
      </c>
      <c r="AX213" s="35"/>
      <c r="AY213" s="35">
        <f t="shared" si="67"/>
        <v>291.39999999999998</v>
      </c>
      <c r="AZ213" s="35">
        <v>0</v>
      </c>
      <c r="BA213" s="35">
        <f t="shared" si="68"/>
        <v>291.39999999999998</v>
      </c>
      <c r="BB213" s="35">
        <f>MIN(BA213,127.1)</f>
        <v>127.1</v>
      </c>
      <c r="BC213" s="35">
        <f t="shared" si="69"/>
        <v>164.3</v>
      </c>
      <c r="BD213" s="35">
        <v>166.5</v>
      </c>
      <c r="BE213" s="35">
        <f t="shared" si="70"/>
        <v>-2.2000000000000002</v>
      </c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9"/>
      <c r="BU213" s="9"/>
      <c r="BV213" s="9"/>
      <c r="BW213" s="9"/>
      <c r="BX213" s="9"/>
      <c r="BY213" s="9"/>
      <c r="BZ213" s="9"/>
      <c r="CA213" s="9"/>
      <c r="CB213" s="9"/>
      <c r="CC213" s="9"/>
      <c r="CD213" s="9"/>
      <c r="CE213" s="9"/>
      <c r="CF213" s="9"/>
      <c r="CG213" s="9"/>
      <c r="CH213" s="9"/>
      <c r="CI213" s="9"/>
      <c r="CJ213" s="9"/>
      <c r="CK213" s="9"/>
      <c r="CL213" s="9"/>
      <c r="CM213" s="9"/>
      <c r="CN213" s="9"/>
      <c r="CO213" s="9"/>
      <c r="CP213" s="9"/>
      <c r="CQ213" s="10"/>
      <c r="CR213" s="9"/>
      <c r="CS213" s="9"/>
      <c r="CT213" s="9"/>
      <c r="CU213" s="9"/>
      <c r="CV213" s="9"/>
      <c r="CW213" s="9"/>
      <c r="CX213" s="9"/>
      <c r="CY213" s="9"/>
      <c r="CZ213" s="9"/>
      <c r="DA213" s="9"/>
      <c r="DB213" s="9"/>
      <c r="DC213" s="9"/>
      <c r="DD213" s="9"/>
      <c r="DE213" s="9"/>
      <c r="DF213" s="9"/>
      <c r="DG213" s="9"/>
      <c r="DH213" s="9"/>
      <c r="DI213" s="9"/>
      <c r="DJ213" s="9"/>
      <c r="DK213" s="9"/>
      <c r="DL213" s="9"/>
      <c r="DM213" s="9"/>
      <c r="DN213" s="9"/>
      <c r="DO213" s="9"/>
      <c r="DP213" s="9"/>
      <c r="DQ213" s="9"/>
      <c r="DR213" s="9"/>
      <c r="DS213" s="10"/>
      <c r="DT213" s="9"/>
      <c r="DU213" s="9"/>
      <c r="DV213" s="9"/>
      <c r="DW213" s="9"/>
      <c r="DX213" s="9"/>
      <c r="DY213" s="9"/>
      <c r="DZ213" s="9"/>
      <c r="EA213" s="9"/>
      <c r="EB213" s="9"/>
      <c r="EC213" s="9"/>
      <c r="ED213" s="9"/>
      <c r="EE213" s="9"/>
      <c r="EF213" s="9"/>
      <c r="EG213" s="9"/>
      <c r="EH213" s="9"/>
      <c r="EI213" s="9"/>
      <c r="EJ213" s="9"/>
      <c r="EK213" s="9"/>
      <c r="EL213" s="9"/>
      <c r="EM213" s="9"/>
      <c r="EN213" s="9"/>
      <c r="EO213" s="9"/>
      <c r="EP213" s="9"/>
      <c r="EQ213" s="9"/>
      <c r="ER213" s="9"/>
      <c r="ES213" s="9"/>
      <c r="ET213" s="9"/>
      <c r="EU213" s="10"/>
      <c r="EV213" s="9"/>
      <c r="EW213" s="9"/>
      <c r="EX213" s="9"/>
      <c r="EY213" s="9"/>
      <c r="EZ213" s="9"/>
      <c r="FA213" s="9"/>
      <c r="FB213" s="9"/>
      <c r="FC213" s="9"/>
      <c r="FD213" s="9"/>
      <c r="FE213" s="9"/>
      <c r="FF213" s="9"/>
      <c r="FG213" s="9"/>
      <c r="FH213" s="9"/>
      <c r="FI213" s="9"/>
      <c r="FJ213" s="9"/>
      <c r="FK213" s="9"/>
      <c r="FL213" s="9"/>
      <c r="FM213" s="9"/>
      <c r="FN213" s="9"/>
      <c r="FO213" s="9"/>
      <c r="FP213" s="9"/>
      <c r="FQ213" s="9"/>
      <c r="FR213" s="9"/>
      <c r="FS213" s="9"/>
      <c r="FT213" s="9"/>
      <c r="FU213" s="9"/>
      <c r="FV213" s="9"/>
      <c r="FW213" s="10"/>
      <c r="FX213" s="9"/>
      <c r="FY213" s="9"/>
      <c r="FZ213" s="9"/>
      <c r="GA213" s="9"/>
      <c r="GB213" s="9"/>
      <c r="GC213" s="9"/>
      <c r="GD213" s="9"/>
      <c r="GE213" s="9"/>
      <c r="GF213" s="9"/>
      <c r="GG213" s="9"/>
      <c r="GH213" s="9"/>
      <c r="GI213" s="9"/>
      <c r="GJ213" s="9"/>
      <c r="GK213" s="9"/>
      <c r="GL213" s="9"/>
      <c r="GM213" s="9"/>
      <c r="GN213" s="9"/>
      <c r="GO213" s="9"/>
      <c r="GP213" s="9"/>
      <c r="GQ213" s="9"/>
      <c r="GR213" s="9"/>
      <c r="GS213" s="9"/>
      <c r="GT213" s="9"/>
      <c r="GU213" s="9"/>
      <c r="GV213" s="9"/>
      <c r="GW213" s="9"/>
      <c r="GX213" s="9"/>
      <c r="GY213" s="10"/>
      <c r="GZ213" s="9"/>
      <c r="HA213" s="9"/>
    </row>
    <row r="214" spans="1:209" s="2" customFormat="1" ht="17" customHeight="1">
      <c r="A214" s="46" t="s">
        <v>211</v>
      </c>
      <c r="B214" s="35">
        <v>364069</v>
      </c>
      <c r="C214" s="35">
        <v>351892.3</v>
      </c>
      <c r="D214" s="4">
        <f t="shared" si="57"/>
        <v>0.96655386753609884</v>
      </c>
      <c r="E214" s="11">
        <v>10</v>
      </c>
      <c r="F214" s="5" t="s">
        <v>362</v>
      </c>
      <c r="G214" s="5" t="s">
        <v>362</v>
      </c>
      <c r="H214" s="5" t="s">
        <v>362</v>
      </c>
      <c r="I214" s="5" t="s">
        <v>362</v>
      </c>
      <c r="J214" s="5" t="s">
        <v>362</v>
      </c>
      <c r="K214" s="5" t="s">
        <v>362</v>
      </c>
      <c r="L214" s="5" t="s">
        <v>362</v>
      </c>
      <c r="M214" s="5" t="s">
        <v>362</v>
      </c>
      <c r="N214" s="35">
        <v>4901.5</v>
      </c>
      <c r="O214" s="35">
        <v>3743.8</v>
      </c>
      <c r="P214" s="4">
        <f t="shared" si="58"/>
        <v>0.76380699785779871</v>
      </c>
      <c r="Q214" s="11">
        <v>20</v>
      </c>
      <c r="R214" s="35">
        <v>434</v>
      </c>
      <c r="S214" s="35">
        <v>300</v>
      </c>
      <c r="T214" s="4">
        <f t="shared" si="59"/>
        <v>0.69124423963133641</v>
      </c>
      <c r="U214" s="11">
        <v>10</v>
      </c>
      <c r="V214" s="35">
        <v>581</v>
      </c>
      <c r="W214" s="35">
        <v>331.8</v>
      </c>
      <c r="X214" s="4">
        <f t="shared" si="60"/>
        <v>0.57108433734939756</v>
      </c>
      <c r="Y214" s="11">
        <v>40</v>
      </c>
      <c r="Z214" s="35">
        <v>22041.7</v>
      </c>
      <c r="AA214" s="35">
        <v>16031</v>
      </c>
      <c r="AB214" s="4">
        <f t="shared" si="61"/>
        <v>0.72730324793459666</v>
      </c>
      <c r="AC214" s="11">
        <v>5</v>
      </c>
      <c r="AD214" s="11">
        <v>698</v>
      </c>
      <c r="AE214" s="11">
        <v>794</v>
      </c>
      <c r="AF214" s="4">
        <f t="shared" si="62"/>
        <v>1.1375358166189111</v>
      </c>
      <c r="AG214" s="11">
        <v>20</v>
      </c>
      <c r="AH214" s="5" t="s">
        <v>362</v>
      </c>
      <c r="AI214" s="5" t="s">
        <v>362</v>
      </c>
      <c r="AJ214" s="5" t="s">
        <v>362</v>
      </c>
      <c r="AK214" s="5" t="s">
        <v>362</v>
      </c>
      <c r="AL214" s="5" t="s">
        <v>362</v>
      </c>
      <c r="AM214" s="5" t="s">
        <v>362</v>
      </c>
      <c r="AN214" s="5" t="s">
        <v>362</v>
      </c>
      <c r="AO214" s="5" t="s">
        <v>362</v>
      </c>
      <c r="AP214" s="44">
        <f t="shared" si="71"/>
        <v>0.77223549614149933</v>
      </c>
      <c r="AQ214" s="45">
        <v>147</v>
      </c>
      <c r="AR214" s="35">
        <f t="shared" si="63"/>
        <v>40.090909090909093</v>
      </c>
      <c r="AS214" s="35">
        <f t="shared" si="64"/>
        <v>31</v>
      </c>
      <c r="AT214" s="35">
        <f t="shared" si="65"/>
        <v>-9.0909090909090935</v>
      </c>
      <c r="AU214" s="35">
        <v>9.5</v>
      </c>
      <c r="AV214" s="35">
        <v>9</v>
      </c>
      <c r="AW214" s="35">
        <f t="shared" si="66"/>
        <v>12.5</v>
      </c>
      <c r="AX214" s="35"/>
      <c r="AY214" s="35">
        <f t="shared" si="67"/>
        <v>12.5</v>
      </c>
      <c r="AZ214" s="35">
        <v>0</v>
      </c>
      <c r="BA214" s="35">
        <f t="shared" si="68"/>
        <v>12.5</v>
      </c>
      <c r="BB214" s="35"/>
      <c r="BC214" s="35">
        <f t="shared" si="69"/>
        <v>12.5</v>
      </c>
      <c r="BD214" s="35">
        <v>12.5</v>
      </c>
      <c r="BE214" s="35">
        <f t="shared" si="70"/>
        <v>0</v>
      </c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9"/>
      <c r="BU214" s="9"/>
      <c r="BV214" s="9"/>
      <c r="BW214" s="9"/>
      <c r="BX214" s="9"/>
      <c r="BY214" s="9"/>
      <c r="BZ214" s="9"/>
      <c r="CA214" s="9"/>
      <c r="CB214" s="9"/>
      <c r="CC214" s="9"/>
      <c r="CD214" s="9"/>
      <c r="CE214" s="9"/>
      <c r="CF214" s="9"/>
      <c r="CG214" s="9"/>
      <c r="CH214" s="9"/>
      <c r="CI214" s="9"/>
      <c r="CJ214" s="9"/>
      <c r="CK214" s="9"/>
      <c r="CL214" s="9"/>
      <c r="CM214" s="9"/>
      <c r="CN214" s="9"/>
      <c r="CO214" s="9"/>
      <c r="CP214" s="9"/>
      <c r="CQ214" s="10"/>
      <c r="CR214" s="9"/>
      <c r="CS214" s="9"/>
      <c r="CT214" s="9"/>
      <c r="CU214" s="9"/>
      <c r="CV214" s="9"/>
      <c r="CW214" s="9"/>
      <c r="CX214" s="9"/>
      <c r="CY214" s="9"/>
      <c r="CZ214" s="9"/>
      <c r="DA214" s="9"/>
      <c r="DB214" s="9"/>
      <c r="DC214" s="9"/>
      <c r="DD214" s="9"/>
      <c r="DE214" s="9"/>
      <c r="DF214" s="9"/>
      <c r="DG214" s="9"/>
      <c r="DH214" s="9"/>
      <c r="DI214" s="9"/>
      <c r="DJ214" s="9"/>
      <c r="DK214" s="9"/>
      <c r="DL214" s="9"/>
      <c r="DM214" s="9"/>
      <c r="DN214" s="9"/>
      <c r="DO214" s="9"/>
      <c r="DP214" s="9"/>
      <c r="DQ214" s="9"/>
      <c r="DR214" s="9"/>
      <c r="DS214" s="10"/>
      <c r="DT214" s="9"/>
      <c r="DU214" s="9"/>
      <c r="DV214" s="9"/>
      <c r="DW214" s="9"/>
      <c r="DX214" s="9"/>
      <c r="DY214" s="9"/>
      <c r="DZ214" s="9"/>
      <c r="EA214" s="9"/>
      <c r="EB214" s="9"/>
      <c r="EC214" s="9"/>
      <c r="ED214" s="9"/>
      <c r="EE214" s="9"/>
      <c r="EF214" s="9"/>
      <c r="EG214" s="9"/>
      <c r="EH214" s="9"/>
      <c r="EI214" s="9"/>
      <c r="EJ214" s="9"/>
      <c r="EK214" s="9"/>
      <c r="EL214" s="9"/>
      <c r="EM214" s="9"/>
      <c r="EN214" s="9"/>
      <c r="EO214" s="9"/>
      <c r="EP214" s="9"/>
      <c r="EQ214" s="9"/>
      <c r="ER214" s="9"/>
      <c r="ES214" s="9"/>
      <c r="ET214" s="9"/>
      <c r="EU214" s="10"/>
      <c r="EV214" s="9"/>
      <c r="EW214" s="9"/>
      <c r="EX214" s="9"/>
      <c r="EY214" s="9"/>
      <c r="EZ214" s="9"/>
      <c r="FA214" s="9"/>
      <c r="FB214" s="9"/>
      <c r="FC214" s="9"/>
      <c r="FD214" s="9"/>
      <c r="FE214" s="9"/>
      <c r="FF214" s="9"/>
      <c r="FG214" s="9"/>
      <c r="FH214" s="9"/>
      <c r="FI214" s="9"/>
      <c r="FJ214" s="9"/>
      <c r="FK214" s="9"/>
      <c r="FL214" s="9"/>
      <c r="FM214" s="9"/>
      <c r="FN214" s="9"/>
      <c r="FO214" s="9"/>
      <c r="FP214" s="9"/>
      <c r="FQ214" s="9"/>
      <c r="FR214" s="9"/>
      <c r="FS214" s="9"/>
      <c r="FT214" s="9"/>
      <c r="FU214" s="9"/>
      <c r="FV214" s="9"/>
      <c r="FW214" s="10"/>
      <c r="FX214" s="9"/>
      <c r="FY214" s="9"/>
      <c r="FZ214" s="9"/>
      <c r="GA214" s="9"/>
      <c r="GB214" s="9"/>
      <c r="GC214" s="9"/>
      <c r="GD214" s="9"/>
      <c r="GE214" s="9"/>
      <c r="GF214" s="9"/>
      <c r="GG214" s="9"/>
      <c r="GH214" s="9"/>
      <c r="GI214" s="9"/>
      <c r="GJ214" s="9"/>
      <c r="GK214" s="9"/>
      <c r="GL214" s="9"/>
      <c r="GM214" s="9"/>
      <c r="GN214" s="9"/>
      <c r="GO214" s="9"/>
      <c r="GP214" s="9"/>
      <c r="GQ214" s="9"/>
      <c r="GR214" s="9"/>
      <c r="GS214" s="9"/>
      <c r="GT214" s="9"/>
      <c r="GU214" s="9"/>
      <c r="GV214" s="9"/>
      <c r="GW214" s="9"/>
      <c r="GX214" s="9"/>
      <c r="GY214" s="10"/>
      <c r="GZ214" s="9"/>
      <c r="HA214" s="9"/>
    </row>
    <row r="215" spans="1:209" s="2" customFormat="1" ht="17" customHeight="1">
      <c r="A215" s="46" t="s">
        <v>212</v>
      </c>
      <c r="B215" s="35">
        <v>0</v>
      </c>
      <c r="C215" s="35">
        <v>0</v>
      </c>
      <c r="D215" s="4">
        <f t="shared" si="57"/>
        <v>0</v>
      </c>
      <c r="E215" s="11">
        <v>0</v>
      </c>
      <c r="F215" s="5" t="s">
        <v>362</v>
      </c>
      <c r="G215" s="5" t="s">
        <v>362</v>
      </c>
      <c r="H215" s="5" t="s">
        <v>362</v>
      </c>
      <c r="I215" s="5" t="s">
        <v>362</v>
      </c>
      <c r="J215" s="5" t="s">
        <v>362</v>
      </c>
      <c r="K215" s="5" t="s">
        <v>362</v>
      </c>
      <c r="L215" s="5" t="s">
        <v>362</v>
      </c>
      <c r="M215" s="5" t="s">
        <v>362</v>
      </c>
      <c r="N215" s="35">
        <v>217.6</v>
      </c>
      <c r="O215" s="35">
        <v>82.3</v>
      </c>
      <c r="P215" s="4">
        <f t="shared" si="58"/>
        <v>0.3782169117647059</v>
      </c>
      <c r="Q215" s="11">
        <v>20</v>
      </c>
      <c r="R215" s="35">
        <v>9</v>
      </c>
      <c r="S215" s="35">
        <v>9.4</v>
      </c>
      <c r="T215" s="4">
        <f t="shared" si="59"/>
        <v>1.0444444444444445</v>
      </c>
      <c r="U215" s="11">
        <v>25</v>
      </c>
      <c r="V215" s="35">
        <v>1.2</v>
      </c>
      <c r="W215" s="35">
        <v>1.3</v>
      </c>
      <c r="X215" s="4">
        <f t="shared" si="60"/>
        <v>1.0833333333333335</v>
      </c>
      <c r="Y215" s="11">
        <v>25</v>
      </c>
      <c r="Z215" s="35">
        <v>3578.9</v>
      </c>
      <c r="AA215" s="35">
        <v>3866</v>
      </c>
      <c r="AB215" s="4">
        <f t="shared" si="61"/>
        <v>1.080220179384727</v>
      </c>
      <c r="AC215" s="11">
        <v>5</v>
      </c>
      <c r="AD215" s="11">
        <v>72</v>
      </c>
      <c r="AE215" s="11">
        <v>72</v>
      </c>
      <c r="AF215" s="4">
        <f t="shared" si="62"/>
        <v>1</v>
      </c>
      <c r="AG215" s="11">
        <v>20</v>
      </c>
      <c r="AH215" s="5" t="s">
        <v>362</v>
      </c>
      <c r="AI215" s="5" t="s">
        <v>362</v>
      </c>
      <c r="AJ215" s="5" t="s">
        <v>362</v>
      </c>
      <c r="AK215" s="5" t="s">
        <v>362</v>
      </c>
      <c r="AL215" s="5" t="s">
        <v>362</v>
      </c>
      <c r="AM215" s="5" t="s">
        <v>362</v>
      </c>
      <c r="AN215" s="5" t="s">
        <v>362</v>
      </c>
      <c r="AO215" s="5" t="s">
        <v>362</v>
      </c>
      <c r="AP215" s="44">
        <f t="shared" si="71"/>
        <v>0.90694614291223363</v>
      </c>
      <c r="AQ215" s="45">
        <v>991</v>
      </c>
      <c r="AR215" s="35">
        <f t="shared" si="63"/>
        <v>270.27272727272725</v>
      </c>
      <c r="AS215" s="35">
        <f t="shared" si="64"/>
        <v>245.1</v>
      </c>
      <c r="AT215" s="35">
        <f t="shared" si="65"/>
        <v>-25.172727272727258</v>
      </c>
      <c r="AU215" s="35">
        <v>77.599999999999994</v>
      </c>
      <c r="AV215" s="35">
        <v>70.900000000000006</v>
      </c>
      <c r="AW215" s="35">
        <f t="shared" si="66"/>
        <v>96.6</v>
      </c>
      <c r="AX215" s="35"/>
      <c r="AY215" s="35">
        <f t="shared" si="67"/>
        <v>96.6</v>
      </c>
      <c r="AZ215" s="35">
        <v>0</v>
      </c>
      <c r="BA215" s="35">
        <f t="shared" si="68"/>
        <v>96.6</v>
      </c>
      <c r="BB215" s="35"/>
      <c r="BC215" s="35">
        <f t="shared" si="69"/>
        <v>96.6</v>
      </c>
      <c r="BD215" s="35">
        <v>94</v>
      </c>
      <c r="BE215" s="35">
        <f t="shared" si="70"/>
        <v>2.6</v>
      </c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9"/>
      <c r="BU215" s="9"/>
      <c r="BV215" s="9"/>
      <c r="BW215" s="9"/>
      <c r="BX215" s="9"/>
      <c r="BY215" s="9"/>
      <c r="BZ215" s="9"/>
      <c r="CA215" s="9"/>
      <c r="CB215" s="9"/>
      <c r="CC215" s="9"/>
      <c r="CD215" s="9"/>
      <c r="CE215" s="9"/>
      <c r="CF215" s="9"/>
      <c r="CG215" s="9"/>
      <c r="CH215" s="9"/>
      <c r="CI215" s="9"/>
      <c r="CJ215" s="9"/>
      <c r="CK215" s="9"/>
      <c r="CL215" s="9"/>
      <c r="CM215" s="9"/>
      <c r="CN215" s="9"/>
      <c r="CO215" s="9"/>
      <c r="CP215" s="9"/>
      <c r="CQ215" s="10"/>
      <c r="CR215" s="9"/>
      <c r="CS215" s="9"/>
      <c r="CT215" s="9"/>
      <c r="CU215" s="9"/>
      <c r="CV215" s="9"/>
      <c r="CW215" s="9"/>
      <c r="CX215" s="9"/>
      <c r="CY215" s="9"/>
      <c r="CZ215" s="9"/>
      <c r="DA215" s="9"/>
      <c r="DB215" s="9"/>
      <c r="DC215" s="9"/>
      <c r="DD215" s="9"/>
      <c r="DE215" s="9"/>
      <c r="DF215" s="9"/>
      <c r="DG215" s="9"/>
      <c r="DH215" s="9"/>
      <c r="DI215" s="9"/>
      <c r="DJ215" s="9"/>
      <c r="DK215" s="9"/>
      <c r="DL215" s="9"/>
      <c r="DM215" s="9"/>
      <c r="DN215" s="9"/>
      <c r="DO215" s="9"/>
      <c r="DP215" s="9"/>
      <c r="DQ215" s="9"/>
      <c r="DR215" s="9"/>
      <c r="DS215" s="10"/>
      <c r="DT215" s="9"/>
      <c r="DU215" s="9"/>
      <c r="DV215" s="9"/>
      <c r="DW215" s="9"/>
      <c r="DX215" s="9"/>
      <c r="DY215" s="9"/>
      <c r="DZ215" s="9"/>
      <c r="EA215" s="9"/>
      <c r="EB215" s="9"/>
      <c r="EC215" s="9"/>
      <c r="ED215" s="9"/>
      <c r="EE215" s="9"/>
      <c r="EF215" s="9"/>
      <c r="EG215" s="9"/>
      <c r="EH215" s="9"/>
      <c r="EI215" s="9"/>
      <c r="EJ215" s="9"/>
      <c r="EK215" s="9"/>
      <c r="EL215" s="9"/>
      <c r="EM215" s="9"/>
      <c r="EN215" s="9"/>
      <c r="EO215" s="9"/>
      <c r="EP215" s="9"/>
      <c r="EQ215" s="9"/>
      <c r="ER215" s="9"/>
      <c r="ES215" s="9"/>
      <c r="ET215" s="9"/>
      <c r="EU215" s="10"/>
      <c r="EV215" s="9"/>
      <c r="EW215" s="9"/>
      <c r="EX215" s="9"/>
      <c r="EY215" s="9"/>
      <c r="EZ215" s="9"/>
      <c r="FA215" s="9"/>
      <c r="FB215" s="9"/>
      <c r="FC215" s="9"/>
      <c r="FD215" s="9"/>
      <c r="FE215" s="9"/>
      <c r="FF215" s="9"/>
      <c r="FG215" s="9"/>
      <c r="FH215" s="9"/>
      <c r="FI215" s="9"/>
      <c r="FJ215" s="9"/>
      <c r="FK215" s="9"/>
      <c r="FL215" s="9"/>
      <c r="FM215" s="9"/>
      <c r="FN215" s="9"/>
      <c r="FO215" s="9"/>
      <c r="FP215" s="9"/>
      <c r="FQ215" s="9"/>
      <c r="FR215" s="9"/>
      <c r="FS215" s="9"/>
      <c r="FT215" s="9"/>
      <c r="FU215" s="9"/>
      <c r="FV215" s="9"/>
      <c r="FW215" s="10"/>
      <c r="FX215" s="9"/>
      <c r="FY215" s="9"/>
      <c r="FZ215" s="9"/>
      <c r="GA215" s="9"/>
      <c r="GB215" s="9"/>
      <c r="GC215" s="9"/>
      <c r="GD215" s="9"/>
      <c r="GE215" s="9"/>
      <c r="GF215" s="9"/>
      <c r="GG215" s="9"/>
      <c r="GH215" s="9"/>
      <c r="GI215" s="9"/>
      <c r="GJ215" s="9"/>
      <c r="GK215" s="9"/>
      <c r="GL215" s="9"/>
      <c r="GM215" s="9"/>
      <c r="GN215" s="9"/>
      <c r="GO215" s="9"/>
      <c r="GP215" s="9"/>
      <c r="GQ215" s="9"/>
      <c r="GR215" s="9"/>
      <c r="GS215" s="9"/>
      <c r="GT215" s="9"/>
      <c r="GU215" s="9"/>
      <c r="GV215" s="9"/>
      <c r="GW215" s="9"/>
      <c r="GX215" s="9"/>
      <c r="GY215" s="10"/>
      <c r="GZ215" s="9"/>
      <c r="HA215" s="9"/>
    </row>
    <row r="216" spans="1:209" s="2" customFormat="1" ht="17" customHeight="1">
      <c r="A216" s="46" t="s">
        <v>213</v>
      </c>
      <c r="B216" s="35">
        <v>2795</v>
      </c>
      <c r="C216" s="35">
        <v>3537.9</v>
      </c>
      <c r="D216" s="4">
        <f t="shared" si="57"/>
        <v>1.2065796064400716</v>
      </c>
      <c r="E216" s="11">
        <v>10</v>
      </c>
      <c r="F216" s="5" t="s">
        <v>362</v>
      </c>
      <c r="G216" s="5" t="s">
        <v>362</v>
      </c>
      <c r="H216" s="5" t="s">
        <v>362</v>
      </c>
      <c r="I216" s="5" t="s">
        <v>362</v>
      </c>
      <c r="J216" s="5" t="s">
        <v>362</v>
      </c>
      <c r="K216" s="5" t="s">
        <v>362</v>
      </c>
      <c r="L216" s="5" t="s">
        <v>362</v>
      </c>
      <c r="M216" s="5" t="s">
        <v>362</v>
      </c>
      <c r="N216" s="35">
        <v>487.3</v>
      </c>
      <c r="O216" s="35">
        <v>553.1</v>
      </c>
      <c r="P216" s="4">
        <f t="shared" si="58"/>
        <v>1.1350297557972502</v>
      </c>
      <c r="Q216" s="11">
        <v>20</v>
      </c>
      <c r="R216" s="35">
        <v>149</v>
      </c>
      <c r="S216" s="35">
        <v>153.9</v>
      </c>
      <c r="T216" s="4">
        <f t="shared" si="59"/>
        <v>1.0328859060402684</v>
      </c>
      <c r="U216" s="11">
        <v>15</v>
      </c>
      <c r="V216" s="35">
        <v>363</v>
      </c>
      <c r="W216" s="35">
        <v>427.2</v>
      </c>
      <c r="X216" s="4">
        <f t="shared" si="60"/>
        <v>1.1768595041322314</v>
      </c>
      <c r="Y216" s="11">
        <v>35</v>
      </c>
      <c r="Z216" s="35">
        <v>6183.2</v>
      </c>
      <c r="AA216" s="35">
        <v>4244</v>
      </c>
      <c r="AB216" s="4">
        <f t="shared" si="61"/>
        <v>0.6863759865441843</v>
      </c>
      <c r="AC216" s="11">
        <v>5</v>
      </c>
      <c r="AD216" s="11">
        <v>1485</v>
      </c>
      <c r="AE216" s="11">
        <v>1513</v>
      </c>
      <c r="AF216" s="4">
        <f t="shared" si="62"/>
        <v>1.0188552188552189</v>
      </c>
      <c r="AG216" s="11">
        <v>20</v>
      </c>
      <c r="AH216" s="5" t="s">
        <v>362</v>
      </c>
      <c r="AI216" s="5" t="s">
        <v>362</v>
      </c>
      <c r="AJ216" s="5" t="s">
        <v>362</v>
      </c>
      <c r="AK216" s="5" t="s">
        <v>362</v>
      </c>
      <c r="AL216" s="5" t="s">
        <v>362</v>
      </c>
      <c r="AM216" s="5" t="s">
        <v>362</v>
      </c>
      <c r="AN216" s="5" t="s">
        <v>362</v>
      </c>
      <c r="AO216" s="5" t="s">
        <v>362</v>
      </c>
      <c r="AP216" s="44">
        <f t="shared" si="71"/>
        <v>1.0977023497657443</v>
      </c>
      <c r="AQ216" s="45">
        <v>2207</v>
      </c>
      <c r="AR216" s="35">
        <f t="shared" si="63"/>
        <v>601.90909090909088</v>
      </c>
      <c r="AS216" s="35">
        <f t="shared" si="64"/>
        <v>660.7</v>
      </c>
      <c r="AT216" s="35">
        <f t="shared" si="65"/>
        <v>58.790909090909167</v>
      </c>
      <c r="AU216" s="35">
        <v>178.6</v>
      </c>
      <c r="AV216" s="35">
        <v>197</v>
      </c>
      <c r="AW216" s="35">
        <f t="shared" si="66"/>
        <v>285.10000000000002</v>
      </c>
      <c r="AX216" s="35"/>
      <c r="AY216" s="35">
        <f t="shared" si="67"/>
        <v>285.10000000000002</v>
      </c>
      <c r="AZ216" s="35">
        <v>0</v>
      </c>
      <c r="BA216" s="35">
        <f t="shared" si="68"/>
        <v>285.10000000000002</v>
      </c>
      <c r="BB216" s="35">
        <f>MIN(BA216,24.1)</f>
        <v>24.1</v>
      </c>
      <c r="BC216" s="35">
        <f t="shared" si="69"/>
        <v>261</v>
      </c>
      <c r="BD216" s="35">
        <v>273.39999999999998</v>
      </c>
      <c r="BE216" s="35">
        <f t="shared" si="70"/>
        <v>-12.4</v>
      </c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9"/>
      <c r="BU216" s="9"/>
      <c r="BV216" s="9"/>
      <c r="BW216" s="9"/>
      <c r="BX216" s="9"/>
      <c r="BY216" s="9"/>
      <c r="BZ216" s="9"/>
      <c r="CA216" s="9"/>
      <c r="CB216" s="9"/>
      <c r="CC216" s="9"/>
      <c r="CD216" s="9"/>
      <c r="CE216" s="9"/>
      <c r="CF216" s="9"/>
      <c r="CG216" s="9"/>
      <c r="CH216" s="9"/>
      <c r="CI216" s="9"/>
      <c r="CJ216" s="9"/>
      <c r="CK216" s="9"/>
      <c r="CL216" s="9"/>
      <c r="CM216" s="9"/>
      <c r="CN216" s="9"/>
      <c r="CO216" s="9"/>
      <c r="CP216" s="9"/>
      <c r="CQ216" s="10"/>
      <c r="CR216" s="9"/>
      <c r="CS216" s="9"/>
      <c r="CT216" s="9"/>
      <c r="CU216" s="9"/>
      <c r="CV216" s="9"/>
      <c r="CW216" s="9"/>
      <c r="CX216" s="9"/>
      <c r="CY216" s="9"/>
      <c r="CZ216" s="9"/>
      <c r="DA216" s="9"/>
      <c r="DB216" s="9"/>
      <c r="DC216" s="9"/>
      <c r="DD216" s="9"/>
      <c r="DE216" s="9"/>
      <c r="DF216" s="9"/>
      <c r="DG216" s="9"/>
      <c r="DH216" s="9"/>
      <c r="DI216" s="9"/>
      <c r="DJ216" s="9"/>
      <c r="DK216" s="9"/>
      <c r="DL216" s="9"/>
      <c r="DM216" s="9"/>
      <c r="DN216" s="9"/>
      <c r="DO216" s="9"/>
      <c r="DP216" s="9"/>
      <c r="DQ216" s="9"/>
      <c r="DR216" s="9"/>
      <c r="DS216" s="10"/>
      <c r="DT216" s="9"/>
      <c r="DU216" s="9"/>
      <c r="DV216" s="9"/>
      <c r="DW216" s="9"/>
      <c r="DX216" s="9"/>
      <c r="DY216" s="9"/>
      <c r="DZ216" s="9"/>
      <c r="EA216" s="9"/>
      <c r="EB216" s="9"/>
      <c r="EC216" s="9"/>
      <c r="ED216" s="9"/>
      <c r="EE216" s="9"/>
      <c r="EF216" s="9"/>
      <c r="EG216" s="9"/>
      <c r="EH216" s="9"/>
      <c r="EI216" s="9"/>
      <c r="EJ216" s="9"/>
      <c r="EK216" s="9"/>
      <c r="EL216" s="9"/>
      <c r="EM216" s="9"/>
      <c r="EN216" s="9"/>
      <c r="EO216" s="9"/>
      <c r="EP216" s="9"/>
      <c r="EQ216" s="9"/>
      <c r="ER216" s="9"/>
      <c r="ES216" s="9"/>
      <c r="ET216" s="9"/>
      <c r="EU216" s="10"/>
      <c r="EV216" s="9"/>
      <c r="EW216" s="9"/>
      <c r="EX216" s="9"/>
      <c r="EY216" s="9"/>
      <c r="EZ216" s="9"/>
      <c r="FA216" s="9"/>
      <c r="FB216" s="9"/>
      <c r="FC216" s="9"/>
      <c r="FD216" s="9"/>
      <c r="FE216" s="9"/>
      <c r="FF216" s="9"/>
      <c r="FG216" s="9"/>
      <c r="FH216" s="9"/>
      <c r="FI216" s="9"/>
      <c r="FJ216" s="9"/>
      <c r="FK216" s="9"/>
      <c r="FL216" s="9"/>
      <c r="FM216" s="9"/>
      <c r="FN216" s="9"/>
      <c r="FO216" s="9"/>
      <c r="FP216" s="9"/>
      <c r="FQ216" s="9"/>
      <c r="FR216" s="9"/>
      <c r="FS216" s="9"/>
      <c r="FT216" s="9"/>
      <c r="FU216" s="9"/>
      <c r="FV216" s="9"/>
      <c r="FW216" s="10"/>
      <c r="FX216" s="9"/>
      <c r="FY216" s="9"/>
      <c r="FZ216" s="9"/>
      <c r="GA216" s="9"/>
      <c r="GB216" s="9"/>
      <c r="GC216" s="9"/>
      <c r="GD216" s="9"/>
      <c r="GE216" s="9"/>
      <c r="GF216" s="9"/>
      <c r="GG216" s="9"/>
      <c r="GH216" s="9"/>
      <c r="GI216" s="9"/>
      <c r="GJ216" s="9"/>
      <c r="GK216" s="9"/>
      <c r="GL216" s="9"/>
      <c r="GM216" s="9"/>
      <c r="GN216" s="9"/>
      <c r="GO216" s="9"/>
      <c r="GP216" s="9"/>
      <c r="GQ216" s="9"/>
      <c r="GR216" s="9"/>
      <c r="GS216" s="9"/>
      <c r="GT216" s="9"/>
      <c r="GU216" s="9"/>
      <c r="GV216" s="9"/>
      <c r="GW216" s="9"/>
      <c r="GX216" s="9"/>
      <c r="GY216" s="10"/>
      <c r="GZ216" s="9"/>
      <c r="HA216" s="9"/>
    </row>
    <row r="217" spans="1:209" s="2" customFormat="1" ht="17" customHeight="1">
      <c r="A217" s="46" t="s">
        <v>214</v>
      </c>
      <c r="B217" s="35">
        <v>0</v>
      </c>
      <c r="C217" s="35">
        <v>0</v>
      </c>
      <c r="D217" s="4">
        <f t="shared" si="57"/>
        <v>1</v>
      </c>
      <c r="E217" s="11">
        <v>10</v>
      </c>
      <c r="F217" s="5" t="s">
        <v>362</v>
      </c>
      <c r="G217" s="5" t="s">
        <v>362</v>
      </c>
      <c r="H217" s="5" t="s">
        <v>362</v>
      </c>
      <c r="I217" s="5" t="s">
        <v>362</v>
      </c>
      <c r="J217" s="5" t="s">
        <v>362</v>
      </c>
      <c r="K217" s="5" t="s">
        <v>362</v>
      </c>
      <c r="L217" s="5" t="s">
        <v>362</v>
      </c>
      <c r="M217" s="5" t="s">
        <v>362</v>
      </c>
      <c r="N217" s="35">
        <v>3906.9</v>
      </c>
      <c r="O217" s="35">
        <v>2310</v>
      </c>
      <c r="P217" s="4">
        <f t="shared" si="58"/>
        <v>0.59126161406741917</v>
      </c>
      <c r="Q217" s="11">
        <v>20</v>
      </c>
      <c r="R217" s="35">
        <v>182</v>
      </c>
      <c r="S217" s="35">
        <v>191</v>
      </c>
      <c r="T217" s="4">
        <f t="shared" si="59"/>
        <v>1.0494505494505495</v>
      </c>
      <c r="U217" s="11">
        <v>30</v>
      </c>
      <c r="V217" s="35">
        <v>15</v>
      </c>
      <c r="W217" s="35">
        <v>15.4</v>
      </c>
      <c r="X217" s="4">
        <f t="shared" si="60"/>
        <v>1.0266666666666666</v>
      </c>
      <c r="Y217" s="11">
        <v>20</v>
      </c>
      <c r="Z217" s="35">
        <v>4840.2</v>
      </c>
      <c r="AA217" s="35">
        <v>4621</v>
      </c>
      <c r="AB217" s="4">
        <f t="shared" si="61"/>
        <v>0.95471261518119088</v>
      </c>
      <c r="AC217" s="11">
        <v>5</v>
      </c>
      <c r="AD217" s="11">
        <v>922</v>
      </c>
      <c r="AE217" s="11">
        <v>929</v>
      </c>
      <c r="AF217" s="4">
        <f t="shared" si="62"/>
        <v>1.007592190889371</v>
      </c>
      <c r="AG217" s="11">
        <v>20</v>
      </c>
      <c r="AH217" s="5" t="s">
        <v>362</v>
      </c>
      <c r="AI217" s="5" t="s">
        <v>362</v>
      </c>
      <c r="AJ217" s="5" t="s">
        <v>362</v>
      </c>
      <c r="AK217" s="5" t="s">
        <v>362</v>
      </c>
      <c r="AL217" s="5" t="s">
        <v>362</v>
      </c>
      <c r="AM217" s="5" t="s">
        <v>362</v>
      </c>
      <c r="AN217" s="5" t="s">
        <v>362</v>
      </c>
      <c r="AO217" s="5" t="s">
        <v>362</v>
      </c>
      <c r="AP217" s="44">
        <f t="shared" si="71"/>
        <v>0.9406427523037294</v>
      </c>
      <c r="AQ217" s="45">
        <v>641</v>
      </c>
      <c r="AR217" s="35">
        <f t="shared" si="63"/>
        <v>174.81818181818181</v>
      </c>
      <c r="AS217" s="35">
        <f t="shared" si="64"/>
        <v>164.4</v>
      </c>
      <c r="AT217" s="35">
        <f t="shared" si="65"/>
        <v>-10.418181818181807</v>
      </c>
      <c r="AU217" s="35">
        <v>45.9</v>
      </c>
      <c r="AV217" s="35">
        <v>53.5</v>
      </c>
      <c r="AW217" s="35">
        <f t="shared" si="66"/>
        <v>65</v>
      </c>
      <c r="AX217" s="35"/>
      <c r="AY217" s="35">
        <f t="shared" si="67"/>
        <v>65</v>
      </c>
      <c r="AZ217" s="35">
        <v>0</v>
      </c>
      <c r="BA217" s="35">
        <f t="shared" si="68"/>
        <v>65</v>
      </c>
      <c r="BB217" s="35">
        <f>MIN(BA217,6.6)</f>
        <v>6.6</v>
      </c>
      <c r="BC217" s="35">
        <f t="shared" si="69"/>
        <v>58.4</v>
      </c>
      <c r="BD217" s="35">
        <v>58.3</v>
      </c>
      <c r="BE217" s="35">
        <f t="shared" si="70"/>
        <v>0.1</v>
      </c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9"/>
      <c r="BU217" s="9"/>
      <c r="BV217" s="9"/>
      <c r="BW217" s="9"/>
      <c r="BX217" s="9"/>
      <c r="BY217" s="9"/>
      <c r="BZ217" s="9"/>
      <c r="CA217" s="9"/>
      <c r="CB217" s="9"/>
      <c r="CC217" s="9"/>
      <c r="CD217" s="9"/>
      <c r="CE217" s="9"/>
      <c r="CF217" s="9"/>
      <c r="CG217" s="9"/>
      <c r="CH217" s="9"/>
      <c r="CI217" s="9"/>
      <c r="CJ217" s="9"/>
      <c r="CK217" s="9"/>
      <c r="CL217" s="9"/>
      <c r="CM217" s="9"/>
      <c r="CN217" s="9"/>
      <c r="CO217" s="9"/>
      <c r="CP217" s="9"/>
      <c r="CQ217" s="10"/>
      <c r="CR217" s="9"/>
      <c r="CS217" s="9"/>
      <c r="CT217" s="9"/>
      <c r="CU217" s="9"/>
      <c r="CV217" s="9"/>
      <c r="CW217" s="9"/>
      <c r="CX217" s="9"/>
      <c r="CY217" s="9"/>
      <c r="CZ217" s="9"/>
      <c r="DA217" s="9"/>
      <c r="DB217" s="9"/>
      <c r="DC217" s="9"/>
      <c r="DD217" s="9"/>
      <c r="DE217" s="9"/>
      <c r="DF217" s="9"/>
      <c r="DG217" s="9"/>
      <c r="DH217" s="9"/>
      <c r="DI217" s="9"/>
      <c r="DJ217" s="9"/>
      <c r="DK217" s="9"/>
      <c r="DL217" s="9"/>
      <c r="DM217" s="9"/>
      <c r="DN217" s="9"/>
      <c r="DO217" s="9"/>
      <c r="DP217" s="9"/>
      <c r="DQ217" s="9"/>
      <c r="DR217" s="9"/>
      <c r="DS217" s="10"/>
      <c r="DT217" s="9"/>
      <c r="DU217" s="9"/>
      <c r="DV217" s="9"/>
      <c r="DW217" s="9"/>
      <c r="DX217" s="9"/>
      <c r="DY217" s="9"/>
      <c r="DZ217" s="9"/>
      <c r="EA217" s="9"/>
      <c r="EB217" s="9"/>
      <c r="EC217" s="9"/>
      <c r="ED217" s="9"/>
      <c r="EE217" s="9"/>
      <c r="EF217" s="9"/>
      <c r="EG217" s="9"/>
      <c r="EH217" s="9"/>
      <c r="EI217" s="9"/>
      <c r="EJ217" s="9"/>
      <c r="EK217" s="9"/>
      <c r="EL217" s="9"/>
      <c r="EM217" s="9"/>
      <c r="EN217" s="9"/>
      <c r="EO217" s="9"/>
      <c r="EP217" s="9"/>
      <c r="EQ217" s="9"/>
      <c r="ER217" s="9"/>
      <c r="ES217" s="9"/>
      <c r="ET217" s="9"/>
      <c r="EU217" s="10"/>
      <c r="EV217" s="9"/>
      <c r="EW217" s="9"/>
      <c r="EX217" s="9"/>
      <c r="EY217" s="9"/>
      <c r="EZ217" s="9"/>
      <c r="FA217" s="9"/>
      <c r="FB217" s="9"/>
      <c r="FC217" s="9"/>
      <c r="FD217" s="9"/>
      <c r="FE217" s="9"/>
      <c r="FF217" s="9"/>
      <c r="FG217" s="9"/>
      <c r="FH217" s="9"/>
      <c r="FI217" s="9"/>
      <c r="FJ217" s="9"/>
      <c r="FK217" s="9"/>
      <c r="FL217" s="9"/>
      <c r="FM217" s="9"/>
      <c r="FN217" s="9"/>
      <c r="FO217" s="9"/>
      <c r="FP217" s="9"/>
      <c r="FQ217" s="9"/>
      <c r="FR217" s="9"/>
      <c r="FS217" s="9"/>
      <c r="FT217" s="9"/>
      <c r="FU217" s="9"/>
      <c r="FV217" s="9"/>
      <c r="FW217" s="10"/>
      <c r="FX217" s="9"/>
      <c r="FY217" s="9"/>
      <c r="FZ217" s="9"/>
      <c r="GA217" s="9"/>
      <c r="GB217" s="9"/>
      <c r="GC217" s="9"/>
      <c r="GD217" s="9"/>
      <c r="GE217" s="9"/>
      <c r="GF217" s="9"/>
      <c r="GG217" s="9"/>
      <c r="GH217" s="9"/>
      <c r="GI217" s="9"/>
      <c r="GJ217" s="9"/>
      <c r="GK217" s="9"/>
      <c r="GL217" s="9"/>
      <c r="GM217" s="9"/>
      <c r="GN217" s="9"/>
      <c r="GO217" s="9"/>
      <c r="GP217" s="9"/>
      <c r="GQ217" s="9"/>
      <c r="GR217" s="9"/>
      <c r="GS217" s="9"/>
      <c r="GT217" s="9"/>
      <c r="GU217" s="9"/>
      <c r="GV217" s="9"/>
      <c r="GW217" s="9"/>
      <c r="GX217" s="9"/>
      <c r="GY217" s="10"/>
      <c r="GZ217" s="9"/>
      <c r="HA217" s="9"/>
    </row>
    <row r="218" spans="1:209" s="2" customFormat="1" ht="17" customHeight="1">
      <c r="A218" s="46" t="s">
        <v>215</v>
      </c>
      <c r="B218" s="35">
        <v>0</v>
      </c>
      <c r="C218" s="35">
        <v>0</v>
      </c>
      <c r="D218" s="4">
        <f t="shared" si="57"/>
        <v>0</v>
      </c>
      <c r="E218" s="11">
        <v>0</v>
      </c>
      <c r="F218" s="5" t="s">
        <v>362</v>
      </c>
      <c r="G218" s="5" t="s">
        <v>362</v>
      </c>
      <c r="H218" s="5" t="s">
        <v>362</v>
      </c>
      <c r="I218" s="5" t="s">
        <v>362</v>
      </c>
      <c r="J218" s="5" t="s">
        <v>362</v>
      </c>
      <c r="K218" s="5" t="s">
        <v>362</v>
      </c>
      <c r="L218" s="5" t="s">
        <v>362</v>
      </c>
      <c r="M218" s="5" t="s">
        <v>362</v>
      </c>
      <c r="N218" s="35">
        <v>166.8</v>
      </c>
      <c r="O218" s="35">
        <v>104.8</v>
      </c>
      <c r="P218" s="4">
        <f t="shared" si="58"/>
        <v>0.62829736211031173</v>
      </c>
      <c r="Q218" s="11">
        <v>20</v>
      </c>
      <c r="R218" s="35">
        <v>99</v>
      </c>
      <c r="S218" s="35">
        <v>83.9</v>
      </c>
      <c r="T218" s="4">
        <f t="shared" si="59"/>
        <v>0.84747474747474749</v>
      </c>
      <c r="U218" s="11">
        <v>40</v>
      </c>
      <c r="V218" s="35">
        <v>0.9</v>
      </c>
      <c r="W218" s="35">
        <v>3.5</v>
      </c>
      <c r="X218" s="4">
        <f t="shared" si="60"/>
        <v>1.3</v>
      </c>
      <c r="Y218" s="11">
        <v>10</v>
      </c>
      <c r="Z218" s="35">
        <v>2992.5</v>
      </c>
      <c r="AA218" s="35">
        <v>3301</v>
      </c>
      <c r="AB218" s="4">
        <f t="shared" si="61"/>
        <v>1.1030910609857978</v>
      </c>
      <c r="AC218" s="11">
        <v>5</v>
      </c>
      <c r="AD218" s="11">
        <v>238</v>
      </c>
      <c r="AE218" s="11">
        <v>260</v>
      </c>
      <c r="AF218" s="4">
        <f t="shared" si="62"/>
        <v>1.0924369747899159</v>
      </c>
      <c r="AG218" s="11">
        <v>20</v>
      </c>
      <c r="AH218" s="5" t="s">
        <v>362</v>
      </c>
      <c r="AI218" s="5" t="s">
        <v>362</v>
      </c>
      <c r="AJ218" s="5" t="s">
        <v>362</v>
      </c>
      <c r="AK218" s="5" t="s">
        <v>362</v>
      </c>
      <c r="AL218" s="5" t="s">
        <v>362</v>
      </c>
      <c r="AM218" s="5" t="s">
        <v>362</v>
      </c>
      <c r="AN218" s="5" t="s">
        <v>362</v>
      </c>
      <c r="AO218" s="5" t="s">
        <v>362</v>
      </c>
      <c r="AP218" s="44">
        <f t="shared" si="71"/>
        <v>0.91399086254656248</v>
      </c>
      <c r="AQ218" s="45">
        <v>730</v>
      </c>
      <c r="AR218" s="35">
        <f t="shared" si="63"/>
        <v>199.09090909090907</v>
      </c>
      <c r="AS218" s="35">
        <f t="shared" si="64"/>
        <v>182</v>
      </c>
      <c r="AT218" s="35">
        <f t="shared" si="65"/>
        <v>-17.090909090909065</v>
      </c>
      <c r="AU218" s="35">
        <v>74.3</v>
      </c>
      <c r="AV218" s="35">
        <v>59.7</v>
      </c>
      <c r="AW218" s="35">
        <f t="shared" si="66"/>
        <v>48</v>
      </c>
      <c r="AX218" s="35"/>
      <c r="AY218" s="35">
        <f t="shared" si="67"/>
        <v>48</v>
      </c>
      <c r="AZ218" s="35">
        <v>0</v>
      </c>
      <c r="BA218" s="35">
        <f t="shared" si="68"/>
        <v>48</v>
      </c>
      <c r="BB218" s="35">
        <f>MIN(BA218,16.6)</f>
        <v>16.600000000000001</v>
      </c>
      <c r="BC218" s="35">
        <f t="shared" si="69"/>
        <v>31.4</v>
      </c>
      <c r="BD218" s="35">
        <v>29.3</v>
      </c>
      <c r="BE218" s="35">
        <f t="shared" si="70"/>
        <v>2.1</v>
      </c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9"/>
      <c r="BU218" s="9"/>
      <c r="BV218" s="9"/>
      <c r="BW218" s="9"/>
      <c r="BX218" s="9"/>
      <c r="BY218" s="9"/>
      <c r="BZ218" s="9"/>
      <c r="CA218" s="9"/>
      <c r="CB218" s="9"/>
      <c r="CC218" s="9"/>
      <c r="CD218" s="9"/>
      <c r="CE218" s="9"/>
      <c r="CF218" s="9"/>
      <c r="CG218" s="9"/>
      <c r="CH218" s="9"/>
      <c r="CI218" s="9"/>
      <c r="CJ218" s="9"/>
      <c r="CK218" s="9"/>
      <c r="CL218" s="9"/>
      <c r="CM218" s="9"/>
      <c r="CN218" s="9"/>
      <c r="CO218" s="9"/>
      <c r="CP218" s="9"/>
      <c r="CQ218" s="10"/>
      <c r="CR218" s="9"/>
      <c r="CS218" s="9"/>
      <c r="CT218" s="9"/>
      <c r="CU218" s="9"/>
      <c r="CV218" s="9"/>
      <c r="CW218" s="9"/>
      <c r="CX218" s="9"/>
      <c r="CY218" s="9"/>
      <c r="CZ218" s="9"/>
      <c r="DA218" s="9"/>
      <c r="DB218" s="9"/>
      <c r="DC218" s="9"/>
      <c r="DD218" s="9"/>
      <c r="DE218" s="9"/>
      <c r="DF218" s="9"/>
      <c r="DG218" s="9"/>
      <c r="DH218" s="9"/>
      <c r="DI218" s="9"/>
      <c r="DJ218" s="9"/>
      <c r="DK218" s="9"/>
      <c r="DL218" s="9"/>
      <c r="DM218" s="9"/>
      <c r="DN218" s="9"/>
      <c r="DO218" s="9"/>
      <c r="DP218" s="9"/>
      <c r="DQ218" s="9"/>
      <c r="DR218" s="9"/>
      <c r="DS218" s="10"/>
      <c r="DT218" s="9"/>
      <c r="DU218" s="9"/>
      <c r="DV218" s="9"/>
      <c r="DW218" s="9"/>
      <c r="DX218" s="9"/>
      <c r="DY218" s="9"/>
      <c r="DZ218" s="9"/>
      <c r="EA218" s="9"/>
      <c r="EB218" s="9"/>
      <c r="EC218" s="9"/>
      <c r="ED218" s="9"/>
      <c r="EE218" s="9"/>
      <c r="EF218" s="9"/>
      <c r="EG218" s="9"/>
      <c r="EH218" s="9"/>
      <c r="EI218" s="9"/>
      <c r="EJ218" s="9"/>
      <c r="EK218" s="9"/>
      <c r="EL218" s="9"/>
      <c r="EM218" s="9"/>
      <c r="EN218" s="9"/>
      <c r="EO218" s="9"/>
      <c r="EP218" s="9"/>
      <c r="EQ218" s="9"/>
      <c r="ER218" s="9"/>
      <c r="ES218" s="9"/>
      <c r="ET218" s="9"/>
      <c r="EU218" s="10"/>
      <c r="EV218" s="9"/>
      <c r="EW218" s="9"/>
      <c r="EX218" s="9"/>
      <c r="EY218" s="9"/>
      <c r="EZ218" s="9"/>
      <c r="FA218" s="9"/>
      <c r="FB218" s="9"/>
      <c r="FC218" s="9"/>
      <c r="FD218" s="9"/>
      <c r="FE218" s="9"/>
      <c r="FF218" s="9"/>
      <c r="FG218" s="9"/>
      <c r="FH218" s="9"/>
      <c r="FI218" s="9"/>
      <c r="FJ218" s="9"/>
      <c r="FK218" s="9"/>
      <c r="FL218" s="9"/>
      <c r="FM218" s="9"/>
      <c r="FN218" s="9"/>
      <c r="FO218" s="9"/>
      <c r="FP218" s="9"/>
      <c r="FQ218" s="9"/>
      <c r="FR218" s="9"/>
      <c r="FS218" s="9"/>
      <c r="FT218" s="9"/>
      <c r="FU218" s="9"/>
      <c r="FV218" s="9"/>
      <c r="FW218" s="10"/>
      <c r="FX218" s="9"/>
      <c r="FY218" s="9"/>
      <c r="FZ218" s="9"/>
      <c r="GA218" s="9"/>
      <c r="GB218" s="9"/>
      <c r="GC218" s="9"/>
      <c r="GD218" s="9"/>
      <c r="GE218" s="9"/>
      <c r="GF218" s="9"/>
      <c r="GG218" s="9"/>
      <c r="GH218" s="9"/>
      <c r="GI218" s="9"/>
      <c r="GJ218" s="9"/>
      <c r="GK218" s="9"/>
      <c r="GL218" s="9"/>
      <c r="GM218" s="9"/>
      <c r="GN218" s="9"/>
      <c r="GO218" s="9"/>
      <c r="GP218" s="9"/>
      <c r="GQ218" s="9"/>
      <c r="GR218" s="9"/>
      <c r="GS218" s="9"/>
      <c r="GT218" s="9"/>
      <c r="GU218" s="9"/>
      <c r="GV218" s="9"/>
      <c r="GW218" s="9"/>
      <c r="GX218" s="9"/>
      <c r="GY218" s="10"/>
      <c r="GZ218" s="9"/>
      <c r="HA218" s="9"/>
    </row>
    <row r="219" spans="1:209" s="2" customFormat="1" ht="17" customHeight="1">
      <c r="A219" s="18" t="s">
        <v>216</v>
      </c>
      <c r="B219" s="6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35"/>
      <c r="AA219" s="35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  <c r="AR219" s="11"/>
      <c r="AS219" s="11"/>
      <c r="AT219" s="11"/>
      <c r="AU219" s="11"/>
      <c r="AV219" s="11"/>
      <c r="AW219" s="11"/>
      <c r="AX219" s="11"/>
      <c r="AY219" s="11"/>
      <c r="AZ219" s="11"/>
      <c r="BA219" s="11"/>
      <c r="BB219" s="11"/>
      <c r="BC219" s="35"/>
      <c r="BD219" s="35"/>
      <c r="BE219" s="35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9"/>
      <c r="BU219" s="9"/>
      <c r="BV219" s="9"/>
      <c r="BW219" s="9"/>
      <c r="BX219" s="9"/>
      <c r="BY219" s="9"/>
      <c r="BZ219" s="9"/>
      <c r="CA219" s="9"/>
      <c r="CB219" s="9"/>
      <c r="CC219" s="9"/>
      <c r="CD219" s="9"/>
      <c r="CE219" s="9"/>
      <c r="CF219" s="9"/>
      <c r="CG219" s="9"/>
      <c r="CH219" s="9"/>
      <c r="CI219" s="9"/>
      <c r="CJ219" s="9"/>
      <c r="CK219" s="9"/>
      <c r="CL219" s="9"/>
      <c r="CM219" s="9"/>
      <c r="CN219" s="9"/>
      <c r="CO219" s="9"/>
      <c r="CP219" s="9"/>
      <c r="CQ219" s="10"/>
      <c r="CR219" s="9"/>
      <c r="CS219" s="9"/>
      <c r="CT219" s="9"/>
      <c r="CU219" s="9"/>
      <c r="CV219" s="9"/>
      <c r="CW219" s="9"/>
      <c r="CX219" s="9"/>
      <c r="CY219" s="9"/>
      <c r="CZ219" s="9"/>
      <c r="DA219" s="9"/>
      <c r="DB219" s="9"/>
      <c r="DC219" s="9"/>
      <c r="DD219" s="9"/>
      <c r="DE219" s="9"/>
      <c r="DF219" s="9"/>
      <c r="DG219" s="9"/>
      <c r="DH219" s="9"/>
      <c r="DI219" s="9"/>
      <c r="DJ219" s="9"/>
      <c r="DK219" s="9"/>
      <c r="DL219" s="9"/>
      <c r="DM219" s="9"/>
      <c r="DN219" s="9"/>
      <c r="DO219" s="9"/>
      <c r="DP219" s="9"/>
      <c r="DQ219" s="9"/>
      <c r="DR219" s="9"/>
      <c r="DS219" s="10"/>
      <c r="DT219" s="9"/>
      <c r="DU219" s="9"/>
      <c r="DV219" s="9"/>
      <c r="DW219" s="9"/>
      <c r="DX219" s="9"/>
      <c r="DY219" s="9"/>
      <c r="DZ219" s="9"/>
      <c r="EA219" s="9"/>
      <c r="EB219" s="9"/>
      <c r="EC219" s="9"/>
      <c r="ED219" s="9"/>
      <c r="EE219" s="9"/>
      <c r="EF219" s="9"/>
      <c r="EG219" s="9"/>
      <c r="EH219" s="9"/>
      <c r="EI219" s="9"/>
      <c r="EJ219" s="9"/>
      <c r="EK219" s="9"/>
      <c r="EL219" s="9"/>
      <c r="EM219" s="9"/>
      <c r="EN219" s="9"/>
      <c r="EO219" s="9"/>
      <c r="EP219" s="9"/>
      <c r="EQ219" s="9"/>
      <c r="ER219" s="9"/>
      <c r="ES219" s="9"/>
      <c r="ET219" s="9"/>
      <c r="EU219" s="10"/>
      <c r="EV219" s="9"/>
      <c r="EW219" s="9"/>
      <c r="EX219" s="9"/>
      <c r="EY219" s="9"/>
      <c r="EZ219" s="9"/>
      <c r="FA219" s="9"/>
      <c r="FB219" s="9"/>
      <c r="FC219" s="9"/>
      <c r="FD219" s="9"/>
      <c r="FE219" s="9"/>
      <c r="FF219" s="9"/>
      <c r="FG219" s="9"/>
      <c r="FH219" s="9"/>
      <c r="FI219" s="9"/>
      <c r="FJ219" s="9"/>
      <c r="FK219" s="9"/>
      <c r="FL219" s="9"/>
      <c r="FM219" s="9"/>
      <c r="FN219" s="9"/>
      <c r="FO219" s="9"/>
      <c r="FP219" s="9"/>
      <c r="FQ219" s="9"/>
      <c r="FR219" s="9"/>
      <c r="FS219" s="9"/>
      <c r="FT219" s="9"/>
      <c r="FU219" s="9"/>
      <c r="FV219" s="9"/>
      <c r="FW219" s="10"/>
      <c r="FX219" s="9"/>
      <c r="FY219" s="9"/>
      <c r="FZ219" s="9"/>
      <c r="GA219" s="9"/>
      <c r="GB219" s="9"/>
      <c r="GC219" s="9"/>
      <c r="GD219" s="9"/>
      <c r="GE219" s="9"/>
      <c r="GF219" s="9"/>
      <c r="GG219" s="9"/>
      <c r="GH219" s="9"/>
      <c r="GI219" s="9"/>
      <c r="GJ219" s="9"/>
      <c r="GK219" s="9"/>
      <c r="GL219" s="9"/>
      <c r="GM219" s="9"/>
      <c r="GN219" s="9"/>
      <c r="GO219" s="9"/>
      <c r="GP219" s="9"/>
      <c r="GQ219" s="9"/>
      <c r="GR219" s="9"/>
      <c r="GS219" s="9"/>
      <c r="GT219" s="9"/>
      <c r="GU219" s="9"/>
      <c r="GV219" s="9"/>
      <c r="GW219" s="9"/>
      <c r="GX219" s="9"/>
      <c r="GY219" s="10"/>
      <c r="GZ219" s="9"/>
      <c r="HA219" s="9"/>
    </row>
    <row r="220" spans="1:209" s="2" customFormat="1" ht="17" customHeight="1">
      <c r="A220" s="14" t="s">
        <v>217</v>
      </c>
      <c r="B220" s="35">
        <v>0</v>
      </c>
      <c r="C220" s="35">
        <v>0</v>
      </c>
      <c r="D220" s="4">
        <f t="shared" si="57"/>
        <v>0</v>
      </c>
      <c r="E220" s="11">
        <v>0</v>
      </c>
      <c r="F220" s="5" t="s">
        <v>362</v>
      </c>
      <c r="G220" s="5" t="s">
        <v>362</v>
      </c>
      <c r="H220" s="5" t="s">
        <v>362</v>
      </c>
      <c r="I220" s="5" t="s">
        <v>362</v>
      </c>
      <c r="J220" s="5" t="s">
        <v>362</v>
      </c>
      <c r="K220" s="5" t="s">
        <v>362</v>
      </c>
      <c r="L220" s="5" t="s">
        <v>362</v>
      </c>
      <c r="M220" s="5" t="s">
        <v>362</v>
      </c>
      <c r="N220" s="35">
        <v>389.2</v>
      </c>
      <c r="O220" s="35">
        <v>178.3</v>
      </c>
      <c r="P220" s="4">
        <f t="shared" si="58"/>
        <v>0.45811921891058588</v>
      </c>
      <c r="Q220" s="11">
        <v>20</v>
      </c>
      <c r="R220" s="35">
        <v>0</v>
      </c>
      <c r="S220" s="35">
        <v>0.2</v>
      </c>
      <c r="T220" s="4">
        <f t="shared" si="59"/>
        <v>1</v>
      </c>
      <c r="U220" s="11">
        <v>20</v>
      </c>
      <c r="V220" s="35">
        <v>0.5</v>
      </c>
      <c r="W220" s="35">
        <v>1</v>
      </c>
      <c r="X220" s="4">
        <f t="shared" si="60"/>
        <v>1.28</v>
      </c>
      <c r="Y220" s="11">
        <v>30</v>
      </c>
      <c r="Z220" s="35">
        <v>1814</v>
      </c>
      <c r="AA220" s="35">
        <v>1829</v>
      </c>
      <c r="AB220" s="4">
        <f t="shared" si="61"/>
        <v>1.0082690187431091</v>
      </c>
      <c r="AC220" s="11">
        <v>5</v>
      </c>
      <c r="AD220" s="11">
        <v>55</v>
      </c>
      <c r="AE220" s="11">
        <v>54</v>
      </c>
      <c r="AF220" s="4">
        <f t="shared" si="62"/>
        <v>0.98181818181818181</v>
      </c>
      <c r="AG220" s="11">
        <v>20</v>
      </c>
      <c r="AH220" s="5" t="s">
        <v>362</v>
      </c>
      <c r="AI220" s="5" t="s">
        <v>362</v>
      </c>
      <c r="AJ220" s="5" t="s">
        <v>362</v>
      </c>
      <c r="AK220" s="5" t="s">
        <v>362</v>
      </c>
      <c r="AL220" s="5" t="s">
        <v>362</v>
      </c>
      <c r="AM220" s="5" t="s">
        <v>362</v>
      </c>
      <c r="AN220" s="5" t="s">
        <v>362</v>
      </c>
      <c r="AO220" s="5" t="s">
        <v>362</v>
      </c>
      <c r="AP220" s="44">
        <f t="shared" si="71"/>
        <v>0.97094834850832534</v>
      </c>
      <c r="AQ220" s="45">
        <v>874</v>
      </c>
      <c r="AR220" s="35">
        <f t="shared" si="63"/>
        <v>238.36363636363637</v>
      </c>
      <c r="AS220" s="35">
        <f t="shared" si="64"/>
        <v>231.4</v>
      </c>
      <c r="AT220" s="35">
        <f t="shared" si="65"/>
        <v>-6.9636363636363683</v>
      </c>
      <c r="AU220" s="35">
        <v>84.3</v>
      </c>
      <c r="AV220" s="35">
        <v>67.900000000000006</v>
      </c>
      <c r="AW220" s="35">
        <f t="shared" si="66"/>
        <v>79.2</v>
      </c>
      <c r="AX220" s="35"/>
      <c r="AY220" s="35">
        <f t="shared" si="67"/>
        <v>79.2</v>
      </c>
      <c r="AZ220" s="35">
        <v>0</v>
      </c>
      <c r="BA220" s="35">
        <f t="shared" si="68"/>
        <v>79.2</v>
      </c>
      <c r="BB220" s="35">
        <f>MIN(BA220,39.7)</f>
        <v>39.700000000000003</v>
      </c>
      <c r="BC220" s="35">
        <f t="shared" si="69"/>
        <v>39.5</v>
      </c>
      <c r="BD220" s="35">
        <v>39</v>
      </c>
      <c r="BE220" s="35">
        <f t="shared" si="70"/>
        <v>0.5</v>
      </c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9"/>
      <c r="BU220" s="9"/>
      <c r="BV220" s="9"/>
      <c r="BW220" s="9"/>
      <c r="BX220" s="9"/>
      <c r="BY220" s="9"/>
      <c r="BZ220" s="9"/>
      <c r="CA220" s="9"/>
      <c r="CB220" s="9"/>
      <c r="CC220" s="9"/>
      <c r="CD220" s="9"/>
      <c r="CE220" s="9"/>
      <c r="CF220" s="9"/>
      <c r="CG220" s="9"/>
      <c r="CH220" s="9"/>
      <c r="CI220" s="9"/>
      <c r="CJ220" s="9"/>
      <c r="CK220" s="9"/>
      <c r="CL220" s="9"/>
      <c r="CM220" s="9"/>
      <c r="CN220" s="9"/>
      <c r="CO220" s="9"/>
      <c r="CP220" s="9"/>
      <c r="CQ220" s="10"/>
      <c r="CR220" s="9"/>
      <c r="CS220" s="9"/>
      <c r="CT220" s="9"/>
      <c r="CU220" s="9"/>
      <c r="CV220" s="9"/>
      <c r="CW220" s="9"/>
      <c r="CX220" s="9"/>
      <c r="CY220" s="9"/>
      <c r="CZ220" s="9"/>
      <c r="DA220" s="9"/>
      <c r="DB220" s="9"/>
      <c r="DC220" s="9"/>
      <c r="DD220" s="9"/>
      <c r="DE220" s="9"/>
      <c r="DF220" s="9"/>
      <c r="DG220" s="9"/>
      <c r="DH220" s="9"/>
      <c r="DI220" s="9"/>
      <c r="DJ220" s="9"/>
      <c r="DK220" s="9"/>
      <c r="DL220" s="9"/>
      <c r="DM220" s="9"/>
      <c r="DN220" s="9"/>
      <c r="DO220" s="9"/>
      <c r="DP220" s="9"/>
      <c r="DQ220" s="9"/>
      <c r="DR220" s="9"/>
      <c r="DS220" s="10"/>
      <c r="DT220" s="9"/>
      <c r="DU220" s="9"/>
      <c r="DV220" s="9"/>
      <c r="DW220" s="9"/>
      <c r="DX220" s="9"/>
      <c r="DY220" s="9"/>
      <c r="DZ220" s="9"/>
      <c r="EA220" s="9"/>
      <c r="EB220" s="9"/>
      <c r="EC220" s="9"/>
      <c r="ED220" s="9"/>
      <c r="EE220" s="9"/>
      <c r="EF220" s="9"/>
      <c r="EG220" s="9"/>
      <c r="EH220" s="9"/>
      <c r="EI220" s="9"/>
      <c r="EJ220" s="9"/>
      <c r="EK220" s="9"/>
      <c r="EL220" s="9"/>
      <c r="EM220" s="9"/>
      <c r="EN220" s="9"/>
      <c r="EO220" s="9"/>
      <c r="EP220" s="9"/>
      <c r="EQ220" s="9"/>
      <c r="ER220" s="9"/>
      <c r="ES220" s="9"/>
      <c r="ET220" s="9"/>
      <c r="EU220" s="10"/>
      <c r="EV220" s="9"/>
      <c r="EW220" s="9"/>
      <c r="EX220" s="9"/>
      <c r="EY220" s="9"/>
      <c r="EZ220" s="9"/>
      <c r="FA220" s="9"/>
      <c r="FB220" s="9"/>
      <c r="FC220" s="9"/>
      <c r="FD220" s="9"/>
      <c r="FE220" s="9"/>
      <c r="FF220" s="9"/>
      <c r="FG220" s="9"/>
      <c r="FH220" s="9"/>
      <c r="FI220" s="9"/>
      <c r="FJ220" s="9"/>
      <c r="FK220" s="9"/>
      <c r="FL220" s="9"/>
      <c r="FM220" s="9"/>
      <c r="FN220" s="9"/>
      <c r="FO220" s="9"/>
      <c r="FP220" s="9"/>
      <c r="FQ220" s="9"/>
      <c r="FR220" s="9"/>
      <c r="FS220" s="9"/>
      <c r="FT220" s="9"/>
      <c r="FU220" s="9"/>
      <c r="FV220" s="9"/>
      <c r="FW220" s="10"/>
      <c r="FX220" s="9"/>
      <c r="FY220" s="9"/>
      <c r="FZ220" s="9"/>
      <c r="GA220" s="9"/>
      <c r="GB220" s="9"/>
      <c r="GC220" s="9"/>
      <c r="GD220" s="9"/>
      <c r="GE220" s="9"/>
      <c r="GF220" s="9"/>
      <c r="GG220" s="9"/>
      <c r="GH220" s="9"/>
      <c r="GI220" s="9"/>
      <c r="GJ220" s="9"/>
      <c r="GK220" s="9"/>
      <c r="GL220" s="9"/>
      <c r="GM220" s="9"/>
      <c r="GN220" s="9"/>
      <c r="GO220" s="9"/>
      <c r="GP220" s="9"/>
      <c r="GQ220" s="9"/>
      <c r="GR220" s="9"/>
      <c r="GS220" s="9"/>
      <c r="GT220" s="9"/>
      <c r="GU220" s="9"/>
      <c r="GV220" s="9"/>
      <c r="GW220" s="9"/>
      <c r="GX220" s="9"/>
      <c r="GY220" s="10"/>
      <c r="GZ220" s="9"/>
      <c r="HA220" s="9"/>
    </row>
    <row r="221" spans="1:209" s="2" customFormat="1" ht="17" customHeight="1">
      <c r="A221" s="14" t="s">
        <v>146</v>
      </c>
      <c r="B221" s="35">
        <v>0</v>
      </c>
      <c r="C221" s="35">
        <v>0</v>
      </c>
      <c r="D221" s="4">
        <f t="shared" si="57"/>
        <v>0</v>
      </c>
      <c r="E221" s="11">
        <v>0</v>
      </c>
      <c r="F221" s="5" t="s">
        <v>362</v>
      </c>
      <c r="G221" s="5" t="s">
        <v>362</v>
      </c>
      <c r="H221" s="5" t="s">
        <v>362</v>
      </c>
      <c r="I221" s="5" t="s">
        <v>362</v>
      </c>
      <c r="J221" s="5" t="s">
        <v>362</v>
      </c>
      <c r="K221" s="5" t="s">
        <v>362</v>
      </c>
      <c r="L221" s="5" t="s">
        <v>362</v>
      </c>
      <c r="M221" s="5" t="s">
        <v>362</v>
      </c>
      <c r="N221" s="35">
        <v>210.2</v>
      </c>
      <c r="O221" s="35">
        <v>260.10000000000002</v>
      </c>
      <c r="P221" s="4">
        <f t="shared" si="58"/>
        <v>1.2037392959086584</v>
      </c>
      <c r="Q221" s="11">
        <v>20</v>
      </c>
      <c r="R221" s="35">
        <v>39.5</v>
      </c>
      <c r="S221" s="35">
        <v>47.7</v>
      </c>
      <c r="T221" s="4">
        <f t="shared" si="59"/>
        <v>1.2007594936708861</v>
      </c>
      <c r="U221" s="11">
        <v>30</v>
      </c>
      <c r="V221" s="35">
        <v>7</v>
      </c>
      <c r="W221" s="35">
        <v>8.6</v>
      </c>
      <c r="X221" s="4">
        <f t="shared" si="60"/>
        <v>1.2028571428571428</v>
      </c>
      <c r="Y221" s="11">
        <v>20</v>
      </c>
      <c r="Z221" s="35">
        <v>3358</v>
      </c>
      <c r="AA221" s="35">
        <v>3049</v>
      </c>
      <c r="AB221" s="4">
        <f t="shared" si="61"/>
        <v>0.9079809410363312</v>
      </c>
      <c r="AC221" s="11">
        <v>5</v>
      </c>
      <c r="AD221" s="11">
        <v>485</v>
      </c>
      <c r="AE221" s="11">
        <v>525</v>
      </c>
      <c r="AF221" s="4">
        <f t="shared" si="62"/>
        <v>1.0824742268041236</v>
      </c>
      <c r="AG221" s="11">
        <v>20</v>
      </c>
      <c r="AH221" s="5" t="s">
        <v>362</v>
      </c>
      <c r="AI221" s="5" t="s">
        <v>362</v>
      </c>
      <c r="AJ221" s="5" t="s">
        <v>362</v>
      </c>
      <c r="AK221" s="5" t="s">
        <v>362</v>
      </c>
      <c r="AL221" s="5" t="s">
        <v>362</v>
      </c>
      <c r="AM221" s="5" t="s">
        <v>362</v>
      </c>
      <c r="AN221" s="5" t="s">
        <v>362</v>
      </c>
      <c r="AO221" s="5" t="s">
        <v>362</v>
      </c>
      <c r="AP221" s="44">
        <f t="shared" si="71"/>
        <v>1.1615168718600708</v>
      </c>
      <c r="AQ221" s="45">
        <v>613</v>
      </c>
      <c r="AR221" s="35">
        <f t="shared" si="63"/>
        <v>167.18181818181819</v>
      </c>
      <c r="AS221" s="35">
        <f t="shared" si="64"/>
        <v>194.2</v>
      </c>
      <c r="AT221" s="35">
        <f t="shared" si="65"/>
        <v>27.018181818181802</v>
      </c>
      <c r="AU221" s="35">
        <v>67.400000000000006</v>
      </c>
      <c r="AV221" s="35">
        <v>60</v>
      </c>
      <c r="AW221" s="35">
        <f t="shared" si="66"/>
        <v>66.8</v>
      </c>
      <c r="AX221" s="35"/>
      <c r="AY221" s="35">
        <f t="shared" si="67"/>
        <v>66.8</v>
      </c>
      <c r="AZ221" s="35">
        <v>0</v>
      </c>
      <c r="BA221" s="35">
        <f t="shared" si="68"/>
        <v>66.8</v>
      </c>
      <c r="BB221" s="35">
        <f>MIN(BA221,2.5)</f>
        <v>2.5</v>
      </c>
      <c r="BC221" s="35">
        <f t="shared" si="69"/>
        <v>64.3</v>
      </c>
      <c r="BD221" s="35">
        <v>66.599999999999994</v>
      </c>
      <c r="BE221" s="35">
        <f t="shared" si="70"/>
        <v>-2.2999999999999998</v>
      </c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9"/>
      <c r="BU221" s="9"/>
      <c r="BV221" s="9"/>
      <c r="BW221" s="9"/>
      <c r="BX221" s="9"/>
      <c r="BY221" s="9"/>
      <c r="BZ221" s="9"/>
      <c r="CA221" s="9"/>
      <c r="CB221" s="9"/>
      <c r="CC221" s="9"/>
      <c r="CD221" s="9"/>
      <c r="CE221" s="9"/>
      <c r="CF221" s="9"/>
      <c r="CG221" s="9"/>
      <c r="CH221" s="9"/>
      <c r="CI221" s="9"/>
      <c r="CJ221" s="9"/>
      <c r="CK221" s="9"/>
      <c r="CL221" s="9"/>
      <c r="CM221" s="9"/>
      <c r="CN221" s="9"/>
      <c r="CO221" s="9"/>
      <c r="CP221" s="9"/>
      <c r="CQ221" s="10"/>
      <c r="CR221" s="9"/>
      <c r="CS221" s="9"/>
      <c r="CT221" s="9"/>
      <c r="CU221" s="9"/>
      <c r="CV221" s="9"/>
      <c r="CW221" s="9"/>
      <c r="CX221" s="9"/>
      <c r="CY221" s="9"/>
      <c r="CZ221" s="9"/>
      <c r="DA221" s="9"/>
      <c r="DB221" s="9"/>
      <c r="DC221" s="9"/>
      <c r="DD221" s="9"/>
      <c r="DE221" s="9"/>
      <c r="DF221" s="9"/>
      <c r="DG221" s="9"/>
      <c r="DH221" s="9"/>
      <c r="DI221" s="9"/>
      <c r="DJ221" s="9"/>
      <c r="DK221" s="9"/>
      <c r="DL221" s="9"/>
      <c r="DM221" s="9"/>
      <c r="DN221" s="9"/>
      <c r="DO221" s="9"/>
      <c r="DP221" s="9"/>
      <c r="DQ221" s="9"/>
      <c r="DR221" s="9"/>
      <c r="DS221" s="10"/>
      <c r="DT221" s="9"/>
      <c r="DU221" s="9"/>
      <c r="DV221" s="9"/>
      <c r="DW221" s="9"/>
      <c r="DX221" s="9"/>
      <c r="DY221" s="9"/>
      <c r="DZ221" s="9"/>
      <c r="EA221" s="9"/>
      <c r="EB221" s="9"/>
      <c r="EC221" s="9"/>
      <c r="ED221" s="9"/>
      <c r="EE221" s="9"/>
      <c r="EF221" s="9"/>
      <c r="EG221" s="9"/>
      <c r="EH221" s="9"/>
      <c r="EI221" s="9"/>
      <c r="EJ221" s="9"/>
      <c r="EK221" s="9"/>
      <c r="EL221" s="9"/>
      <c r="EM221" s="9"/>
      <c r="EN221" s="9"/>
      <c r="EO221" s="9"/>
      <c r="EP221" s="9"/>
      <c r="EQ221" s="9"/>
      <c r="ER221" s="9"/>
      <c r="ES221" s="9"/>
      <c r="ET221" s="9"/>
      <c r="EU221" s="10"/>
      <c r="EV221" s="9"/>
      <c r="EW221" s="9"/>
      <c r="EX221" s="9"/>
      <c r="EY221" s="9"/>
      <c r="EZ221" s="9"/>
      <c r="FA221" s="9"/>
      <c r="FB221" s="9"/>
      <c r="FC221" s="9"/>
      <c r="FD221" s="9"/>
      <c r="FE221" s="9"/>
      <c r="FF221" s="9"/>
      <c r="FG221" s="9"/>
      <c r="FH221" s="9"/>
      <c r="FI221" s="9"/>
      <c r="FJ221" s="9"/>
      <c r="FK221" s="9"/>
      <c r="FL221" s="9"/>
      <c r="FM221" s="9"/>
      <c r="FN221" s="9"/>
      <c r="FO221" s="9"/>
      <c r="FP221" s="9"/>
      <c r="FQ221" s="9"/>
      <c r="FR221" s="9"/>
      <c r="FS221" s="9"/>
      <c r="FT221" s="9"/>
      <c r="FU221" s="9"/>
      <c r="FV221" s="9"/>
      <c r="FW221" s="10"/>
      <c r="FX221" s="9"/>
      <c r="FY221" s="9"/>
      <c r="FZ221" s="9"/>
      <c r="GA221" s="9"/>
      <c r="GB221" s="9"/>
      <c r="GC221" s="9"/>
      <c r="GD221" s="9"/>
      <c r="GE221" s="9"/>
      <c r="GF221" s="9"/>
      <c r="GG221" s="9"/>
      <c r="GH221" s="9"/>
      <c r="GI221" s="9"/>
      <c r="GJ221" s="9"/>
      <c r="GK221" s="9"/>
      <c r="GL221" s="9"/>
      <c r="GM221" s="9"/>
      <c r="GN221" s="9"/>
      <c r="GO221" s="9"/>
      <c r="GP221" s="9"/>
      <c r="GQ221" s="9"/>
      <c r="GR221" s="9"/>
      <c r="GS221" s="9"/>
      <c r="GT221" s="9"/>
      <c r="GU221" s="9"/>
      <c r="GV221" s="9"/>
      <c r="GW221" s="9"/>
      <c r="GX221" s="9"/>
      <c r="GY221" s="10"/>
      <c r="GZ221" s="9"/>
      <c r="HA221" s="9"/>
    </row>
    <row r="222" spans="1:209" s="2" customFormat="1" ht="17" customHeight="1">
      <c r="A222" s="14" t="s">
        <v>218</v>
      </c>
      <c r="B222" s="35">
        <v>0</v>
      </c>
      <c r="C222" s="35">
        <v>0</v>
      </c>
      <c r="D222" s="4">
        <f t="shared" si="57"/>
        <v>0</v>
      </c>
      <c r="E222" s="11">
        <v>0</v>
      </c>
      <c r="F222" s="5" t="s">
        <v>362</v>
      </c>
      <c r="G222" s="5" t="s">
        <v>362</v>
      </c>
      <c r="H222" s="5" t="s">
        <v>362</v>
      </c>
      <c r="I222" s="5" t="s">
        <v>362</v>
      </c>
      <c r="J222" s="5" t="s">
        <v>362</v>
      </c>
      <c r="K222" s="5" t="s">
        <v>362</v>
      </c>
      <c r="L222" s="5" t="s">
        <v>362</v>
      </c>
      <c r="M222" s="5" t="s">
        <v>362</v>
      </c>
      <c r="N222" s="35">
        <v>304</v>
      </c>
      <c r="O222" s="35">
        <v>279.10000000000002</v>
      </c>
      <c r="P222" s="4">
        <f t="shared" si="58"/>
        <v>0.91809210526315799</v>
      </c>
      <c r="Q222" s="11">
        <v>20</v>
      </c>
      <c r="R222" s="35">
        <v>93</v>
      </c>
      <c r="S222" s="35">
        <v>94.4</v>
      </c>
      <c r="T222" s="4">
        <f t="shared" si="59"/>
        <v>1.0150537634408603</v>
      </c>
      <c r="U222" s="11">
        <v>15</v>
      </c>
      <c r="V222" s="35">
        <v>8</v>
      </c>
      <c r="W222" s="35">
        <v>10</v>
      </c>
      <c r="X222" s="4">
        <f t="shared" si="60"/>
        <v>1.2050000000000001</v>
      </c>
      <c r="Y222" s="11">
        <v>35</v>
      </c>
      <c r="Z222" s="35">
        <v>5154</v>
      </c>
      <c r="AA222" s="35">
        <v>5610</v>
      </c>
      <c r="AB222" s="4">
        <f t="shared" si="61"/>
        <v>1.0884749708963912</v>
      </c>
      <c r="AC222" s="11">
        <v>5</v>
      </c>
      <c r="AD222" s="11">
        <v>375</v>
      </c>
      <c r="AE222" s="11">
        <v>377</v>
      </c>
      <c r="AF222" s="4">
        <f t="shared" si="62"/>
        <v>1.0053333333333334</v>
      </c>
      <c r="AG222" s="11">
        <v>20</v>
      </c>
      <c r="AH222" s="5" t="s">
        <v>362</v>
      </c>
      <c r="AI222" s="5" t="s">
        <v>362</v>
      </c>
      <c r="AJ222" s="5" t="s">
        <v>362</v>
      </c>
      <c r="AK222" s="5" t="s">
        <v>362</v>
      </c>
      <c r="AL222" s="5" t="s">
        <v>362</v>
      </c>
      <c r="AM222" s="5" t="s">
        <v>362</v>
      </c>
      <c r="AN222" s="5" t="s">
        <v>362</v>
      </c>
      <c r="AO222" s="5" t="s">
        <v>362</v>
      </c>
      <c r="AP222" s="44">
        <f t="shared" si="71"/>
        <v>1.0664388429265756</v>
      </c>
      <c r="AQ222" s="45">
        <v>983</v>
      </c>
      <c r="AR222" s="35">
        <f t="shared" si="63"/>
        <v>268.09090909090907</v>
      </c>
      <c r="AS222" s="35">
        <f t="shared" si="64"/>
        <v>285.89999999999998</v>
      </c>
      <c r="AT222" s="35">
        <f t="shared" si="65"/>
        <v>17.809090909090912</v>
      </c>
      <c r="AU222" s="35">
        <v>75.7</v>
      </c>
      <c r="AV222" s="35">
        <v>101.6</v>
      </c>
      <c r="AW222" s="35">
        <f t="shared" si="66"/>
        <v>108.6</v>
      </c>
      <c r="AX222" s="35"/>
      <c r="AY222" s="35">
        <f t="shared" si="67"/>
        <v>108.6</v>
      </c>
      <c r="AZ222" s="35">
        <v>0</v>
      </c>
      <c r="BA222" s="35">
        <f t="shared" si="68"/>
        <v>108.6</v>
      </c>
      <c r="BB222" s="35">
        <f>MIN(BA222,37.9)</f>
        <v>37.9</v>
      </c>
      <c r="BC222" s="35">
        <f t="shared" si="69"/>
        <v>70.7</v>
      </c>
      <c r="BD222" s="35">
        <v>70.400000000000006</v>
      </c>
      <c r="BE222" s="35">
        <f t="shared" si="70"/>
        <v>0.3</v>
      </c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9"/>
      <c r="BU222" s="9"/>
      <c r="BV222" s="9"/>
      <c r="BW222" s="9"/>
      <c r="BX222" s="9"/>
      <c r="BY222" s="9"/>
      <c r="BZ222" s="9"/>
      <c r="CA222" s="9"/>
      <c r="CB222" s="9"/>
      <c r="CC222" s="9"/>
      <c r="CD222" s="9"/>
      <c r="CE222" s="9"/>
      <c r="CF222" s="9"/>
      <c r="CG222" s="9"/>
      <c r="CH222" s="9"/>
      <c r="CI222" s="9"/>
      <c r="CJ222" s="9"/>
      <c r="CK222" s="9"/>
      <c r="CL222" s="9"/>
      <c r="CM222" s="9"/>
      <c r="CN222" s="9"/>
      <c r="CO222" s="9"/>
      <c r="CP222" s="9"/>
      <c r="CQ222" s="10"/>
      <c r="CR222" s="9"/>
      <c r="CS222" s="9"/>
      <c r="CT222" s="9"/>
      <c r="CU222" s="9"/>
      <c r="CV222" s="9"/>
      <c r="CW222" s="9"/>
      <c r="CX222" s="9"/>
      <c r="CY222" s="9"/>
      <c r="CZ222" s="9"/>
      <c r="DA222" s="9"/>
      <c r="DB222" s="9"/>
      <c r="DC222" s="9"/>
      <c r="DD222" s="9"/>
      <c r="DE222" s="9"/>
      <c r="DF222" s="9"/>
      <c r="DG222" s="9"/>
      <c r="DH222" s="9"/>
      <c r="DI222" s="9"/>
      <c r="DJ222" s="9"/>
      <c r="DK222" s="9"/>
      <c r="DL222" s="9"/>
      <c r="DM222" s="9"/>
      <c r="DN222" s="9"/>
      <c r="DO222" s="9"/>
      <c r="DP222" s="9"/>
      <c r="DQ222" s="9"/>
      <c r="DR222" s="9"/>
      <c r="DS222" s="10"/>
      <c r="DT222" s="9"/>
      <c r="DU222" s="9"/>
      <c r="DV222" s="9"/>
      <c r="DW222" s="9"/>
      <c r="DX222" s="9"/>
      <c r="DY222" s="9"/>
      <c r="DZ222" s="9"/>
      <c r="EA222" s="9"/>
      <c r="EB222" s="9"/>
      <c r="EC222" s="9"/>
      <c r="ED222" s="9"/>
      <c r="EE222" s="9"/>
      <c r="EF222" s="9"/>
      <c r="EG222" s="9"/>
      <c r="EH222" s="9"/>
      <c r="EI222" s="9"/>
      <c r="EJ222" s="9"/>
      <c r="EK222" s="9"/>
      <c r="EL222" s="9"/>
      <c r="EM222" s="9"/>
      <c r="EN222" s="9"/>
      <c r="EO222" s="9"/>
      <c r="EP222" s="9"/>
      <c r="EQ222" s="9"/>
      <c r="ER222" s="9"/>
      <c r="ES222" s="9"/>
      <c r="ET222" s="9"/>
      <c r="EU222" s="10"/>
      <c r="EV222" s="9"/>
      <c r="EW222" s="9"/>
      <c r="EX222" s="9"/>
      <c r="EY222" s="9"/>
      <c r="EZ222" s="9"/>
      <c r="FA222" s="9"/>
      <c r="FB222" s="9"/>
      <c r="FC222" s="9"/>
      <c r="FD222" s="9"/>
      <c r="FE222" s="9"/>
      <c r="FF222" s="9"/>
      <c r="FG222" s="9"/>
      <c r="FH222" s="9"/>
      <c r="FI222" s="9"/>
      <c r="FJ222" s="9"/>
      <c r="FK222" s="9"/>
      <c r="FL222" s="9"/>
      <c r="FM222" s="9"/>
      <c r="FN222" s="9"/>
      <c r="FO222" s="9"/>
      <c r="FP222" s="9"/>
      <c r="FQ222" s="9"/>
      <c r="FR222" s="9"/>
      <c r="FS222" s="9"/>
      <c r="FT222" s="9"/>
      <c r="FU222" s="9"/>
      <c r="FV222" s="9"/>
      <c r="FW222" s="10"/>
      <c r="FX222" s="9"/>
      <c r="FY222" s="9"/>
      <c r="FZ222" s="9"/>
      <c r="GA222" s="9"/>
      <c r="GB222" s="9"/>
      <c r="GC222" s="9"/>
      <c r="GD222" s="9"/>
      <c r="GE222" s="9"/>
      <c r="GF222" s="9"/>
      <c r="GG222" s="9"/>
      <c r="GH222" s="9"/>
      <c r="GI222" s="9"/>
      <c r="GJ222" s="9"/>
      <c r="GK222" s="9"/>
      <c r="GL222" s="9"/>
      <c r="GM222" s="9"/>
      <c r="GN222" s="9"/>
      <c r="GO222" s="9"/>
      <c r="GP222" s="9"/>
      <c r="GQ222" s="9"/>
      <c r="GR222" s="9"/>
      <c r="GS222" s="9"/>
      <c r="GT222" s="9"/>
      <c r="GU222" s="9"/>
      <c r="GV222" s="9"/>
      <c r="GW222" s="9"/>
      <c r="GX222" s="9"/>
      <c r="GY222" s="10"/>
      <c r="GZ222" s="9"/>
      <c r="HA222" s="9"/>
    </row>
    <row r="223" spans="1:209" s="2" customFormat="1" ht="17" customHeight="1">
      <c r="A223" s="14" t="s">
        <v>219</v>
      </c>
      <c r="B223" s="35">
        <v>0</v>
      </c>
      <c r="C223" s="35">
        <v>0</v>
      </c>
      <c r="D223" s="4">
        <f t="shared" si="57"/>
        <v>0</v>
      </c>
      <c r="E223" s="11">
        <v>0</v>
      </c>
      <c r="F223" s="5" t="s">
        <v>362</v>
      </c>
      <c r="G223" s="5" t="s">
        <v>362</v>
      </c>
      <c r="H223" s="5" t="s">
        <v>362</v>
      </c>
      <c r="I223" s="5" t="s">
        <v>362</v>
      </c>
      <c r="J223" s="5" t="s">
        <v>362</v>
      </c>
      <c r="K223" s="5" t="s">
        <v>362</v>
      </c>
      <c r="L223" s="5" t="s">
        <v>362</v>
      </c>
      <c r="M223" s="5" t="s">
        <v>362</v>
      </c>
      <c r="N223" s="35">
        <v>474.7</v>
      </c>
      <c r="O223" s="35">
        <v>313.8</v>
      </c>
      <c r="P223" s="4">
        <f t="shared" si="58"/>
        <v>0.66104908363176751</v>
      </c>
      <c r="Q223" s="11">
        <v>20</v>
      </c>
      <c r="R223" s="35">
        <v>10</v>
      </c>
      <c r="S223" s="35">
        <v>12.8</v>
      </c>
      <c r="T223" s="4">
        <f t="shared" si="59"/>
        <v>1.208</v>
      </c>
      <c r="U223" s="11">
        <v>25</v>
      </c>
      <c r="V223" s="35">
        <v>4</v>
      </c>
      <c r="W223" s="35">
        <v>2.1</v>
      </c>
      <c r="X223" s="4">
        <f t="shared" si="60"/>
        <v>0.52500000000000002</v>
      </c>
      <c r="Y223" s="11">
        <v>25</v>
      </c>
      <c r="Z223" s="35">
        <v>7404</v>
      </c>
      <c r="AA223" s="35">
        <v>7114</v>
      </c>
      <c r="AB223" s="4">
        <f t="shared" si="61"/>
        <v>0.96083198271204751</v>
      </c>
      <c r="AC223" s="11">
        <v>5</v>
      </c>
      <c r="AD223" s="11">
        <v>125</v>
      </c>
      <c r="AE223" s="11">
        <v>113</v>
      </c>
      <c r="AF223" s="4">
        <f t="shared" si="62"/>
        <v>0.90400000000000003</v>
      </c>
      <c r="AG223" s="11">
        <v>20</v>
      </c>
      <c r="AH223" s="5" t="s">
        <v>362</v>
      </c>
      <c r="AI223" s="5" t="s">
        <v>362</v>
      </c>
      <c r="AJ223" s="5" t="s">
        <v>362</v>
      </c>
      <c r="AK223" s="5" t="s">
        <v>362</v>
      </c>
      <c r="AL223" s="5" t="s">
        <v>362</v>
      </c>
      <c r="AM223" s="5" t="s">
        <v>362</v>
      </c>
      <c r="AN223" s="5" t="s">
        <v>362</v>
      </c>
      <c r="AO223" s="5" t="s">
        <v>362</v>
      </c>
      <c r="AP223" s="44">
        <f t="shared" si="71"/>
        <v>0.83610675353890096</v>
      </c>
      <c r="AQ223" s="45">
        <v>885</v>
      </c>
      <c r="AR223" s="35">
        <f t="shared" si="63"/>
        <v>241.36363636363637</v>
      </c>
      <c r="AS223" s="35">
        <f t="shared" si="64"/>
        <v>201.8</v>
      </c>
      <c r="AT223" s="35">
        <f t="shared" si="65"/>
        <v>-39.563636363636363</v>
      </c>
      <c r="AU223" s="35">
        <v>93.2</v>
      </c>
      <c r="AV223" s="35">
        <v>70.599999999999994</v>
      </c>
      <c r="AW223" s="35">
        <f t="shared" si="66"/>
        <v>38</v>
      </c>
      <c r="AX223" s="35"/>
      <c r="AY223" s="35">
        <f t="shared" si="67"/>
        <v>38</v>
      </c>
      <c r="AZ223" s="35">
        <v>0</v>
      </c>
      <c r="BA223" s="35">
        <f t="shared" si="68"/>
        <v>38</v>
      </c>
      <c r="BB223" s="35">
        <f>MIN(BA223,21.6)</f>
        <v>21.6</v>
      </c>
      <c r="BC223" s="35">
        <f t="shared" si="69"/>
        <v>16.399999999999999</v>
      </c>
      <c r="BD223" s="35">
        <v>14.7</v>
      </c>
      <c r="BE223" s="35">
        <f t="shared" si="70"/>
        <v>1.7</v>
      </c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9"/>
      <c r="BU223" s="9"/>
      <c r="BV223" s="9"/>
      <c r="BW223" s="9"/>
      <c r="BX223" s="9"/>
      <c r="BY223" s="9"/>
      <c r="BZ223" s="9"/>
      <c r="CA223" s="9"/>
      <c r="CB223" s="9"/>
      <c r="CC223" s="9"/>
      <c r="CD223" s="9"/>
      <c r="CE223" s="9"/>
      <c r="CF223" s="9"/>
      <c r="CG223" s="9"/>
      <c r="CH223" s="9"/>
      <c r="CI223" s="9"/>
      <c r="CJ223" s="9"/>
      <c r="CK223" s="9"/>
      <c r="CL223" s="9"/>
      <c r="CM223" s="9"/>
      <c r="CN223" s="9"/>
      <c r="CO223" s="9"/>
      <c r="CP223" s="9"/>
      <c r="CQ223" s="10"/>
      <c r="CR223" s="9"/>
      <c r="CS223" s="9"/>
      <c r="CT223" s="9"/>
      <c r="CU223" s="9"/>
      <c r="CV223" s="9"/>
      <c r="CW223" s="9"/>
      <c r="CX223" s="9"/>
      <c r="CY223" s="9"/>
      <c r="CZ223" s="9"/>
      <c r="DA223" s="9"/>
      <c r="DB223" s="9"/>
      <c r="DC223" s="9"/>
      <c r="DD223" s="9"/>
      <c r="DE223" s="9"/>
      <c r="DF223" s="9"/>
      <c r="DG223" s="9"/>
      <c r="DH223" s="9"/>
      <c r="DI223" s="9"/>
      <c r="DJ223" s="9"/>
      <c r="DK223" s="9"/>
      <c r="DL223" s="9"/>
      <c r="DM223" s="9"/>
      <c r="DN223" s="9"/>
      <c r="DO223" s="9"/>
      <c r="DP223" s="9"/>
      <c r="DQ223" s="9"/>
      <c r="DR223" s="9"/>
      <c r="DS223" s="10"/>
      <c r="DT223" s="9"/>
      <c r="DU223" s="9"/>
      <c r="DV223" s="9"/>
      <c r="DW223" s="9"/>
      <c r="DX223" s="9"/>
      <c r="DY223" s="9"/>
      <c r="DZ223" s="9"/>
      <c r="EA223" s="9"/>
      <c r="EB223" s="9"/>
      <c r="EC223" s="9"/>
      <c r="ED223" s="9"/>
      <c r="EE223" s="9"/>
      <c r="EF223" s="9"/>
      <c r="EG223" s="9"/>
      <c r="EH223" s="9"/>
      <c r="EI223" s="9"/>
      <c r="EJ223" s="9"/>
      <c r="EK223" s="9"/>
      <c r="EL223" s="9"/>
      <c r="EM223" s="9"/>
      <c r="EN223" s="9"/>
      <c r="EO223" s="9"/>
      <c r="EP223" s="9"/>
      <c r="EQ223" s="9"/>
      <c r="ER223" s="9"/>
      <c r="ES223" s="9"/>
      <c r="ET223" s="9"/>
      <c r="EU223" s="10"/>
      <c r="EV223" s="9"/>
      <c r="EW223" s="9"/>
      <c r="EX223" s="9"/>
      <c r="EY223" s="9"/>
      <c r="EZ223" s="9"/>
      <c r="FA223" s="9"/>
      <c r="FB223" s="9"/>
      <c r="FC223" s="9"/>
      <c r="FD223" s="9"/>
      <c r="FE223" s="9"/>
      <c r="FF223" s="9"/>
      <c r="FG223" s="9"/>
      <c r="FH223" s="9"/>
      <c r="FI223" s="9"/>
      <c r="FJ223" s="9"/>
      <c r="FK223" s="9"/>
      <c r="FL223" s="9"/>
      <c r="FM223" s="9"/>
      <c r="FN223" s="9"/>
      <c r="FO223" s="9"/>
      <c r="FP223" s="9"/>
      <c r="FQ223" s="9"/>
      <c r="FR223" s="9"/>
      <c r="FS223" s="9"/>
      <c r="FT223" s="9"/>
      <c r="FU223" s="9"/>
      <c r="FV223" s="9"/>
      <c r="FW223" s="10"/>
      <c r="FX223" s="9"/>
      <c r="FY223" s="9"/>
      <c r="FZ223" s="9"/>
      <c r="GA223" s="9"/>
      <c r="GB223" s="9"/>
      <c r="GC223" s="9"/>
      <c r="GD223" s="9"/>
      <c r="GE223" s="9"/>
      <c r="GF223" s="9"/>
      <c r="GG223" s="9"/>
      <c r="GH223" s="9"/>
      <c r="GI223" s="9"/>
      <c r="GJ223" s="9"/>
      <c r="GK223" s="9"/>
      <c r="GL223" s="9"/>
      <c r="GM223" s="9"/>
      <c r="GN223" s="9"/>
      <c r="GO223" s="9"/>
      <c r="GP223" s="9"/>
      <c r="GQ223" s="9"/>
      <c r="GR223" s="9"/>
      <c r="GS223" s="9"/>
      <c r="GT223" s="9"/>
      <c r="GU223" s="9"/>
      <c r="GV223" s="9"/>
      <c r="GW223" s="9"/>
      <c r="GX223" s="9"/>
      <c r="GY223" s="10"/>
      <c r="GZ223" s="9"/>
      <c r="HA223" s="9"/>
    </row>
    <row r="224" spans="1:209" s="2" customFormat="1" ht="17" customHeight="1">
      <c r="A224" s="46" t="s">
        <v>220</v>
      </c>
      <c r="B224" s="35">
        <v>19390</v>
      </c>
      <c r="C224" s="35">
        <v>20453</v>
      </c>
      <c r="D224" s="4">
        <f t="shared" si="57"/>
        <v>1.0548220732336255</v>
      </c>
      <c r="E224" s="11">
        <v>10</v>
      </c>
      <c r="F224" s="5" t="s">
        <v>362</v>
      </c>
      <c r="G224" s="5" t="s">
        <v>362</v>
      </c>
      <c r="H224" s="5" t="s">
        <v>362</v>
      </c>
      <c r="I224" s="5" t="s">
        <v>362</v>
      </c>
      <c r="J224" s="5" t="s">
        <v>362</v>
      </c>
      <c r="K224" s="5" t="s">
        <v>362</v>
      </c>
      <c r="L224" s="5" t="s">
        <v>362</v>
      </c>
      <c r="M224" s="5" t="s">
        <v>362</v>
      </c>
      <c r="N224" s="35">
        <v>423</v>
      </c>
      <c r="O224" s="35">
        <v>182.8</v>
      </c>
      <c r="P224" s="4">
        <f t="shared" si="58"/>
        <v>0.43215130023640663</v>
      </c>
      <c r="Q224" s="11">
        <v>20</v>
      </c>
      <c r="R224" s="35">
        <v>3</v>
      </c>
      <c r="S224" s="35">
        <v>0</v>
      </c>
      <c r="T224" s="4">
        <f t="shared" si="59"/>
        <v>0</v>
      </c>
      <c r="U224" s="11">
        <v>15</v>
      </c>
      <c r="V224" s="35">
        <v>2.5</v>
      </c>
      <c r="W224" s="35">
        <v>1.2</v>
      </c>
      <c r="X224" s="4">
        <f t="shared" si="60"/>
        <v>0.48</v>
      </c>
      <c r="Y224" s="11">
        <v>35</v>
      </c>
      <c r="Z224" s="35">
        <v>2400</v>
      </c>
      <c r="AA224" s="35">
        <v>2073</v>
      </c>
      <c r="AB224" s="4">
        <f t="shared" si="61"/>
        <v>0.86375000000000002</v>
      </c>
      <c r="AC224" s="11">
        <v>5</v>
      </c>
      <c r="AD224" s="11">
        <v>42</v>
      </c>
      <c r="AE224" s="11">
        <v>44</v>
      </c>
      <c r="AF224" s="4">
        <f t="shared" si="62"/>
        <v>1.0476190476190477</v>
      </c>
      <c r="AG224" s="11">
        <v>20</v>
      </c>
      <c r="AH224" s="5" t="s">
        <v>362</v>
      </c>
      <c r="AI224" s="5" t="s">
        <v>362</v>
      </c>
      <c r="AJ224" s="5" t="s">
        <v>362</v>
      </c>
      <c r="AK224" s="5" t="s">
        <v>362</v>
      </c>
      <c r="AL224" s="5" t="s">
        <v>362</v>
      </c>
      <c r="AM224" s="5" t="s">
        <v>362</v>
      </c>
      <c r="AN224" s="5" t="s">
        <v>362</v>
      </c>
      <c r="AO224" s="5" t="s">
        <v>362</v>
      </c>
      <c r="AP224" s="44">
        <f t="shared" si="71"/>
        <v>0.58345121608995565</v>
      </c>
      <c r="AQ224" s="45">
        <v>263</v>
      </c>
      <c r="AR224" s="35">
        <f t="shared" si="63"/>
        <v>71.727272727272734</v>
      </c>
      <c r="AS224" s="35">
        <f t="shared" si="64"/>
        <v>41.8</v>
      </c>
      <c r="AT224" s="35">
        <f t="shared" si="65"/>
        <v>-29.927272727272737</v>
      </c>
      <c r="AU224" s="35">
        <v>13.9</v>
      </c>
      <c r="AV224" s="35">
        <v>19.5</v>
      </c>
      <c r="AW224" s="35">
        <f t="shared" si="66"/>
        <v>8.4</v>
      </c>
      <c r="AX224" s="35"/>
      <c r="AY224" s="35">
        <f t="shared" si="67"/>
        <v>8.4</v>
      </c>
      <c r="AZ224" s="35">
        <v>0</v>
      </c>
      <c r="BA224" s="35">
        <f t="shared" si="68"/>
        <v>8.4</v>
      </c>
      <c r="BB224" s="35"/>
      <c r="BC224" s="35">
        <f t="shared" si="69"/>
        <v>8.4</v>
      </c>
      <c r="BD224" s="35">
        <v>7.4</v>
      </c>
      <c r="BE224" s="35">
        <f t="shared" si="70"/>
        <v>1</v>
      </c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9"/>
      <c r="BU224" s="9"/>
      <c r="BV224" s="9"/>
      <c r="BW224" s="9"/>
      <c r="BX224" s="9"/>
      <c r="BY224" s="9"/>
      <c r="BZ224" s="9"/>
      <c r="CA224" s="9"/>
      <c r="CB224" s="9"/>
      <c r="CC224" s="9"/>
      <c r="CD224" s="9"/>
      <c r="CE224" s="9"/>
      <c r="CF224" s="9"/>
      <c r="CG224" s="9"/>
      <c r="CH224" s="9"/>
      <c r="CI224" s="9"/>
      <c r="CJ224" s="9"/>
      <c r="CK224" s="9"/>
      <c r="CL224" s="9"/>
      <c r="CM224" s="9"/>
      <c r="CN224" s="9"/>
      <c r="CO224" s="9"/>
      <c r="CP224" s="9"/>
      <c r="CQ224" s="10"/>
      <c r="CR224" s="9"/>
      <c r="CS224" s="9"/>
      <c r="CT224" s="9"/>
      <c r="CU224" s="9"/>
      <c r="CV224" s="9"/>
      <c r="CW224" s="9"/>
      <c r="CX224" s="9"/>
      <c r="CY224" s="9"/>
      <c r="CZ224" s="9"/>
      <c r="DA224" s="9"/>
      <c r="DB224" s="9"/>
      <c r="DC224" s="9"/>
      <c r="DD224" s="9"/>
      <c r="DE224" s="9"/>
      <c r="DF224" s="9"/>
      <c r="DG224" s="9"/>
      <c r="DH224" s="9"/>
      <c r="DI224" s="9"/>
      <c r="DJ224" s="9"/>
      <c r="DK224" s="9"/>
      <c r="DL224" s="9"/>
      <c r="DM224" s="9"/>
      <c r="DN224" s="9"/>
      <c r="DO224" s="9"/>
      <c r="DP224" s="9"/>
      <c r="DQ224" s="9"/>
      <c r="DR224" s="9"/>
      <c r="DS224" s="10"/>
      <c r="DT224" s="9"/>
      <c r="DU224" s="9"/>
      <c r="DV224" s="9"/>
      <c r="DW224" s="9"/>
      <c r="DX224" s="9"/>
      <c r="DY224" s="9"/>
      <c r="DZ224" s="9"/>
      <c r="EA224" s="9"/>
      <c r="EB224" s="9"/>
      <c r="EC224" s="9"/>
      <c r="ED224" s="9"/>
      <c r="EE224" s="9"/>
      <c r="EF224" s="9"/>
      <c r="EG224" s="9"/>
      <c r="EH224" s="9"/>
      <c r="EI224" s="9"/>
      <c r="EJ224" s="9"/>
      <c r="EK224" s="9"/>
      <c r="EL224" s="9"/>
      <c r="EM224" s="9"/>
      <c r="EN224" s="9"/>
      <c r="EO224" s="9"/>
      <c r="EP224" s="9"/>
      <c r="EQ224" s="9"/>
      <c r="ER224" s="9"/>
      <c r="ES224" s="9"/>
      <c r="ET224" s="9"/>
      <c r="EU224" s="10"/>
      <c r="EV224" s="9"/>
      <c r="EW224" s="9"/>
      <c r="EX224" s="9"/>
      <c r="EY224" s="9"/>
      <c r="EZ224" s="9"/>
      <c r="FA224" s="9"/>
      <c r="FB224" s="9"/>
      <c r="FC224" s="9"/>
      <c r="FD224" s="9"/>
      <c r="FE224" s="9"/>
      <c r="FF224" s="9"/>
      <c r="FG224" s="9"/>
      <c r="FH224" s="9"/>
      <c r="FI224" s="9"/>
      <c r="FJ224" s="9"/>
      <c r="FK224" s="9"/>
      <c r="FL224" s="9"/>
      <c r="FM224" s="9"/>
      <c r="FN224" s="9"/>
      <c r="FO224" s="9"/>
      <c r="FP224" s="9"/>
      <c r="FQ224" s="9"/>
      <c r="FR224" s="9"/>
      <c r="FS224" s="9"/>
      <c r="FT224" s="9"/>
      <c r="FU224" s="9"/>
      <c r="FV224" s="9"/>
      <c r="FW224" s="10"/>
      <c r="FX224" s="9"/>
      <c r="FY224" s="9"/>
      <c r="FZ224" s="9"/>
      <c r="GA224" s="9"/>
      <c r="GB224" s="9"/>
      <c r="GC224" s="9"/>
      <c r="GD224" s="9"/>
      <c r="GE224" s="9"/>
      <c r="GF224" s="9"/>
      <c r="GG224" s="9"/>
      <c r="GH224" s="9"/>
      <c r="GI224" s="9"/>
      <c r="GJ224" s="9"/>
      <c r="GK224" s="9"/>
      <c r="GL224" s="9"/>
      <c r="GM224" s="9"/>
      <c r="GN224" s="9"/>
      <c r="GO224" s="9"/>
      <c r="GP224" s="9"/>
      <c r="GQ224" s="9"/>
      <c r="GR224" s="9"/>
      <c r="GS224" s="9"/>
      <c r="GT224" s="9"/>
      <c r="GU224" s="9"/>
      <c r="GV224" s="9"/>
      <c r="GW224" s="9"/>
      <c r="GX224" s="9"/>
      <c r="GY224" s="10"/>
      <c r="GZ224" s="9"/>
      <c r="HA224" s="9"/>
    </row>
    <row r="225" spans="1:209" s="2" customFormat="1" ht="17" customHeight="1">
      <c r="A225" s="14" t="s">
        <v>221</v>
      </c>
      <c r="B225" s="35">
        <v>2410000</v>
      </c>
      <c r="C225" s="35">
        <v>2951288.1</v>
      </c>
      <c r="D225" s="4">
        <f t="shared" si="57"/>
        <v>1.2024600871369295</v>
      </c>
      <c r="E225" s="11">
        <v>10</v>
      </c>
      <c r="F225" s="5" t="s">
        <v>362</v>
      </c>
      <c r="G225" s="5" t="s">
        <v>362</v>
      </c>
      <c r="H225" s="5" t="s">
        <v>362</v>
      </c>
      <c r="I225" s="5" t="s">
        <v>362</v>
      </c>
      <c r="J225" s="5" t="s">
        <v>362</v>
      </c>
      <c r="K225" s="5" t="s">
        <v>362</v>
      </c>
      <c r="L225" s="5" t="s">
        <v>362</v>
      </c>
      <c r="M225" s="5" t="s">
        <v>362</v>
      </c>
      <c r="N225" s="35">
        <v>13903.9</v>
      </c>
      <c r="O225" s="35">
        <v>11792.5</v>
      </c>
      <c r="P225" s="4">
        <f t="shared" si="58"/>
        <v>0.8481433266925108</v>
      </c>
      <c r="Q225" s="11">
        <v>20</v>
      </c>
      <c r="R225" s="35">
        <v>0</v>
      </c>
      <c r="S225" s="35">
        <v>0</v>
      </c>
      <c r="T225" s="4">
        <f t="shared" si="59"/>
        <v>1</v>
      </c>
      <c r="U225" s="11">
        <v>15</v>
      </c>
      <c r="V225" s="35">
        <v>0</v>
      </c>
      <c r="W225" s="35">
        <v>0</v>
      </c>
      <c r="X225" s="4">
        <f t="shared" si="60"/>
        <v>1</v>
      </c>
      <c r="Y225" s="11">
        <v>35</v>
      </c>
      <c r="Z225" s="35">
        <v>322871</v>
      </c>
      <c r="AA225" s="35">
        <v>320454</v>
      </c>
      <c r="AB225" s="4">
        <f t="shared" si="61"/>
        <v>0.99251403811429328</v>
      </c>
      <c r="AC225" s="11">
        <v>5</v>
      </c>
      <c r="AD225" s="11">
        <v>0</v>
      </c>
      <c r="AE225" s="11">
        <v>0</v>
      </c>
      <c r="AF225" s="4">
        <f t="shared" si="62"/>
        <v>1</v>
      </c>
      <c r="AG225" s="11">
        <v>20</v>
      </c>
      <c r="AH225" s="5" t="s">
        <v>362</v>
      </c>
      <c r="AI225" s="5" t="s">
        <v>362</v>
      </c>
      <c r="AJ225" s="5" t="s">
        <v>362</v>
      </c>
      <c r="AK225" s="5" t="s">
        <v>362</v>
      </c>
      <c r="AL225" s="5" t="s">
        <v>362</v>
      </c>
      <c r="AM225" s="5" t="s">
        <v>362</v>
      </c>
      <c r="AN225" s="5" t="s">
        <v>362</v>
      </c>
      <c r="AO225" s="5" t="s">
        <v>362</v>
      </c>
      <c r="AP225" s="44">
        <f t="shared" si="71"/>
        <v>0.9900003580551523</v>
      </c>
      <c r="AQ225" s="45">
        <v>0</v>
      </c>
      <c r="AR225" s="35">
        <f t="shared" si="63"/>
        <v>0</v>
      </c>
      <c r="AS225" s="35">
        <f t="shared" si="64"/>
        <v>0</v>
      </c>
      <c r="AT225" s="35">
        <f t="shared" si="65"/>
        <v>0</v>
      </c>
      <c r="AU225" s="35">
        <v>0</v>
      </c>
      <c r="AV225" s="35">
        <v>0</v>
      </c>
      <c r="AW225" s="35">
        <f t="shared" si="66"/>
        <v>0</v>
      </c>
      <c r="AX225" s="35"/>
      <c r="AY225" s="35">
        <f t="shared" si="67"/>
        <v>0</v>
      </c>
      <c r="AZ225" s="35">
        <v>0</v>
      </c>
      <c r="BA225" s="35">
        <f t="shared" si="68"/>
        <v>0</v>
      </c>
      <c r="BB225" s="35"/>
      <c r="BC225" s="35">
        <f t="shared" si="69"/>
        <v>0</v>
      </c>
      <c r="BD225" s="35">
        <v>0</v>
      </c>
      <c r="BE225" s="35">
        <f t="shared" si="70"/>
        <v>0</v>
      </c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9"/>
      <c r="BU225" s="9"/>
      <c r="BV225" s="9"/>
      <c r="BW225" s="9"/>
      <c r="BX225" s="9"/>
      <c r="BY225" s="9"/>
      <c r="BZ225" s="9"/>
      <c r="CA225" s="9"/>
      <c r="CB225" s="9"/>
      <c r="CC225" s="9"/>
      <c r="CD225" s="9"/>
      <c r="CE225" s="9"/>
      <c r="CF225" s="9"/>
      <c r="CG225" s="9"/>
      <c r="CH225" s="9"/>
      <c r="CI225" s="9"/>
      <c r="CJ225" s="9"/>
      <c r="CK225" s="9"/>
      <c r="CL225" s="9"/>
      <c r="CM225" s="9"/>
      <c r="CN225" s="9"/>
      <c r="CO225" s="9"/>
      <c r="CP225" s="9"/>
      <c r="CQ225" s="10"/>
      <c r="CR225" s="9"/>
      <c r="CS225" s="9"/>
      <c r="CT225" s="9"/>
      <c r="CU225" s="9"/>
      <c r="CV225" s="9"/>
      <c r="CW225" s="9"/>
      <c r="CX225" s="9"/>
      <c r="CY225" s="9"/>
      <c r="CZ225" s="9"/>
      <c r="DA225" s="9"/>
      <c r="DB225" s="9"/>
      <c r="DC225" s="9"/>
      <c r="DD225" s="9"/>
      <c r="DE225" s="9"/>
      <c r="DF225" s="9"/>
      <c r="DG225" s="9"/>
      <c r="DH225" s="9"/>
      <c r="DI225" s="9"/>
      <c r="DJ225" s="9"/>
      <c r="DK225" s="9"/>
      <c r="DL225" s="9"/>
      <c r="DM225" s="9"/>
      <c r="DN225" s="9"/>
      <c r="DO225" s="9"/>
      <c r="DP225" s="9"/>
      <c r="DQ225" s="9"/>
      <c r="DR225" s="9"/>
      <c r="DS225" s="10"/>
      <c r="DT225" s="9"/>
      <c r="DU225" s="9"/>
      <c r="DV225" s="9"/>
      <c r="DW225" s="9"/>
      <c r="DX225" s="9"/>
      <c r="DY225" s="9"/>
      <c r="DZ225" s="9"/>
      <c r="EA225" s="9"/>
      <c r="EB225" s="9"/>
      <c r="EC225" s="9"/>
      <c r="ED225" s="9"/>
      <c r="EE225" s="9"/>
      <c r="EF225" s="9"/>
      <c r="EG225" s="9"/>
      <c r="EH225" s="9"/>
      <c r="EI225" s="9"/>
      <c r="EJ225" s="9"/>
      <c r="EK225" s="9"/>
      <c r="EL225" s="9"/>
      <c r="EM225" s="9"/>
      <c r="EN225" s="9"/>
      <c r="EO225" s="9"/>
      <c r="EP225" s="9"/>
      <c r="EQ225" s="9"/>
      <c r="ER225" s="9"/>
      <c r="ES225" s="9"/>
      <c r="ET225" s="9"/>
      <c r="EU225" s="10"/>
      <c r="EV225" s="9"/>
      <c r="EW225" s="9"/>
      <c r="EX225" s="9"/>
      <c r="EY225" s="9"/>
      <c r="EZ225" s="9"/>
      <c r="FA225" s="9"/>
      <c r="FB225" s="9"/>
      <c r="FC225" s="9"/>
      <c r="FD225" s="9"/>
      <c r="FE225" s="9"/>
      <c r="FF225" s="9"/>
      <c r="FG225" s="9"/>
      <c r="FH225" s="9"/>
      <c r="FI225" s="9"/>
      <c r="FJ225" s="9"/>
      <c r="FK225" s="9"/>
      <c r="FL225" s="9"/>
      <c r="FM225" s="9"/>
      <c r="FN225" s="9"/>
      <c r="FO225" s="9"/>
      <c r="FP225" s="9"/>
      <c r="FQ225" s="9"/>
      <c r="FR225" s="9"/>
      <c r="FS225" s="9"/>
      <c r="FT225" s="9"/>
      <c r="FU225" s="9"/>
      <c r="FV225" s="9"/>
      <c r="FW225" s="10"/>
      <c r="FX225" s="9"/>
      <c r="FY225" s="9"/>
      <c r="FZ225" s="9"/>
      <c r="GA225" s="9"/>
      <c r="GB225" s="9"/>
      <c r="GC225" s="9"/>
      <c r="GD225" s="9"/>
      <c r="GE225" s="9"/>
      <c r="GF225" s="9"/>
      <c r="GG225" s="9"/>
      <c r="GH225" s="9"/>
      <c r="GI225" s="9"/>
      <c r="GJ225" s="9"/>
      <c r="GK225" s="9"/>
      <c r="GL225" s="9"/>
      <c r="GM225" s="9"/>
      <c r="GN225" s="9"/>
      <c r="GO225" s="9"/>
      <c r="GP225" s="9"/>
      <c r="GQ225" s="9"/>
      <c r="GR225" s="9"/>
      <c r="GS225" s="9"/>
      <c r="GT225" s="9"/>
      <c r="GU225" s="9"/>
      <c r="GV225" s="9"/>
      <c r="GW225" s="9"/>
      <c r="GX225" s="9"/>
      <c r="GY225" s="10"/>
      <c r="GZ225" s="9"/>
      <c r="HA225" s="9"/>
    </row>
    <row r="226" spans="1:209" s="2" customFormat="1" ht="17" customHeight="1">
      <c r="A226" s="14" t="s">
        <v>222</v>
      </c>
      <c r="B226" s="35">
        <v>0</v>
      </c>
      <c r="C226" s="35">
        <v>0</v>
      </c>
      <c r="D226" s="4">
        <f t="shared" si="57"/>
        <v>0</v>
      </c>
      <c r="E226" s="11">
        <v>0</v>
      </c>
      <c r="F226" s="5" t="s">
        <v>362</v>
      </c>
      <c r="G226" s="5" t="s">
        <v>362</v>
      </c>
      <c r="H226" s="5" t="s">
        <v>362</v>
      </c>
      <c r="I226" s="5" t="s">
        <v>362</v>
      </c>
      <c r="J226" s="5" t="s">
        <v>362</v>
      </c>
      <c r="K226" s="5" t="s">
        <v>362</v>
      </c>
      <c r="L226" s="5" t="s">
        <v>362</v>
      </c>
      <c r="M226" s="5" t="s">
        <v>362</v>
      </c>
      <c r="N226" s="35">
        <v>243.8</v>
      </c>
      <c r="O226" s="35">
        <v>196.9</v>
      </c>
      <c r="P226" s="4">
        <f t="shared" si="58"/>
        <v>0.80762920426579166</v>
      </c>
      <c r="Q226" s="11">
        <v>20</v>
      </c>
      <c r="R226" s="35">
        <v>337</v>
      </c>
      <c r="S226" s="35">
        <v>324.89999999999998</v>
      </c>
      <c r="T226" s="4">
        <f t="shared" si="59"/>
        <v>0.96409495548961421</v>
      </c>
      <c r="U226" s="11">
        <v>30</v>
      </c>
      <c r="V226" s="35">
        <v>16</v>
      </c>
      <c r="W226" s="35">
        <v>9.9</v>
      </c>
      <c r="X226" s="4">
        <f t="shared" si="60"/>
        <v>0.61875000000000002</v>
      </c>
      <c r="Y226" s="11">
        <v>20</v>
      </c>
      <c r="Z226" s="35">
        <v>1997</v>
      </c>
      <c r="AA226" s="35">
        <v>1748</v>
      </c>
      <c r="AB226" s="4">
        <f t="shared" si="61"/>
        <v>0.87531296945418124</v>
      </c>
      <c r="AC226" s="11">
        <v>5</v>
      </c>
      <c r="AD226" s="11">
        <v>445</v>
      </c>
      <c r="AE226" s="11">
        <v>437</v>
      </c>
      <c r="AF226" s="4">
        <f t="shared" si="62"/>
        <v>0.98202247191011238</v>
      </c>
      <c r="AG226" s="11">
        <v>20</v>
      </c>
      <c r="AH226" s="5" t="s">
        <v>362</v>
      </c>
      <c r="AI226" s="5" t="s">
        <v>362</v>
      </c>
      <c r="AJ226" s="5" t="s">
        <v>362</v>
      </c>
      <c r="AK226" s="5" t="s">
        <v>362</v>
      </c>
      <c r="AL226" s="5" t="s">
        <v>362</v>
      </c>
      <c r="AM226" s="5" t="s">
        <v>362</v>
      </c>
      <c r="AN226" s="5" t="s">
        <v>362</v>
      </c>
      <c r="AO226" s="5" t="s">
        <v>362</v>
      </c>
      <c r="AP226" s="44">
        <f t="shared" si="71"/>
        <v>0.8575520740576571</v>
      </c>
      <c r="AQ226" s="45">
        <v>1200</v>
      </c>
      <c r="AR226" s="35">
        <f t="shared" si="63"/>
        <v>327.27272727272725</v>
      </c>
      <c r="AS226" s="35">
        <f t="shared" si="64"/>
        <v>280.7</v>
      </c>
      <c r="AT226" s="35">
        <f t="shared" si="65"/>
        <v>-46.572727272727263</v>
      </c>
      <c r="AU226" s="35">
        <v>81.2</v>
      </c>
      <c r="AV226" s="35">
        <v>79.2</v>
      </c>
      <c r="AW226" s="35">
        <f t="shared" si="66"/>
        <v>120.3</v>
      </c>
      <c r="AX226" s="35"/>
      <c r="AY226" s="35">
        <f t="shared" si="67"/>
        <v>120.3</v>
      </c>
      <c r="AZ226" s="35">
        <v>0</v>
      </c>
      <c r="BA226" s="35">
        <f t="shared" si="68"/>
        <v>120.3</v>
      </c>
      <c r="BB226" s="35">
        <f>MIN(BA226,54.5)</f>
        <v>54.5</v>
      </c>
      <c r="BC226" s="35">
        <f t="shared" si="69"/>
        <v>65.8</v>
      </c>
      <c r="BD226" s="35">
        <v>65.400000000000006</v>
      </c>
      <c r="BE226" s="35">
        <f t="shared" si="70"/>
        <v>0.4</v>
      </c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9"/>
      <c r="BU226" s="9"/>
      <c r="BV226" s="9"/>
      <c r="BW226" s="9"/>
      <c r="BX226" s="9"/>
      <c r="BY226" s="9"/>
      <c r="BZ226" s="9"/>
      <c r="CA226" s="9"/>
      <c r="CB226" s="9"/>
      <c r="CC226" s="9"/>
      <c r="CD226" s="9"/>
      <c r="CE226" s="9"/>
      <c r="CF226" s="9"/>
      <c r="CG226" s="9"/>
      <c r="CH226" s="9"/>
      <c r="CI226" s="9"/>
      <c r="CJ226" s="9"/>
      <c r="CK226" s="9"/>
      <c r="CL226" s="9"/>
      <c r="CM226" s="9"/>
      <c r="CN226" s="9"/>
      <c r="CO226" s="9"/>
      <c r="CP226" s="9"/>
      <c r="CQ226" s="10"/>
      <c r="CR226" s="9"/>
      <c r="CS226" s="9"/>
      <c r="CT226" s="9"/>
      <c r="CU226" s="9"/>
      <c r="CV226" s="9"/>
      <c r="CW226" s="9"/>
      <c r="CX226" s="9"/>
      <c r="CY226" s="9"/>
      <c r="CZ226" s="9"/>
      <c r="DA226" s="9"/>
      <c r="DB226" s="9"/>
      <c r="DC226" s="9"/>
      <c r="DD226" s="9"/>
      <c r="DE226" s="9"/>
      <c r="DF226" s="9"/>
      <c r="DG226" s="9"/>
      <c r="DH226" s="9"/>
      <c r="DI226" s="9"/>
      <c r="DJ226" s="9"/>
      <c r="DK226" s="9"/>
      <c r="DL226" s="9"/>
      <c r="DM226" s="9"/>
      <c r="DN226" s="9"/>
      <c r="DO226" s="9"/>
      <c r="DP226" s="9"/>
      <c r="DQ226" s="9"/>
      <c r="DR226" s="9"/>
      <c r="DS226" s="10"/>
      <c r="DT226" s="9"/>
      <c r="DU226" s="9"/>
      <c r="DV226" s="9"/>
      <c r="DW226" s="9"/>
      <c r="DX226" s="9"/>
      <c r="DY226" s="9"/>
      <c r="DZ226" s="9"/>
      <c r="EA226" s="9"/>
      <c r="EB226" s="9"/>
      <c r="EC226" s="9"/>
      <c r="ED226" s="9"/>
      <c r="EE226" s="9"/>
      <c r="EF226" s="9"/>
      <c r="EG226" s="9"/>
      <c r="EH226" s="9"/>
      <c r="EI226" s="9"/>
      <c r="EJ226" s="9"/>
      <c r="EK226" s="9"/>
      <c r="EL226" s="9"/>
      <c r="EM226" s="9"/>
      <c r="EN226" s="9"/>
      <c r="EO226" s="9"/>
      <c r="EP226" s="9"/>
      <c r="EQ226" s="9"/>
      <c r="ER226" s="9"/>
      <c r="ES226" s="9"/>
      <c r="ET226" s="9"/>
      <c r="EU226" s="10"/>
      <c r="EV226" s="9"/>
      <c r="EW226" s="9"/>
      <c r="EX226" s="9"/>
      <c r="EY226" s="9"/>
      <c r="EZ226" s="9"/>
      <c r="FA226" s="9"/>
      <c r="FB226" s="9"/>
      <c r="FC226" s="9"/>
      <c r="FD226" s="9"/>
      <c r="FE226" s="9"/>
      <c r="FF226" s="9"/>
      <c r="FG226" s="9"/>
      <c r="FH226" s="9"/>
      <c r="FI226" s="9"/>
      <c r="FJ226" s="9"/>
      <c r="FK226" s="9"/>
      <c r="FL226" s="9"/>
      <c r="FM226" s="9"/>
      <c r="FN226" s="9"/>
      <c r="FO226" s="9"/>
      <c r="FP226" s="9"/>
      <c r="FQ226" s="9"/>
      <c r="FR226" s="9"/>
      <c r="FS226" s="9"/>
      <c r="FT226" s="9"/>
      <c r="FU226" s="9"/>
      <c r="FV226" s="9"/>
      <c r="FW226" s="10"/>
      <c r="FX226" s="9"/>
      <c r="FY226" s="9"/>
      <c r="FZ226" s="9"/>
      <c r="GA226" s="9"/>
      <c r="GB226" s="9"/>
      <c r="GC226" s="9"/>
      <c r="GD226" s="9"/>
      <c r="GE226" s="9"/>
      <c r="GF226" s="9"/>
      <c r="GG226" s="9"/>
      <c r="GH226" s="9"/>
      <c r="GI226" s="9"/>
      <c r="GJ226" s="9"/>
      <c r="GK226" s="9"/>
      <c r="GL226" s="9"/>
      <c r="GM226" s="9"/>
      <c r="GN226" s="9"/>
      <c r="GO226" s="9"/>
      <c r="GP226" s="9"/>
      <c r="GQ226" s="9"/>
      <c r="GR226" s="9"/>
      <c r="GS226" s="9"/>
      <c r="GT226" s="9"/>
      <c r="GU226" s="9"/>
      <c r="GV226" s="9"/>
      <c r="GW226" s="9"/>
      <c r="GX226" s="9"/>
      <c r="GY226" s="10"/>
      <c r="GZ226" s="9"/>
      <c r="HA226" s="9"/>
    </row>
    <row r="227" spans="1:209" s="2" customFormat="1" ht="17" customHeight="1">
      <c r="A227" s="14" t="s">
        <v>223</v>
      </c>
      <c r="B227" s="35">
        <v>0</v>
      </c>
      <c r="C227" s="35">
        <v>0</v>
      </c>
      <c r="D227" s="4">
        <f t="shared" si="57"/>
        <v>0</v>
      </c>
      <c r="E227" s="11">
        <v>0</v>
      </c>
      <c r="F227" s="5" t="s">
        <v>362</v>
      </c>
      <c r="G227" s="5" t="s">
        <v>362</v>
      </c>
      <c r="H227" s="5" t="s">
        <v>362</v>
      </c>
      <c r="I227" s="5" t="s">
        <v>362</v>
      </c>
      <c r="J227" s="5" t="s">
        <v>362</v>
      </c>
      <c r="K227" s="5" t="s">
        <v>362</v>
      </c>
      <c r="L227" s="5" t="s">
        <v>362</v>
      </c>
      <c r="M227" s="5" t="s">
        <v>362</v>
      </c>
      <c r="N227" s="35">
        <v>1575.6</v>
      </c>
      <c r="O227" s="35">
        <v>1924.3</v>
      </c>
      <c r="P227" s="4">
        <f t="shared" si="58"/>
        <v>1.2021312515866971</v>
      </c>
      <c r="Q227" s="11">
        <v>20</v>
      </c>
      <c r="R227" s="35">
        <v>3</v>
      </c>
      <c r="S227" s="35">
        <v>2.6</v>
      </c>
      <c r="T227" s="4">
        <f t="shared" si="59"/>
        <v>0.8666666666666667</v>
      </c>
      <c r="U227" s="11">
        <v>25</v>
      </c>
      <c r="V227" s="35">
        <v>2</v>
      </c>
      <c r="W227" s="35">
        <v>2.2000000000000002</v>
      </c>
      <c r="X227" s="4">
        <f t="shared" si="60"/>
        <v>1.1000000000000001</v>
      </c>
      <c r="Y227" s="11">
        <v>25</v>
      </c>
      <c r="Z227" s="35">
        <v>3485</v>
      </c>
      <c r="AA227" s="35">
        <v>3984</v>
      </c>
      <c r="AB227" s="4">
        <f t="shared" si="61"/>
        <v>1.1431850789096125</v>
      </c>
      <c r="AC227" s="11">
        <v>5</v>
      </c>
      <c r="AD227" s="11">
        <v>56</v>
      </c>
      <c r="AE227" s="11">
        <v>47</v>
      </c>
      <c r="AF227" s="4">
        <f t="shared" si="62"/>
        <v>0.8392857142857143</v>
      </c>
      <c r="AG227" s="11">
        <v>20</v>
      </c>
      <c r="AH227" s="5" t="s">
        <v>362</v>
      </c>
      <c r="AI227" s="5" t="s">
        <v>362</v>
      </c>
      <c r="AJ227" s="5" t="s">
        <v>362</v>
      </c>
      <c r="AK227" s="5" t="s">
        <v>362</v>
      </c>
      <c r="AL227" s="5" t="s">
        <v>362</v>
      </c>
      <c r="AM227" s="5" t="s">
        <v>362</v>
      </c>
      <c r="AN227" s="5" t="s">
        <v>362</v>
      </c>
      <c r="AO227" s="5" t="s">
        <v>362</v>
      </c>
      <c r="AP227" s="44">
        <f t="shared" si="71"/>
        <v>1.0074834881964523</v>
      </c>
      <c r="AQ227" s="45">
        <v>1446</v>
      </c>
      <c r="AR227" s="35">
        <f t="shared" si="63"/>
        <v>394.36363636363637</v>
      </c>
      <c r="AS227" s="35">
        <f t="shared" si="64"/>
        <v>397.3</v>
      </c>
      <c r="AT227" s="35">
        <f t="shared" si="65"/>
        <v>2.9363636363636374</v>
      </c>
      <c r="AU227" s="35">
        <v>122.3</v>
      </c>
      <c r="AV227" s="35">
        <v>135.19999999999999</v>
      </c>
      <c r="AW227" s="35">
        <f t="shared" si="66"/>
        <v>139.80000000000001</v>
      </c>
      <c r="AX227" s="35"/>
      <c r="AY227" s="35">
        <f t="shared" si="67"/>
        <v>139.80000000000001</v>
      </c>
      <c r="AZ227" s="35">
        <v>0</v>
      </c>
      <c r="BA227" s="35">
        <f t="shared" si="68"/>
        <v>139.80000000000001</v>
      </c>
      <c r="BB227" s="35"/>
      <c r="BC227" s="35">
        <f t="shared" si="69"/>
        <v>139.80000000000001</v>
      </c>
      <c r="BD227" s="35">
        <v>136.80000000000001</v>
      </c>
      <c r="BE227" s="35">
        <f t="shared" si="70"/>
        <v>3</v>
      </c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9"/>
      <c r="BU227" s="9"/>
      <c r="BV227" s="9"/>
      <c r="BW227" s="9"/>
      <c r="BX227" s="9"/>
      <c r="BY227" s="9"/>
      <c r="BZ227" s="9"/>
      <c r="CA227" s="9"/>
      <c r="CB227" s="9"/>
      <c r="CC227" s="9"/>
      <c r="CD227" s="9"/>
      <c r="CE227" s="9"/>
      <c r="CF227" s="9"/>
      <c r="CG227" s="9"/>
      <c r="CH227" s="9"/>
      <c r="CI227" s="9"/>
      <c r="CJ227" s="9"/>
      <c r="CK227" s="9"/>
      <c r="CL227" s="9"/>
      <c r="CM227" s="9"/>
      <c r="CN227" s="9"/>
      <c r="CO227" s="9"/>
      <c r="CP227" s="9"/>
      <c r="CQ227" s="10"/>
      <c r="CR227" s="9"/>
      <c r="CS227" s="9"/>
      <c r="CT227" s="9"/>
      <c r="CU227" s="9"/>
      <c r="CV227" s="9"/>
      <c r="CW227" s="9"/>
      <c r="CX227" s="9"/>
      <c r="CY227" s="9"/>
      <c r="CZ227" s="9"/>
      <c r="DA227" s="9"/>
      <c r="DB227" s="9"/>
      <c r="DC227" s="9"/>
      <c r="DD227" s="9"/>
      <c r="DE227" s="9"/>
      <c r="DF227" s="9"/>
      <c r="DG227" s="9"/>
      <c r="DH227" s="9"/>
      <c r="DI227" s="9"/>
      <c r="DJ227" s="9"/>
      <c r="DK227" s="9"/>
      <c r="DL227" s="9"/>
      <c r="DM227" s="9"/>
      <c r="DN227" s="9"/>
      <c r="DO227" s="9"/>
      <c r="DP227" s="9"/>
      <c r="DQ227" s="9"/>
      <c r="DR227" s="9"/>
      <c r="DS227" s="10"/>
      <c r="DT227" s="9"/>
      <c r="DU227" s="9"/>
      <c r="DV227" s="9"/>
      <c r="DW227" s="9"/>
      <c r="DX227" s="9"/>
      <c r="DY227" s="9"/>
      <c r="DZ227" s="9"/>
      <c r="EA227" s="9"/>
      <c r="EB227" s="9"/>
      <c r="EC227" s="9"/>
      <c r="ED227" s="9"/>
      <c r="EE227" s="9"/>
      <c r="EF227" s="9"/>
      <c r="EG227" s="9"/>
      <c r="EH227" s="9"/>
      <c r="EI227" s="9"/>
      <c r="EJ227" s="9"/>
      <c r="EK227" s="9"/>
      <c r="EL227" s="9"/>
      <c r="EM227" s="9"/>
      <c r="EN227" s="9"/>
      <c r="EO227" s="9"/>
      <c r="EP227" s="9"/>
      <c r="EQ227" s="9"/>
      <c r="ER227" s="9"/>
      <c r="ES227" s="9"/>
      <c r="ET227" s="9"/>
      <c r="EU227" s="10"/>
      <c r="EV227" s="9"/>
      <c r="EW227" s="9"/>
      <c r="EX227" s="9"/>
      <c r="EY227" s="9"/>
      <c r="EZ227" s="9"/>
      <c r="FA227" s="9"/>
      <c r="FB227" s="9"/>
      <c r="FC227" s="9"/>
      <c r="FD227" s="9"/>
      <c r="FE227" s="9"/>
      <c r="FF227" s="9"/>
      <c r="FG227" s="9"/>
      <c r="FH227" s="9"/>
      <c r="FI227" s="9"/>
      <c r="FJ227" s="9"/>
      <c r="FK227" s="9"/>
      <c r="FL227" s="9"/>
      <c r="FM227" s="9"/>
      <c r="FN227" s="9"/>
      <c r="FO227" s="9"/>
      <c r="FP227" s="9"/>
      <c r="FQ227" s="9"/>
      <c r="FR227" s="9"/>
      <c r="FS227" s="9"/>
      <c r="FT227" s="9"/>
      <c r="FU227" s="9"/>
      <c r="FV227" s="9"/>
      <c r="FW227" s="10"/>
      <c r="FX227" s="9"/>
      <c r="FY227" s="9"/>
      <c r="FZ227" s="9"/>
      <c r="GA227" s="9"/>
      <c r="GB227" s="9"/>
      <c r="GC227" s="9"/>
      <c r="GD227" s="9"/>
      <c r="GE227" s="9"/>
      <c r="GF227" s="9"/>
      <c r="GG227" s="9"/>
      <c r="GH227" s="9"/>
      <c r="GI227" s="9"/>
      <c r="GJ227" s="9"/>
      <c r="GK227" s="9"/>
      <c r="GL227" s="9"/>
      <c r="GM227" s="9"/>
      <c r="GN227" s="9"/>
      <c r="GO227" s="9"/>
      <c r="GP227" s="9"/>
      <c r="GQ227" s="9"/>
      <c r="GR227" s="9"/>
      <c r="GS227" s="9"/>
      <c r="GT227" s="9"/>
      <c r="GU227" s="9"/>
      <c r="GV227" s="9"/>
      <c r="GW227" s="9"/>
      <c r="GX227" s="9"/>
      <c r="GY227" s="10"/>
      <c r="GZ227" s="9"/>
      <c r="HA227" s="9"/>
    </row>
    <row r="228" spans="1:209" s="2" customFormat="1" ht="17" customHeight="1">
      <c r="A228" s="14" t="s">
        <v>224</v>
      </c>
      <c r="B228" s="35">
        <v>155000</v>
      </c>
      <c r="C228" s="35">
        <v>176404.3</v>
      </c>
      <c r="D228" s="4">
        <f t="shared" si="57"/>
        <v>1.1380922580645161</v>
      </c>
      <c r="E228" s="11">
        <v>10</v>
      </c>
      <c r="F228" s="5" t="s">
        <v>362</v>
      </c>
      <c r="G228" s="5" t="s">
        <v>362</v>
      </c>
      <c r="H228" s="5" t="s">
        <v>362</v>
      </c>
      <c r="I228" s="5" t="s">
        <v>362</v>
      </c>
      <c r="J228" s="5" t="s">
        <v>362</v>
      </c>
      <c r="K228" s="5" t="s">
        <v>362</v>
      </c>
      <c r="L228" s="5" t="s">
        <v>362</v>
      </c>
      <c r="M228" s="5" t="s">
        <v>362</v>
      </c>
      <c r="N228" s="35">
        <v>1981.7</v>
      </c>
      <c r="O228" s="35">
        <v>1342.8</v>
      </c>
      <c r="P228" s="4">
        <f t="shared" si="58"/>
        <v>0.67760004036937982</v>
      </c>
      <c r="Q228" s="11">
        <v>20</v>
      </c>
      <c r="R228" s="35">
        <v>14</v>
      </c>
      <c r="S228" s="35">
        <v>3.1</v>
      </c>
      <c r="T228" s="4">
        <f t="shared" si="59"/>
        <v>0.22142857142857145</v>
      </c>
      <c r="U228" s="11">
        <v>20</v>
      </c>
      <c r="V228" s="35">
        <v>14.5</v>
      </c>
      <c r="W228" s="35">
        <v>14.4</v>
      </c>
      <c r="X228" s="4">
        <f t="shared" si="60"/>
        <v>0.99310344827586206</v>
      </c>
      <c r="Y228" s="11">
        <v>30</v>
      </c>
      <c r="Z228" s="35">
        <v>58502</v>
      </c>
      <c r="AA228" s="35">
        <v>60652</v>
      </c>
      <c r="AB228" s="4">
        <f t="shared" si="61"/>
        <v>1.0367508803117842</v>
      </c>
      <c r="AC228" s="11">
        <v>5</v>
      </c>
      <c r="AD228" s="11">
        <v>260</v>
      </c>
      <c r="AE228" s="11">
        <v>267</v>
      </c>
      <c r="AF228" s="4">
        <f t="shared" si="62"/>
        <v>1.0269230769230768</v>
      </c>
      <c r="AG228" s="11">
        <v>20</v>
      </c>
      <c r="AH228" s="5" t="s">
        <v>362</v>
      </c>
      <c r="AI228" s="5" t="s">
        <v>362</v>
      </c>
      <c r="AJ228" s="5" t="s">
        <v>362</v>
      </c>
      <c r="AK228" s="5" t="s">
        <v>362</v>
      </c>
      <c r="AL228" s="5" t="s">
        <v>362</v>
      </c>
      <c r="AM228" s="5" t="s">
        <v>362</v>
      </c>
      <c r="AN228" s="5" t="s">
        <v>362</v>
      </c>
      <c r="AO228" s="5" t="s">
        <v>362</v>
      </c>
      <c r="AP228" s="44">
        <f t="shared" si="71"/>
        <v>0.80835061147524279</v>
      </c>
      <c r="AQ228" s="45">
        <v>1740</v>
      </c>
      <c r="AR228" s="35">
        <f t="shared" si="63"/>
        <v>474.54545454545456</v>
      </c>
      <c r="AS228" s="35">
        <f t="shared" si="64"/>
        <v>383.6</v>
      </c>
      <c r="AT228" s="35">
        <f t="shared" si="65"/>
        <v>-90.945454545454538</v>
      </c>
      <c r="AU228" s="35">
        <v>96.3</v>
      </c>
      <c r="AV228" s="35">
        <v>102.1</v>
      </c>
      <c r="AW228" s="35">
        <f t="shared" si="66"/>
        <v>185.2</v>
      </c>
      <c r="AX228" s="35"/>
      <c r="AY228" s="35">
        <f t="shared" si="67"/>
        <v>185.2</v>
      </c>
      <c r="AZ228" s="35">
        <v>0</v>
      </c>
      <c r="BA228" s="35">
        <f t="shared" si="68"/>
        <v>185.2</v>
      </c>
      <c r="BB228" s="35">
        <f>MIN(BA228,79.1)</f>
        <v>79.099999999999994</v>
      </c>
      <c r="BC228" s="35">
        <f t="shared" si="69"/>
        <v>106.1</v>
      </c>
      <c r="BD228" s="35">
        <v>100.7</v>
      </c>
      <c r="BE228" s="35">
        <f t="shared" si="70"/>
        <v>5.4</v>
      </c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9"/>
      <c r="BU228" s="9"/>
      <c r="BV228" s="9"/>
      <c r="BW228" s="9"/>
      <c r="BX228" s="9"/>
      <c r="BY228" s="9"/>
      <c r="BZ228" s="9"/>
      <c r="CA228" s="9"/>
      <c r="CB228" s="9"/>
      <c r="CC228" s="9"/>
      <c r="CD228" s="9"/>
      <c r="CE228" s="9"/>
      <c r="CF228" s="9"/>
      <c r="CG228" s="9"/>
      <c r="CH228" s="9"/>
      <c r="CI228" s="9"/>
      <c r="CJ228" s="9"/>
      <c r="CK228" s="9"/>
      <c r="CL228" s="9"/>
      <c r="CM228" s="9"/>
      <c r="CN228" s="9"/>
      <c r="CO228" s="9"/>
      <c r="CP228" s="9"/>
      <c r="CQ228" s="10"/>
      <c r="CR228" s="9"/>
      <c r="CS228" s="9"/>
      <c r="CT228" s="9"/>
      <c r="CU228" s="9"/>
      <c r="CV228" s="9"/>
      <c r="CW228" s="9"/>
      <c r="CX228" s="9"/>
      <c r="CY228" s="9"/>
      <c r="CZ228" s="9"/>
      <c r="DA228" s="9"/>
      <c r="DB228" s="9"/>
      <c r="DC228" s="9"/>
      <c r="DD228" s="9"/>
      <c r="DE228" s="9"/>
      <c r="DF228" s="9"/>
      <c r="DG228" s="9"/>
      <c r="DH228" s="9"/>
      <c r="DI228" s="9"/>
      <c r="DJ228" s="9"/>
      <c r="DK228" s="9"/>
      <c r="DL228" s="9"/>
      <c r="DM228" s="9"/>
      <c r="DN228" s="9"/>
      <c r="DO228" s="9"/>
      <c r="DP228" s="9"/>
      <c r="DQ228" s="9"/>
      <c r="DR228" s="9"/>
      <c r="DS228" s="10"/>
      <c r="DT228" s="9"/>
      <c r="DU228" s="9"/>
      <c r="DV228" s="9"/>
      <c r="DW228" s="9"/>
      <c r="DX228" s="9"/>
      <c r="DY228" s="9"/>
      <c r="DZ228" s="9"/>
      <c r="EA228" s="9"/>
      <c r="EB228" s="9"/>
      <c r="EC228" s="9"/>
      <c r="ED228" s="9"/>
      <c r="EE228" s="9"/>
      <c r="EF228" s="9"/>
      <c r="EG228" s="9"/>
      <c r="EH228" s="9"/>
      <c r="EI228" s="9"/>
      <c r="EJ228" s="9"/>
      <c r="EK228" s="9"/>
      <c r="EL228" s="9"/>
      <c r="EM228" s="9"/>
      <c r="EN228" s="9"/>
      <c r="EO228" s="9"/>
      <c r="EP228" s="9"/>
      <c r="EQ228" s="9"/>
      <c r="ER228" s="9"/>
      <c r="ES228" s="9"/>
      <c r="ET228" s="9"/>
      <c r="EU228" s="10"/>
      <c r="EV228" s="9"/>
      <c r="EW228" s="9"/>
      <c r="EX228" s="9"/>
      <c r="EY228" s="9"/>
      <c r="EZ228" s="9"/>
      <c r="FA228" s="9"/>
      <c r="FB228" s="9"/>
      <c r="FC228" s="9"/>
      <c r="FD228" s="9"/>
      <c r="FE228" s="9"/>
      <c r="FF228" s="9"/>
      <c r="FG228" s="9"/>
      <c r="FH228" s="9"/>
      <c r="FI228" s="9"/>
      <c r="FJ228" s="9"/>
      <c r="FK228" s="9"/>
      <c r="FL228" s="9"/>
      <c r="FM228" s="9"/>
      <c r="FN228" s="9"/>
      <c r="FO228" s="9"/>
      <c r="FP228" s="9"/>
      <c r="FQ228" s="9"/>
      <c r="FR228" s="9"/>
      <c r="FS228" s="9"/>
      <c r="FT228" s="9"/>
      <c r="FU228" s="9"/>
      <c r="FV228" s="9"/>
      <c r="FW228" s="10"/>
      <c r="FX228" s="9"/>
      <c r="FY228" s="9"/>
      <c r="FZ228" s="9"/>
      <c r="GA228" s="9"/>
      <c r="GB228" s="9"/>
      <c r="GC228" s="9"/>
      <c r="GD228" s="9"/>
      <c r="GE228" s="9"/>
      <c r="GF228" s="9"/>
      <c r="GG228" s="9"/>
      <c r="GH228" s="9"/>
      <c r="GI228" s="9"/>
      <c r="GJ228" s="9"/>
      <c r="GK228" s="9"/>
      <c r="GL228" s="9"/>
      <c r="GM228" s="9"/>
      <c r="GN228" s="9"/>
      <c r="GO228" s="9"/>
      <c r="GP228" s="9"/>
      <c r="GQ228" s="9"/>
      <c r="GR228" s="9"/>
      <c r="GS228" s="9"/>
      <c r="GT228" s="9"/>
      <c r="GU228" s="9"/>
      <c r="GV228" s="9"/>
      <c r="GW228" s="9"/>
      <c r="GX228" s="9"/>
      <c r="GY228" s="10"/>
      <c r="GZ228" s="9"/>
      <c r="HA228" s="9"/>
    </row>
    <row r="229" spans="1:209" s="2" customFormat="1" ht="17" customHeight="1">
      <c r="A229" s="18" t="s">
        <v>225</v>
      </c>
      <c r="B229" s="6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35"/>
      <c r="AA229" s="35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  <c r="AQ229" s="11"/>
      <c r="AR229" s="11"/>
      <c r="AS229" s="11"/>
      <c r="AT229" s="11"/>
      <c r="AU229" s="11"/>
      <c r="AV229" s="11"/>
      <c r="AW229" s="11"/>
      <c r="AX229" s="11"/>
      <c r="AY229" s="11"/>
      <c r="AZ229" s="11"/>
      <c r="BA229" s="11"/>
      <c r="BB229" s="11"/>
      <c r="BC229" s="35"/>
      <c r="BD229" s="35"/>
      <c r="BE229" s="35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9"/>
      <c r="BU229" s="9"/>
      <c r="BV229" s="9"/>
      <c r="BW229" s="9"/>
      <c r="BX229" s="9"/>
      <c r="BY229" s="9"/>
      <c r="BZ229" s="9"/>
      <c r="CA229" s="9"/>
      <c r="CB229" s="9"/>
      <c r="CC229" s="9"/>
      <c r="CD229" s="9"/>
      <c r="CE229" s="9"/>
      <c r="CF229" s="9"/>
      <c r="CG229" s="9"/>
      <c r="CH229" s="9"/>
      <c r="CI229" s="9"/>
      <c r="CJ229" s="9"/>
      <c r="CK229" s="9"/>
      <c r="CL229" s="9"/>
      <c r="CM229" s="9"/>
      <c r="CN229" s="9"/>
      <c r="CO229" s="9"/>
      <c r="CP229" s="9"/>
      <c r="CQ229" s="10"/>
      <c r="CR229" s="9"/>
      <c r="CS229" s="9"/>
      <c r="CT229" s="9"/>
      <c r="CU229" s="9"/>
      <c r="CV229" s="9"/>
      <c r="CW229" s="9"/>
      <c r="CX229" s="9"/>
      <c r="CY229" s="9"/>
      <c r="CZ229" s="9"/>
      <c r="DA229" s="9"/>
      <c r="DB229" s="9"/>
      <c r="DC229" s="9"/>
      <c r="DD229" s="9"/>
      <c r="DE229" s="9"/>
      <c r="DF229" s="9"/>
      <c r="DG229" s="9"/>
      <c r="DH229" s="9"/>
      <c r="DI229" s="9"/>
      <c r="DJ229" s="9"/>
      <c r="DK229" s="9"/>
      <c r="DL229" s="9"/>
      <c r="DM229" s="9"/>
      <c r="DN229" s="9"/>
      <c r="DO229" s="9"/>
      <c r="DP229" s="9"/>
      <c r="DQ229" s="9"/>
      <c r="DR229" s="9"/>
      <c r="DS229" s="10"/>
      <c r="DT229" s="9"/>
      <c r="DU229" s="9"/>
      <c r="DV229" s="9"/>
      <c r="DW229" s="9"/>
      <c r="DX229" s="9"/>
      <c r="DY229" s="9"/>
      <c r="DZ229" s="9"/>
      <c r="EA229" s="9"/>
      <c r="EB229" s="9"/>
      <c r="EC229" s="9"/>
      <c r="ED229" s="9"/>
      <c r="EE229" s="9"/>
      <c r="EF229" s="9"/>
      <c r="EG229" s="9"/>
      <c r="EH229" s="9"/>
      <c r="EI229" s="9"/>
      <c r="EJ229" s="9"/>
      <c r="EK229" s="9"/>
      <c r="EL229" s="9"/>
      <c r="EM229" s="9"/>
      <c r="EN229" s="9"/>
      <c r="EO229" s="9"/>
      <c r="EP229" s="9"/>
      <c r="EQ229" s="9"/>
      <c r="ER229" s="9"/>
      <c r="ES229" s="9"/>
      <c r="ET229" s="9"/>
      <c r="EU229" s="10"/>
      <c r="EV229" s="9"/>
      <c r="EW229" s="9"/>
      <c r="EX229" s="9"/>
      <c r="EY229" s="9"/>
      <c r="EZ229" s="9"/>
      <c r="FA229" s="9"/>
      <c r="FB229" s="9"/>
      <c r="FC229" s="9"/>
      <c r="FD229" s="9"/>
      <c r="FE229" s="9"/>
      <c r="FF229" s="9"/>
      <c r="FG229" s="9"/>
      <c r="FH229" s="9"/>
      <c r="FI229" s="9"/>
      <c r="FJ229" s="9"/>
      <c r="FK229" s="9"/>
      <c r="FL229" s="9"/>
      <c r="FM229" s="9"/>
      <c r="FN229" s="9"/>
      <c r="FO229" s="9"/>
      <c r="FP229" s="9"/>
      <c r="FQ229" s="9"/>
      <c r="FR229" s="9"/>
      <c r="FS229" s="9"/>
      <c r="FT229" s="9"/>
      <c r="FU229" s="9"/>
      <c r="FV229" s="9"/>
      <c r="FW229" s="10"/>
      <c r="FX229" s="9"/>
      <c r="FY229" s="9"/>
      <c r="FZ229" s="9"/>
      <c r="GA229" s="9"/>
      <c r="GB229" s="9"/>
      <c r="GC229" s="9"/>
      <c r="GD229" s="9"/>
      <c r="GE229" s="9"/>
      <c r="GF229" s="9"/>
      <c r="GG229" s="9"/>
      <c r="GH229" s="9"/>
      <c r="GI229" s="9"/>
      <c r="GJ229" s="9"/>
      <c r="GK229" s="9"/>
      <c r="GL229" s="9"/>
      <c r="GM229" s="9"/>
      <c r="GN229" s="9"/>
      <c r="GO229" s="9"/>
      <c r="GP229" s="9"/>
      <c r="GQ229" s="9"/>
      <c r="GR229" s="9"/>
      <c r="GS229" s="9"/>
      <c r="GT229" s="9"/>
      <c r="GU229" s="9"/>
      <c r="GV229" s="9"/>
      <c r="GW229" s="9"/>
      <c r="GX229" s="9"/>
      <c r="GY229" s="10"/>
      <c r="GZ229" s="9"/>
      <c r="HA229" s="9"/>
    </row>
    <row r="230" spans="1:209" s="2" customFormat="1" ht="17" customHeight="1">
      <c r="A230" s="14" t="s">
        <v>226</v>
      </c>
      <c r="B230" s="35">
        <v>0</v>
      </c>
      <c r="C230" s="35">
        <v>0</v>
      </c>
      <c r="D230" s="4">
        <f t="shared" si="57"/>
        <v>0</v>
      </c>
      <c r="E230" s="11">
        <v>0</v>
      </c>
      <c r="F230" s="5" t="s">
        <v>362</v>
      </c>
      <c r="G230" s="5" t="s">
        <v>362</v>
      </c>
      <c r="H230" s="5" t="s">
        <v>362</v>
      </c>
      <c r="I230" s="5" t="s">
        <v>362</v>
      </c>
      <c r="J230" s="5" t="s">
        <v>362</v>
      </c>
      <c r="K230" s="5" t="s">
        <v>362</v>
      </c>
      <c r="L230" s="5" t="s">
        <v>362</v>
      </c>
      <c r="M230" s="5" t="s">
        <v>362</v>
      </c>
      <c r="N230" s="35">
        <v>410.2</v>
      </c>
      <c r="O230" s="35">
        <v>167.7</v>
      </c>
      <c r="P230" s="4">
        <f t="shared" si="58"/>
        <v>0.40882496343247193</v>
      </c>
      <c r="Q230" s="11">
        <v>20</v>
      </c>
      <c r="R230" s="35">
        <v>11</v>
      </c>
      <c r="S230" s="35">
        <v>23.7</v>
      </c>
      <c r="T230" s="4">
        <f t="shared" si="59"/>
        <v>1.2954545454545454</v>
      </c>
      <c r="U230" s="11">
        <v>20</v>
      </c>
      <c r="V230" s="35">
        <v>6</v>
      </c>
      <c r="W230" s="35">
        <v>16</v>
      </c>
      <c r="X230" s="4">
        <f t="shared" si="60"/>
        <v>1.3</v>
      </c>
      <c r="Y230" s="11">
        <v>30</v>
      </c>
      <c r="Z230" s="35">
        <v>1713.6</v>
      </c>
      <c r="AA230" s="35">
        <v>1705</v>
      </c>
      <c r="AB230" s="4">
        <f t="shared" si="61"/>
        <v>0.99498132586367882</v>
      </c>
      <c r="AC230" s="11">
        <v>5</v>
      </c>
      <c r="AD230" s="11">
        <v>137</v>
      </c>
      <c r="AE230" s="11">
        <v>126</v>
      </c>
      <c r="AF230" s="4">
        <f t="shared" si="62"/>
        <v>0.91970802919708028</v>
      </c>
      <c r="AG230" s="11">
        <v>20</v>
      </c>
      <c r="AH230" s="5" t="s">
        <v>362</v>
      </c>
      <c r="AI230" s="5" t="s">
        <v>362</v>
      </c>
      <c r="AJ230" s="5" t="s">
        <v>362</v>
      </c>
      <c r="AK230" s="5" t="s">
        <v>362</v>
      </c>
      <c r="AL230" s="5" t="s">
        <v>362</v>
      </c>
      <c r="AM230" s="5" t="s">
        <v>362</v>
      </c>
      <c r="AN230" s="5" t="s">
        <v>362</v>
      </c>
      <c r="AO230" s="5" t="s">
        <v>362</v>
      </c>
      <c r="AP230" s="44">
        <f t="shared" si="71"/>
        <v>1.0153121830631615</v>
      </c>
      <c r="AQ230" s="45">
        <v>1904</v>
      </c>
      <c r="AR230" s="35">
        <f t="shared" si="63"/>
        <v>519.27272727272725</v>
      </c>
      <c r="AS230" s="35">
        <f t="shared" si="64"/>
        <v>527.20000000000005</v>
      </c>
      <c r="AT230" s="35">
        <f t="shared" si="65"/>
        <v>7.9272727272727934</v>
      </c>
      <c r="AU230" s="35">
        <v>182.9</v>
      </c>
      <c r="AV230" s="35">
        <v>177.9</v>
      </c>
      <c r="AW230" s="35">
        <f t="shared" si="66"/>
        <v>166.4</v>
      </c>
      <c r="AX230" s="35"/>
      <c r="AY230" s="35">
        <f t="shared" si="67"/>
        <v>166.4</v>
      </c>
      <c r="AZ230" s="35">
        <v>0</v>
      </c>
      <c r="BA230" s="35">
        <f t="shared" si="68"/>
        <v>166.4</v>
      </c>
      <c r="BB230" s="35"/>
      <c r="BC230" s="35">
        <f t="shared" si="69"/>
        <v>166.4</v>
      </c>
      <c r="BD230" s="35">
        <v>167</v>
      </c>
      <c r="BE230" s="35">
        <f t="shared" si="70"/>
        <v>-0.6</v>
      </c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9"/>
      <c r="BU230" s="9"/>
      <c r="BV230" s="9"/>
      <c r="BW230" s="9"/>
      <c r="BX230" s="9"/>
      <c r="BY230" s="9"/>
      <c r="BZ230" s="9"/>
      <c r="CA230" s="9"/>
      <c r="CB230" s="9"/>
      <c r="CC230" s="9"/>
      <c r="CD230" s="9"/>
      <c r="CE230" s="9"/>
      <c r="CF230" s="9"/>
      <c r="CG230" s="9"/>
      <c r="CH230" s="9"/>
      <c r="CI230" s="9"/>
      <c r="CJ230" s="9"/>
      <c r="CK230" s="9"/>
      <c r="CL230" s="9"/>
      <c r="CM230" s="9"/>
      <c r="CN230" s="9"/>
      <c r="CO230" s="9"/>
      <c r="CP230" s="9"/>
      <c r="CQ230" s="10"/>
      <c r="CR230" s="9"/>
      <c r="CS230" s="9"/>
      <c r="CT230" s="9"/>
      <c r="CU230" s="9"/>
      <c r="CV230" s="9"/>
      <c r="CW230" s="9"/>
      <c r="CX230" s="9"/>
      <c r="CY230" s="9"/>
      <c r="CZ230" s="9"/>
      <c r="DA230" s="9"/>
      <c r="DB230" s="9"/>
      <c r="DC230" s="9"/>
      <c r="DD230" s="9"/>
      <c r="DE230" s="9"/>
      <c r="DF230" s="9"/>
      <c r="DG230" s="9"/>
      <c r="DH230" s="9"/>
      <c r="DI230" s="9"/>
      <c r="DJ230" s="9"/>
      <c r="DK230" s="9"/>
      <c r="DL230" s="9"/>
      <c r="DM230" s="9"/>
      <c r="DN230" s="9"/>
      <c r="DO230" s="9"/>
      <c r="DP230" s="9"/>
      <c r="DQ230" s="9"/>
      <c r="DR230" s="9"/>
      <c r="DS230" s="10"/>
      <c r="DT230" s="9"/>
      <c r="DU230" s="9"/>
      <c r="DV230" s="9"/>
      <c r="DW230" s="9"/>
      <c r="DX230" s="9"/>
      <c r="DY230" s="9"/>
      <c r="DZ230" s="9"/>
      <c r="EA230" s="9"/>
      <c r="EB230" s="9"/>
      <c r="EC230" s="9"/>
      <c r="ED230" s="9"/>
      <c r="EE230" s="9"/>
      <c r="EF230" s="9"/>
      <c r="EG230" s="9"/>
      <c r="EH230" s="9"/>
      <c r="EI230" s="9"/>
      <c r="EJ230" s="9"/>
      <c r="EK230" s="9"/>
      <c r="EL230" s="9"/>
      <c r="EM230" s="9"/>
      <c r="EN230" s="9"/>
      <c r="EO230" s="9"/>
      <c r="EP230" s="9"/>
      <c r="EQ230" s="9"/>
      <c r="ER230" s="9"/>
      <c r="ES230" s="9"/>
      <c r="ET230" s="9"/>
      <c r="EU230" s="10"/>
      <c r="EV230" s="9"/>
      <c r="EW230" s="9"/>
      <c r="EX230" s="9"/>
      <c r="EY230" s="9"/>
      <c r="EZ230" s="9"/>
      <c r="FA230" s="9"/>
      <c r="FB230" s="9"/>
      <c r="FC230" s="9"/>
      <c r="FD230" s="9"/>
      <c r="FE230" s="9"/>
      <c r="FF230" s="9"/>
      <c r="FG230" s="9"/>
      <c r="FH230" s="9"/>
      <c r="FI230" s="9"/>
      <c r="FJ230" s="9"/>
      <c r="FK230" s="9"/>
      <c r="FL230" s="9"/>
      <c r="FM230" s="9"/>
      <c r="FN230" s="9"/>
      <c r="FO230" s="9"/>
      <c r="FP230" s="9"/>
      <c r="FQ230" s="9"/>
      <c r="FR230" s="9"/>
      <c r="FS230" s="9"/>
      <c r="FT230" s="9"/>
      <c r="FU230" s="9"/>
      <c r="FV230" s="9"/>
      <c r="FW230" s="10"/>
      <c r="FX230" s="9"/>
      <c r="FY230" s="9"/>
      <c r="FZ230" s="9"/>
      <c r="GA230" s="9"/>
      <c r="GB230" s="9"/>
      <c r="GC230" s="9"/>
      <c r="GD230" s="9"/>
      <c r="GE230" s="9"/>
      <c r="GF230" s="9"/>
      <c r="GG230" s="9"/>
      <c r="GH230" s="9"/>
      <c r="GI230" s="9"/>
      <c r="GJ230" s="9"/>
      <c r="GK230" s="9"/>
      <c r="GL230" s="9"/>
      <c r="GM230" s="9"/>
      <c r="GN230" s="9"/>
      <c r="GO230" s="9"/>
      <c r="GP230" s="9"/>
      <c r="GQ230" s="9"/>
      <c r="GR230" s="9"/>
      <c r="GS230" s="9"/>
      <c r="GT230" s="9"/>
      <c r="GU230" s="9"/>
      <c r="GV230" s="9"/>
      <c r="GW230" s="9"/>
      <c r="GX230" s="9"/>
      <c r="GY230" s="10"/>
      <c r="GZ230" s="9"/>
      <c r="HA230" s="9"/>
    </row>
    <row r="231" spans="1:209" s="2" customFormat="1" ht="17" customHeight="1">
      <c r="A231" s="14" t="s">
        <v>227</v>
      </c>
      <c r="B231" s="35">
        <v>0</v>
      </c>
      <c r="C231" s="35">
        <v>0</v>
      </c>
      <c r="D231" s="4">
        <f t="shared" si="57"/>
        <v>0</v>
      </c>
      <c r="E231" s="11">
        <v>0</v>
      </c>
      <c r="F231" s="5" t="s">
        <v>362</v>
      </c>
      <c r="G231" s="5" t="s">
        <v>362</v>
      </c>
      <c r="H231" s="5" t="s">
        <v>362</v>
      </c>
      <c r="I231" s="5" t="s">
        <v>362</v>
      </c>
      <c r="J231" s="5" t="s">
        <v>362</v>
      </c>
      <c r="K231" s="5" t="s">
        <v>362</v>
      </c>
      <c r="L231" s="5" t="s">
        <v>362</v>
      </c>
      <c r="M231" s="5" t="s">
        <v>362</v>
      </c>
      <c r="N231" s="35">
        <v>539.9</v>
      </c>
      <c r="O231" s="35">
        <v>118.8</v>
      </c>
      <c r="P231" s="4">
        <f t="shared" si="58"/>
        <v>0.22004074828671977</v>
      </c>
      <c r="Q231" s="11">
        <v>20</v>
      </c>
      <c r="R231" s="35">
        <v>58</v>
      </c>
      <c r="S231" s="35">
        <v>54.3</v>
      </c>
      <c r="T231" s="4">
        <f t="shared" si="59"/>
        <v>0.93620689655172407</v>
      </c>
      <c r="U231" s="11">
        <v>25</v>
      </c>
      <c r="V231" s="35">
        <v>5</v>
      </c>
      <c r="W231" s="35">
        <v>9.1</v>
      </c>
      <c r="X231" s="4">
        <f t="shared" si="60"/>
        <v>1.262</v>
      </c>
      <c r="Y231" s="11">
        <v>25</v>
      </c>
      <c r="Z231" s="35">
        <v>3908</v>
      </c>
      <c r="AA231" s="35">
        <v>1705</v>
      </c>
      <c r="AB231" s="4">
        <f t="shared" si="61"/>
        <v>0.43628454452405324</v>
      </c>
      <c r="AC231" s="11">
        <v>5</v>
      </c>
      <c r="AD231" s="11">
        <v>328</v>
      </c>
      <c r="AE231" s="11">
        <v>399</v>
      </c>
      <c r="AF231" s="4">
        <f t="shared" si="62"/>
        <v>1.2016463414634146</v>
      </c>
      <c r="AG231" s="11">
        <v>20</v>
      </c>
      <c r="AH231" s="5" t="s">
        <v>362</v>
      </c>
      <c r="AI231" s="5" t="s">
        <v>362</v>
      </c>
      <c r="AJ231" s="5" t="s">
        <v>362</v>
      </c>
      <c r="AK231" s="5" t="s">
        <v>362</v>
      </c>
      <c r="AL231" s="5" t="s">
        <v>362</v>
      </c>
      <c r="AM231" s="5" t="s">
        <v>362</v>
      </c>
      <c r="AN231" s="5" t="s">
        <v>362</v>
      </c>
      <c r="AO231" s="5" t="s">
        <v>362</v>
      </c>
      <c r="AP231" s="44">
        <f t="shared" si="71"/>
        <v>0.90074038875174789</v>
      </c>
      <c r="AQ231" s="45">
        <v>1216</v>
      </c>
      <c r="AR231" s="35">
        <f t="shared" si="63"/>
        <v>331.63636363636363</v>
      </c>
      <c r="AS231" s="35">
        <f t="shared" si="64"/>
        <v>298.7</v>
      </c>
      <c r="AT231" s="35">
        <f t="shared" si="65"/>
        <v>-32.936363636363637</v>
      </c>
      <c r="AU231" s="35">
        <v>71.400000000000006</v>
      </c>
      <c r="AV231" s="35">
        <v>94.6</v>
      </c>
      <c r="AW231" s="35">
        <f t="shared" si="66"/>
        <v>132.69999999999999</v>
      </c>
      <c r="AX231" s="35"/>
      <c r="AY231" s="35">
        <f t="shared" si="67"/>
        <v>132.69999999999999</v>
      </c>
      <c r="AZ231" s="35">
        <v>0</v>
      </c>
      <c r="BA231" s="35">
        <f t="shared" si="68"/>
        <v>132.69999999999999</v>
      </c>
      <c r="BB231" s="35"/>
      <c r="BC231" s="35">
        <f t="shared" si="69"/>
        <v>132.69999999999999</v>
      </c>
      <c r="BD231" s="35">
        <v>141.30000000000001</v>
      </c>
      <c r="BE231" s="35">
        <f t="shared" si="70"/>
        <v>-8.6</v>
      </c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9"/>
      <c r="BU231" s="9"/>
      <c r="BV231" s="9"/>
      <c r="BW231" s="9"/>
      <c r="BX231" s="9"/>
      <c r="BY231" s="9"/>
      <c r="BZ231" s="9"/>
      <c r="CA231" s="9"/>
      <c r="CB231" s="9"/>
      <c r="CC231" s="9"/>
      <c r="CD231" s="9"/>
      <c r="CE231" s="9"/>
      <c r="CF231" s="9"/>
      <c r="CG231" s="9"/>
      <c r="CH231" s="9"/>
      <c r="CI231" s="9"/>
      <c r="CJ231" s="9"/>
      <c r="CK231" s="9"/>
      <c r="CL231" s="9"/>
      <c r="CM231" s="9"/>
      <c r="CN231" s="9"/>
      <c r="CO231" s="9"/>
      <c r="CP231" s="9"/>
      <c r="CQ231" s="10"/>
      <c r="CR231" s="9"/>
      <c r="CS231" s="9"/>
      <c r="CT231" s="9"/>
      <c r="CU231" s="9"/>
      <c r="CV231" s="9"/>
      <c r="CW231" s="9"/>
      <c r="CX231" s="9"/>
      <c r="CY231" s="9"/>
      <c r="CZ231" s="9"/>
      <c r="DA231" s="9"/>
      <c r="DB231" s="9"/>
      <c r="DC231" s="9"/>
      <c r="DD231" s="9"/>
      <c r="DE231" s="9"/>
      <c r="DF231" s="9"/>
      <c r="DG231" s="9"/>
      <c r="DH231" s="9"/>
      <c r="DI231" s="9"/>
      <c r="DJ231" s="9"/>
      <c r="DK231" s="9"/>
      <c r="DL231" s="9"/>
      <c r="DM231" s="9"/>
      <c r="DN231" s="9"/>
      <c r="DO231" s="9"/>
      <c r="DP231" s="9"/>
      <c r="DQ231" s="9"/>
      <c r="DR231" s="9"/>
      <c r="DS231" s="10"/>
      <c r="DT231" s="9"/>
      <c r="DU231" s="9"/>
      <c r="DV231" s="9"/>
      <c r="DW231" s="9"/>
      <c r="DX231" s="9"/>
      <c r="DY231" s="9"/>
      <c r="DZ231" s="9"/>
      <c r="EA231" s="9"/>
      <c r="EB231" s="9"/>
      <c r="EC231" s="9"/>
      <c r="ED231" s="9"/>
      <c r="EE231" s="9"/>
      <c r="EF231" s="9"/>
      <c r="EG231" s="9"/>
      <c r="EH231" s="9"/>
      <c r="EI231" s="9"/>
      <c r="EJ231" s="9"/>
      <c r="EK231" s="9"/>
      <c r="EL231" s="9"/>
      <c r="EM231" s="9"/>
      <c r="EN231" s="9"/>
      <c r="EO231" s="9"/>
      <c r="EP231" s="9"/>
      <c r="EQ231" s="9"/>
      <c r="ER231" s="9"/>
      <c r="ES231" s="9"/>
      <c r="ET231" s="9"/>
      <c r="EU231" s="10"/>
      <c r="EV231" s="9"/>
      <c r="EW231" s="9"/>
      <c r="EX231" s="9"/>
      <c r="EY231" s="9"/>
      <c r="EZ231" s="9"/>
      <c r="FA231" s="9"/>
      <c r="FB231" s="9"/>
      <c r="FC231" s="9"/>
      <c r="FD231" s="9"/>
      <c r="FE231" s="9"/>
      <c r="FF231" s="9"/>
      <c r="FG231" s="9"/>
      <c r="FH231" s="9"/>
      <c r="FI231" s="9"/>
      <c r="FJ231" s="9"/>
      <c r="FK231" s="9"/>
      <c r="FL231" s="9"/>
      <c r="FM231" s="9"/>
      <c r="FN231" s="9"/>
      <c r="FO231" s="9"/>
      <c r="FP231" s="9"/>
      <c r="FQ231" s="9"/>
      <c r="FR231" s="9"/>
      <c r="FS231" s="9"/>
      <c r="FT231" s="9"/>
      <c r="FU231" s="9"/>
      <c r="FV231" s="9"/>
      <c r="FW231" s="10"/>
      <c r="FX231" s="9"/>
      <c r="FY231" s="9"/>
      <c r="FZ231" s="9"/>
      <c r="GA231" s="9"/>
      <c r="GB231" s="9"/>
      <c r="GC231" s="9"/>
      <c r="GD231" s="9"/>
      <c r="GE231" s="9"/>
      <c r="GF231" s="9"/>
      <c r="GG231" s="9"/>
      <c r="GH231" s="9"/>
      <c r="GI231" s="9"/>
      <c r="GJ231" s="9"/>
      <c r="GK231" s="9"/>
      <c r="GL231" s="9"/>
      <c r="GM231" s="9"/>
      <c r="GN231" s="9"/>
      <c r="GO231" s="9"/>
      <c r="GP231" s="9"/>
      <c r="GQ231" s="9"/>
      <c r="GR231" s="9"/>
      <c r="GS231" s="9"/>
      <c r="GT231" s="9"/>
      <c r="GU231" s="9"/>
      <c r="GV231" s="9"/>
      <c r="GW231" s="9"/>
      <c r="GX231" s="9"/>
      <c r="GY231" s="10"/>
      <c r="GZ231" s="9"/>
      <c r="HA231" s="9"/>
    </row>
    <row r="232" spans="1:209" s="2" customFormat="1" ht="17" customHeight="1">
      <c r="A232" s="14" t="s">
        <v>228</v>
      </c>
      <c r="B232" s="35">
        <v>0</v>
      </c>
      <c r="C232" s="35">
        <v>0</v>
      </c>
      <c r="D232" s="4">
        <f t="shared" si="57"/>
        <v>0</v>
      </c>
      <c r="E232" s="11">
        <v>0</v>
      </c>
      <c r="F232" s="5" t="s">
        <v>362</v>
      </c>
      <c r="G232" s="5" t="s">
        <v>362</v>
      </c>
      <c r="H232" s="5" t="s">
        <v>362</v>
      </c>
      <c r="I232" s="5" t="s">
        <v>362</v>
      </c>
      <c r="J232" s="5" t="s">
        <v>362</v>
      </c>
      <c r="K232" s="5" t="s">
        <v>362</v>
      </c>
      <c r="L232" s="5" t="s">
        <v>362</v>
      </c>
      <c r="M232" s="5" t="s">
        <v>362</v>
      </c>
      <c r="N232" s="35">
        <v>786.2</v>
      </c>
      <c r="O232" s="35">
        <v>745.1</v>
      </c>
      <c r="P232" s="4">
        <f t="shared" si="58"/>
        <v>0.94772322564233014</v>
      </c>
      <c r="Q232" s="11">
        <v>20</v>
      </c>
      <c r="R232" s="35">
        <v>69</v>
      </c>
      <c r="S232" s="35">
        <v>87.4</v>
      </c>
      <c r="T232" s="4">
        <f t="shared" si="59"/>
        <v>1.2066666666666666</v>
      </c>
      <c r="U232" s="11">
        <v>15</v>
      </c>
      <c r="V232" s="35">
        <v>25</v>
      </c>
      <c r="W232" s="35">
        <v>29.8</v>
      </c>
      <c r="X232" s="4">
        <f t="shared" si="60"/>
        <v>1.1919999999999999</v>
      </c>
      <c r="Y232" s="11">
        <v>35</v>
      </c>
      <c r="Z232" s="35">
        <v>3223</v>
      </c>
      <c r="AA232" s="35">
        <v>2728</v>
      </c>
      <c r="AB232" s="4">
        <f t="shared" si="61"/>
        <v>0.84641638225255977</v>
      </c>
      <c r="AC232" s="11">
        <v>5</v>
      </c>
      <c r="AD232" s="11">
        <v>435</v>
      </c>
      <c r="AE232" s="11">
        <v>461</v>
      </c>
      <c r="AF232" s="4">
        <f t="shared" si="62"/>
        <v>1.0597701149425287</v>
      </c>
      <c r="AG232" s="11">
        <v>20</v>
      </c>
      <c r="AH232" s="5" t="s">
        <v>362</v>
      </c>
      <c r="AI232" s="5" t="s">
        <v>362</v>
      </c>
      <c r="AJ232" s="5" t="s">
        <v>362</v>
      </c>
      <c r="AK232" s="5" t="s">
        <v>362</v>
      </c>
      <c r="AL232" s="5" t="s">
        <v>362</v>
      </c>
      <c r="AM232" s="5" t="s">
        <v>362</v>
      </c>
      <c r="AN232" s="5" t="s">
        <v>362</v>
      </c>
      <c r="AO232" s="5" t="s">
        <v>362</v>
      </c>
      <c r="AP232" s="44">
        <f t="shared" si="71"/>
        <v>1.0968626181364207</v>
      </c>
      <c r="AQ232" s="45">
        <v>3117</v>
      </c>
      <c r="AR232" s="35">
        <f t="shared" si="63"/>
        <v>850.09090909090912</v>
      </c>
      <c r="AS232" s="35">
        <f t="shared" si="64"/>
        <v>932.4</v>
      </c>
      <c r="AT232" s="35">
        <f t="shared" si="65"/>
        <v>82.309090909090855</v>
      </c>
      <c r="AU232" s="35">
        <v>320.3</v>
      </c>
      <c r="AV232" s="35">
        <v>261.39999999999998</v>
      </c>
      <c r="AW232" s="35">
        <f t="shared" si="66"/>
        <v>350.7</v>
      </c>
      <c r="AX232" s="35"/>
      <c r="AY232" s="35">
        <f t="shared" si="67"/>
        <v>350.7</v>
      </c>
      <c r="AZ232" s="35">
        <v>0</v>
      </c>
      <c r="BA232" s="35">
        <f t="shared" si="68"/>
        <v>350.7</v>
      </c>
      <c r="BB232" s="35"/>
      <c r="BC232" s="35">
        <f t="shared" si="69"/>
        <v>350.7</v>
      </c>
      <c r="BD232" s="35">
        <v>362.6</v>
      </c>
      <c r="BE232" s="35">
        <f t="shared" si="70"/>
        <v>-11.9</v>
      </c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9"/>
      <c r="BU232" s="9"/>
      <c r="BV232" s="9"/>
      <c r="BW232" s="9"/>
      <c r="BX232" s="9"/>
      <c r="BY232" s="9"/>
      <c r="BZ232" s="9"/>
      <c r="CA232" s="9"/>
      <c r="CB232" s="9"/>
      <c r="CC232" s="9"/>
      <c r="CD232" s="9"/>
      <c r="CE232" s="9"/>
      <c r="CF232" s="9"/>
      <c r="CG232" s="9"/>
      <c r="CH232" s="9"/>
      <c r="CI232" s="9"/>
      <c r="CJ232" s="9"/>
      <c r="CK232" s="9"/>
      <c r="CL232" s="9"/>
      <c r="CM232" s="9"/>
      <c r="CN232" s="9"/>
      <c r="CO232" s="9"/>
      <c r="CP232" s="9"/>
      <c r="CQ232" s="10"/>
      <c r="CR232" s="9"/>
      <c r="CS232" s="9"/>
      <c r="CT232" s="9"/>
      <c r="CU232" s="9"/>
      <c r="CV232" s="9"/>
      <c r="CW232" s="9"/>
      <c r="CX232" s="9"/>
      <c r="CY232" s="9"/>
      <c r="CZ232" s="9"/>
      <c r="DA232" s="9"/>
      <c r="DB232" s="9"/>
      <c r="DC232" s="9"/>
      <c r="DD232" s="9"/>
      <c r="DE232" s="9"/>
      <c r="DF232" s="9"/>
      <c r="DG232" s="9"/>
      <c r="DH232" s="9"/>
      <c r="DI232" s="9"/>
      <c r="DJ232" s="9"/>
      <c r="DK232" s="9"/>
      <c r="DL232" s="9"/>
      <c r="DM232" s="9"/>
      <c r="DN232" s="9"/>
      <c r="DO232" s="9"/>
      <c r="DP232" s="9"/>
      <c r="DQ232" s="9"/>
      <c r="DR232" s="9"/>
      <c r="DS232" s="10"/>
      <c r="DT232" s="9"/>
      <c r="DU232" s="9"/>
      <c r="DV232" s="9"/>
      <c r="DW232" s="9"/>
      <c r="DX232" s="9"/>
      <c r="DY232" s="9"/>
      <c r="DZ232" s="9"/>
      <c r="EA232" s="9"/>
      <c r="EB232" s="9"/>
      <c r="EC232" s="9"/>
      <c r="ED232" s="9"/>
      <c r="EE232" s="9"/>
      <c r="EF232" s="9"/>
      <c r="EG232" s="9"/>
      <c r="EH232" s="9"/>
      <c r="EI232" s="9"/>
      <c r="EJ232" s="9"/>
      <c r="EK232" s="9"/>
      <c r="EL232" s="9"/>
      <c r="EM232" s="9"/>
      <c r="EN232" s="9"/>
      <c r="EO232" s="9"/>
      <c r="EP232" s="9"/>
      <c r="EQ232" s="9"/>
      <c r="ER232" s="9"/>
      <c r="ES232" s="9"/>
      <c r="ET232" s="9"/>
      <c r="EU232" s="10"/>
      <c r="EV232" s="9"/>
      <c r="EW232" s="9"/>
      <c r="EX232" s="9"/>
      <c r="EY232" s="9"/>
      <c r="EZ232" s="9"/>
      <c r="FA232" s="9"/>
      <c r="FB232" s="9"/>
      <c r="FC232" s="9"/>
      <c r="FD232" s="9"/>
      <c r="FE232" s="9"/>
      <c r="FF232" s="9"/>
      <c r="FG232" s="9"/>
      <c r="FH232" s="9"/>
      <c r="FI232" s="9"/>
      <c r="FJ232" s="9"/>
      <c r="FK232" s="9"/>
      <c r="FL232" s="9"/>
      <c r="FM232" s="9"/>
      <c r="FN232" s="9"/>
      <c r="FO232" s="9"/>
      <c r="FP232" s="9"/>
      <c r="FQ232" s="9"/>
      <c r="FR232" s="9"/>
      <c r="FS232" s="9"/>
      <c r="FT232" s="9"/>
      <c r="FU232" s="9"/>
      <c r="FV232" s="9"/>
      <c r="FW232" s="10"/>
      <c r="FX232" s="9"/>
      <c r="FY232" s="9"/>
      <c r="FZ232" s="9"/>
      <c r="GA232" s="9"/>
      <c r="GB232" s="9"/>
      <c r="GC232" s="9"/>
      <c r="GD232" s="9"/>
      <c r="GE232" s="9"/>
      <c r="GF232" s="9"/>
      <c r="GG232" s="9"/>
      <c r="GH232" s="9"/>
      <c r="GI232" s="9"/>
      <c r="GJ232" s="9"/>
      <c r="GK232" s="9"/>
      <c r="GL232" s="9"/>
      <c r="GM232" s="9"/>
      <c r="GN232" s="9"/>
      <c r="GO232" s="9"/>
      <c r="GP232" s="9"/>
      <c r="GQ232" s="9"/>
      <c r="GR232" s="9"/>
      <c r="GS232" s="9"/>
      <c r="GT232" s="9"/>
      <c r="GU232" s="9"/>
      <c r="GV232" s="9"/>
      <c r="GW232" s="9"/>
      <c r="GX232" s="9"/>
      <c r="GY232" s="10"/>
      <c r="GZ232" s="9"/>
      <c r="HA232" s="9"/>
    </row>
    <row r="233" spans="1:209" s="2" customFormat="1" ht="17" customHeight="1">
      <c r="A233" s="14" t="s">
        <v>229</v>
      </c>
      <c r="B233" s="35">
        <v>2984</v>
      </c>
      <c r="C233" s="35">
        <v>289.8</v>
      </c>
      <c r="D233" s="4">
        <f t="shared" si="57"/>
        <v>9.7117962466487934E-2</v>
      </c>
      <c r="E233" s="11">
        <v>10</v>
      </c>
      <c r="F233" s="5" t="s">
        <v>362</v>
      </c>
      <c r="G233" s="5" t="s">
        <v>362</v>
      </c>
      <c r="H233" s="5" t="s">
        <v>362</v>
      </c>
      <c r="I233" s="5" t="s">
        <v>362</v>
      </c>
      <c r="J233" s="5" t="s">
        <v>362</v>
      </c>
      <c r="K233" s="5" t="s">
        <v>362</v>
      </c>
      <c r="L233" s="5" t="s">
        <v>362</v>
      </c>
      <c r="M233" s="5" t="s">
        <v>362</v>
      </c>
      <c r="N233" s="35">
        <v>1523</v>
      </c>
      <c r="O233" s="35">
        <v>681</v>
      </c>
      <c r="P233" s="4">
        <f t="shared" si="58"/>
        <v>0.44714379514116875</v>
      </c>
      <c r="Q233" s="11">
        <v>20</v>
      </c>
      <c r="R233" s="35">
        <v>27</v>
      </c>
      <c r="S233" s="35">
        <v>17.399999999999999</v>
      </c>
      <c r="T233" s="4">
        <f t="shared" si="59"/>
        <v>0.64444444444444438</v>
      </c>
      <c r="U233" s="11">
        <v>15</v>
      </c>
      <c r="V233" s="35">
        <v>13</v>
      </c>
      <c r="W233" s="35">
        <v>15</v>
      </c>
      <c r="X233" s="4">
        <f t="shared" si="60"/>
        <v>1.1538461538461537</v>
      </c>
      <c r="Y233" s="11">
        <v>35</v>
      </c>
      <c r="Z233" s="35">
        <v>24864</v>
      </c>
      <c r="AA233" s="35">
        <v>19097</v>
      </c>
      <c r="AB233" s="4">
        <f t="shared" si="61"/>
        <v>0.76805823680823682</v>
      </c>
      <c r="AC233" s="11">
        <v>5</v>
      </c>
      <c r="AD233" s="11">
        <v>189</v>
      </c>
      <c r="AE233" s="11">
        <v>171</v>
      </c>
      <c r="AF233" s="4">
        <f t="shared" si="62"/>
        <v>0.90476190476190477</v>
      </c>
      <c r="AG233" s="11">
        <v>20</v>
      </c>
      <c r="AH233" s="5" t="s">
        <v>362</v>
      </c>
      <c r="AI233" s="5" t="s">
        <v>362</v>
      </c>
      <c r="AJ233" s="5" t="s">
        <v>362</v>
      </c>
      <c r="AK233" s="5" t="s">
        <v>362</v>
      </c>
      <c r="AL233" s="5" t="s">
        <v>362</v>
      </c>
      <c r="AM233" s="5" t="s">
        <v>362</v>
      </c>
      <c r="AN233" s="5" t="s">
        <v>362</v>
      </c>
      <c r="AO233" s="5" t="s">
        <v>362</v>
      </c>
      <c r="AP233" s="44">
        <f t="shared" si="71"/>
        <v>0.78000825579094846</v>
      </c>
      <c r="AQ233" s="45">
        <v>2200</v>
      </c>
      <c r="AR233" s="35">
        <f t="shared" si="63"/>
        <v>600</v>
      </c>
      <c r="AS233" s="35">
        <f t="shared" si="64"/>
        <v>468</v>
      </c>
      <c r="AT233" s="35">
        <f t="shared" si="65"/>
        <v>-132</v>
      </c>
      <c r="AU233" s="35">
        <v>161.69999999999999</v>
      </c>
      <c r="AV233" s="35">
        <v>187.6</v>
      </c>
      <c r="AW233" s="35">
        <f t="shared" si="66"/>
        <v>118.7</v>
      </c>
      <c r="AX233" s="35"/>
      <c r="AY233" s="35">
        <f t="shared" si="67"/>
        <v>118.7</v>
      </c>
      <c r="AZ233" s="35">
        <v>0</v>
      </c>
      <c r="BA233" s="35">
        <f t="shared" si="68"/>
        <v>118.7</v>
      </c>
      <c r="BB233" s="35"/>
      <c r="BC233" s="35">
        <f t="shared" si="69"/>
        <v>118.7</v>
      </c>
      <c r="BD233" s="35">
        <v>119.1</v>
      </c>
      <c r="BE233" s="35">
        <f t="shared" si="70"/>
        <v>-0.4</v>
      </c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9"/>
      <c r="BU233" s="9"/>
      <c r="BV233" s="9"/>
      <c r="BW233" s="9"/>
      <c r="BX233" s="9"/>
      <c r="BY233" s="9"/>
      <c r="BZ233" s="9"/>
      <c r="CA233" s="9"/>
      <c r="CB233" s="9"/>
      <c r="CC233" s="9"/>
      <c r="CD233" s="9"/>
      <c r="CE233" s="9"/>
      <c r="CF233" s="9"/>
      <c r="CG233" s="9"/>
      <c r="CH233" s="9"/>
      <c r="CI233" s="9"/>
      <c r="CJ233" s="9"/>
      <c r="CK233" s="9"/>
      <c r="CL233" s="9"/>
      <c r="CM233" s="9"/>
      <c r="CN233" s="9"/>
      <c r="CO233" s="9"/>
      <c r="CP233" s="9"/>
      <c r="CQ233" s="10"/>
      <c r="CR233" s="9"/>
      <c r="CS233" s="9"/>
      <c r="CT233" s="9"/>
      <c r="CU233" s="9"/>
      <c r="CV233" s="9"/>
      <c r="CW233" s="9"/>
      <c r="CX233" s="9"/>
      <c r="CY233" s="9"/>
      <c r="CZ233" s="9"/>
      <c r="DA233" s="9"/>
      <c r="DB233" s="9"/>
      <c r="DC233" s="9"/>
      <c r="DD233" s="9"/>
      <c r="DE233" s="9"/>
      <c r="DF233" s="9"/>
      <c r="DG233" s="9"/>
      <c r="DH233" s="9"/>
      <c r="DI233" s="9"/>
      <c r="DJ233" s="9"/>
      <c r="DK233" s="9"/>
      <c r="DL233" s="9"/>
      <c r="DM233" s="9"/>
      <c r="DN233" s="9"/>
      <c r="DO233" s="9"/>
      <c r="DP233" s="9"/>
      <c r="DQ233" s="9"/>
      <c r="DR233" s="9"/>
      <c r="DS233" s="10"/>
      <c r="DT233" s="9"/>
      <c r="DU233" s="9"/>
      <c r="DV233" s="9"/>
      <c r="DW233" s="9"/>
      <c r="DX233" s="9"/>
      <c r="DY233" s="9"/>
      <c r="DZ233" s="9"/>
      <c r="EA233" s="9"/>
      <c r="EB233" s="9"/>
      <c r="EC233" s="9"/>
      <c r="ED233" s="9"/>
      <c r="EE233" s="9"/>
      <c r="EF233" s="9"/>
      <c r="EG233" s="9"/>
      <c r="EH233" s="9"/>
      <c r="EI233" s="9"/>
      <c r="EJ233" s="9"/>
      <c r="EK233" s="9"/>
      <c r="EL233" s="9"/>
      <c r="EM233" s="9"/>
      <c r="EN233" s="9"/>
      <c r="EO233" s="9"/>
      <c r="EP233" s="9"/>
      <c r="EQ233" s="9"/>
      <c r="ER233" s="9"/>
      <c r="ES233" s="9"/>
      <c r="ET233" s="9"/>
      <c r="EU233" s="10"/>
      <c r="EV233" s="9"/>
      <c r="EW233" s="9"/>
      <c r="EX233" s="9"/>
      <c r="EY233" s="9"/>
      <c r="EZ233" s="9"/>
      <c r="FA233" s="9"/>
      <c r="FB233" s="9"/>
      <c r="FC233" s="9"/>
      <c r="FD233" s="9"/>
      <c r="FE233" s="9"/>
      <c r="FF233" s="9"/>
      <c r="FG233" s="9"/>
      <c r="FH233" s="9"/>
      <c r="FI233" s="9"/>
      <c r="FJ233" s="9"/>
      <c r="FK233" s="9"/>
      <c r="FL233" s="9"/>
      <c r="FM233" s="9"/>
      <c r="FN233" s="9"/>
      <c r="FO233" s="9"/>
      <c r="FP233" s="9"/>
      <c r="FQ233" s="9"/>
      <c r="FR233" s="9"/>
      <c r="FS233" s="9"/>
      <c r="FT233" s="9"/>
      <c r="FU233" s="9"/>
      <c r="FV233" s="9"/>
      <c r="FW233" s="10"/>
      <c r="FX233" s="9"/>
      <c r="FY233" s="9"/>
      <c r="FZ233" s="9"/>
      <c r="GA233" s="9"/>
      <c r="GB233" s="9"/>
      <c r="GC233" s="9"/>
      <c r="GD233" s="9"/>
      <c r="GE233" s="9"/>
      <c r="GF233" s="9"/>
      <c r="GG233" s="9"/>
      <c r="GH233" s="9"/>
      <c r="GI233" s="9"/>
      <c r="GJ233" s="9"/>
      <c r="GK233" s="9"/>
      <c r="GL233" s="9"/>
      <c r="GM233" s="9"/>
      <c r="GN233" s="9"/>
      <c r="GO233" s="9"/>
      <c r="GP233" s="9"/>
      <c r="GQ233" s="9"/>
      <c r="GR233" s="9"/>
      <c r="GS233" s="9"/>
      <c r="GT233" s="9"/>
      <c r="GU233" s="9"/>
      <c r="GV233" s="9"/>
      <c r="GW233" s="9"/>
      <c r="GX233" s="9"/>
      <c r="GY233" s="10"/>
      <c r="GZ233" s="9"/>
      <c r="HA233" s="9"/>
    </row>
    <row r="234" spans="1:209" s="2" customFormat="1" ht="17" customHeight="1">
      <c r="A234" s="14" t="s">
        <v>230</v>
      </c>
      <c r="B234" s="35">
        <v>0</v>
      </c>
      <c r="C234" s="35">
        <v>0</v>
      </c>
      <c r="D234" s="4">
        <f t="shared" si="57"/>
        <v>0</v>
      </c>
      <c r="E234" s="11">
        <v>0</v>
      </c>
      <c r="F234" s="5" t="s">
        <v>362</v>
      </c>
      <c r="G234" s="5" t="s">
        <v>362</v>
      </c>
      <c r="H234" s="5" t="s">
        <v>362</v>
      </c>
      <c r="I234" s="5" t="s">
        <v>362</v>
      </c>
      <c r="J234" s="5" t="s">
        <v>362</v>
      </c>
      <c r="K234" s="5" t="s">
        <v>362</v>
      </c>
      <c r="L234" s="5" t="s">
        <v>362</v>
      </c>
      <c r="M234" s="5" t="s">
        <v>362</v>
      </c>
      <c r="N234" s="35">
        <v>231.4</v>
      </c>
      <c r="O234" s="35">
        <v>174.9</v>
      </c>
      <c r="P234" s="4">
        <f t="shared" si="58"/>
        <v>0.75583405358686262</v>
      </c>
      <c r="Q234" s="11">
        <v>20</v>
      </c>
      <c r="R234" s="35">
        <v>15</v>
      </c>
      <c r="S234" s="35">
        <v>30.3</v>
      </c>
      <c r="T234" s="4">
        <f t="shared" si="59"/>
        <v>1.282</v>
      </c>
      <c r="U234" s="11">
        <v>20</v>
      </c>
      <c r="V234" s="35">
        <v>3</v>
      </c>
      <c r="W234" s="35">
        <v>1.9</v>
      </c>
      <c r="X234" s="4">
        <f t="shared" si="60"/>
        <v>0.6333333333333333</v>
      </c>
      <c r="Y234" s="11">
        <v>30</v>
      </c>
      <c r="Z234" s="35">
        <v>1232</v>
      </c>
      <c r="AA234" s="35">
        <v>1194</v>
      </c>
      <c r="AB234" s="4">
        <f t="shared" si="61"/>
        <v>0.9691558441558441</v>
      </c>
      <c r="AC234" s="11">
        <v>5</v>
      </c>
      <c r="AD234" s="11">
        <v>214</v>
      </c>
      <c r="AE234" s="11">
        <v>272</v>
      </c>
      <c r="AF234" s="4">
        <f t="shared" si="62"/>
        <v>1.2071028037383178</v>
      </c>
      <c r="AG234" s="11">
        <v>20</v>
      </c>
      <c r="AH234" s="5" t="s">
        <v>362</v>
      </c>
      <c r="AI234" s="5" t="s">
        <v>362</v>
      </c>
      <c r="AJ234" s="5" t="s">
        <v>362</v>
      </c>
      <c r="AK234" s="5" t="s">
        <v>362</v>
      </c>
      <c r="AL234" s="5" t="s">
        <v>362</v>
      </c>
      <c r="AM234" s="5" t="s">
        <v>362</v>
      </c>
      <c r="AN234" s="5" t="s">
        <v>362</v>
      </c>
      <c r="AO234" s="5" t="s">
        <v>362</v>
      </c>
      <c r="AP234" s="44">
        <f t="shared" si="71"/>
        <v>0.93415280386613497</v>
      </c>
      <c r="AQ234" s="45">
        <v>870</v>
      </c>
      <c r="AR234" s="35">
        <f t="shared" si="63"/>
        <v>237.27272727272728</v>
      </c>
      <c r="AS234" s="35">
        <f t="shared" si="64"/>
        <v>221.6</v>
      </c>
      <c r="AT234" s="35">
        <f t="shared" si="65"/>
        <v>-15.672727272727286</v>
      </c>
      <c r="AU234" s="35">
        <v>80.2</v>
      </c>
      <c r="AV234" s="35">
        <v>49.1</v>
      </c>
      <c r="AW234" s="35">
        <f t="shared" si="66"/>
        <v>92.3</v>
      </c>
      <c r="AX234" s="35"/>
      <c r="AY234" s="35">
        <f t="shared" si="67"/>
        <v>92.3</v>
      </c>
      <c r="AZ234" s="35">
        <v>0</v>
      </c>
      <c r="BA234" s="35">
        <f t="shared" si="68"/>
        <v>92.3</v>
      </c>
      <c r="BB234" s="35"/>
      <c r="BC234" s="35">
        <f t="shared" si="69"/>
        <v>92.3</v>
      </c>
      <c r="BD234" s="35">
        <v>91.9</v>
      </c>
      <c r="BE234" s="35">
        <f t="shared" si="70"/>
        <v>0.4</v>
      </c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9"/>
      <c r="BU234" s="9"/>
      <c r="BV234" s="9"/>
      <c r="BW234" s="9"/>
      <c r="BX234" s="9"/>
      <c r="BY234" s="9"/>
      <c r="BZ234" s="9"/>
      <c r="CA234" s="9"/>
      <c r="CB234" s="9"/>
      <c r="CC234" s="9"/>
      <c r="CD234" s="9"/>
      <c r="CE234" s="9"/>
      <c r="CF234" s="9"/>
      <c r="CG234" s="9"/>
      <c r="CH234" s="9"/>
      <c r="CI234" s="9"/>
      <c r="CJ234" s="9"/>
      <c r="CK234" s="9"/>
      <c r="CL234" s="9"/>
      <c r="CM234" s="9"/>
      <c r="CN234" s="9"/>
      <c r="CO234" s="9"/>
      <c r="CP234" s="9"/>
      <c r="CQ234" s="10"/>
      <c r="CR234" s="9"/>
      <c r="CS234" s="9"/>
      <c r="CT234" s="9"/>
      <c r="CU234" s="9"/>
      <c r="CV234" s="9"/>
      <c r="CW234" s="9"/>
      <c r="CX234" s="9"/>
      <c r="CY234" s="9"/>
      <c r="CZ234" s="9"/>
      <c r="DA234" s="9"/>
      <c r="DB234" s="9"/>
      <c r="DC234" s="9"/>
      <c r="DD234" s="9"/>
      <c r="DE234" s="9"/>
      <c r="DF234" s="9"/>
      <c r="DG234" s="9"/>
      <c r="DH234" s="9"/>
      <c r="DI234" s="9"/>
      <c r="DJ234" s="9"/>
      <c r="DK234" s="9"/>
      <c r="DL234" s="9"/>
      <c r="DM234" s="9"/>
      <c r="DN234" s="9"/>
      <c r="DO234" s="9"/>
      <c r="DP234" s="9"/>
      <c r="DQ234" s="9"/>
      <c r="DR234" s="9"/>
      <c r="DS234" s="10"/>
      <c r="DT234" s="9"/>
      <c r="DU234" s="9"/>
      <c r="DV234" s="9"/>
      <c r="DW234" s="9"/>
      <c r="DX234" s="9"/>
      <c r="DY234" s="9"/>
      <c r="DZ234" s="9"/>
      <c r="EA234" s="9"/>
      <c r="EB234" s="9"/>
      <c r="EC234" s="9"/>
      <c r="ED234" s="9"/>
      <c r="EE234" s="9"/>
      <c r="EF234" s="9"/>
      <c r="EG234" s="9"/>
      <c r="EH234" s="9"/>
      <c r="EI234" s="9"/>
      <c r="EJ234" s="9"/>
      <c r="EK234" s="9"/>
      <c r="EL234" s="9"/>
      <c r="EM234" s="9"/>
      <c r="EN234" s="9"/>
      <c r="EO234" s="9"/>
      <c r="EP234" s="9"/>
      <c r="EQ234" s="9"/>
      <c r="ER234" s="9"/>
      <c r="ES234" s="9"/>
      <c r="ET234" s="9"/>
      <c r="EU234" s="10"/>
      <c r="EV234" s="9"/>
      <c r="EW234" s="9"/>
      <c r="EX234" s="9"/>
      <c r="EY234" s="9"/>
      <c r="EZ234" s="9"/>
      <c r="FA234" s="9"/>
      <c r="FB234" s="9"/>
      <c r="FC234" s="9"/>
      <c r="FD234" s="9"/>
      <c r="FE234" s="9"/>
      <c r="FF234" s="9"/>
      <c r="FG234" s="9"/>
      <c r="FH234" s="9"/>
      <c r="FI234" s="9"/>
      <c r="FJ234" s="9"/>
      <c r="FK234" s="9"/>
      <c r="FL234" s="9"/>
      <c r="FM234" s="9"/>
      <c r="FN234" s="9"/>
      <c r="FO234" s="9"/>
      <c r="FP234" s="9"/>
      <c r="FQ234" s="9"/>
      <c r="FR234" s="9"/>
      <c r="FS234" s="9"/>
      <c r="FT234" s="9"/>
      <c r="FU234" s="9"/>
      <c r="FV234" s="9"/>
      <c r="FW234" s="10"/>
      <c r="FX234" s="9"/>
      <c r="FY234" s="9"/>
      <c r="FZ234" s="9"/>
      <c r="GA234" s="9"/>
      <c r="GB234" s="9"/>
      <c r="GC234" s="9"/>
      <c r="GD234" s="9"/>
      <c r="GE234" s="9"/>
      <c r="GF234" s="9"/>
      <c r="GG234" s="9"/>
      <c r="GH234" s="9"/>
      <c r="GI234" s="9"/>
      <c r="GJ234" s="9"/>
      <c r="GK234" s="9"/>
      <c r="GL234" s="9"/>
      <c r="GM234" s="9"/>
      <c r="GN234" s="9"/>
      <c r="GO234" s="9"/>
      <c r="GP234" s="9"/>
      <c r="GQ234" s="9"/>
      <c r="GR234" s="9"/>
      <c r="GS234" s="9"/>
      <c r="GT234" s="9"/>
      <c r="GU234" s="9"/>
      <c r="GV234" s="9"/>
      <c r="GW234" s="9"/>
      <c r="GX234" s="9"/>
      <c r="GY234" s="10"/>
      <c r="GZ234" s="9"/>
      <c r="HA234" s="9"/>
    </row>
    <row r="235" spans="1:209" s="2" customFormat="1" ht="17" customHeight="1">
      <c r="A235" s="14" t="s">
        <v>231</v>
      </c>
      <c r="B235" s="35">
        <v>0</v>
      </c>
      <c r="C235" s="35">
        <v>0</v>
      </c>
      <c r="D235" s="4">
        <f t="shared" si="57"/>
        <v>0</v>
      </c>
      <c r="E235" s="11">
        <v>0</v>
      </c>
      <c r="F235" s="5" t="s">
        <v>362</v>
      </c>
      <c r="G235" s="5" t="s">
        <v>362</v>
      </c>
      <c r="H235" s="5" t="s">
        <v>362</v>
      </c>
      <c r="I235" s="5" t="s">
        <v>362</v>
      </c>
      <c r="J235" s="5" t="s">
        <v>362</v>
      </c>
      <c r="K235" s="5" t="s">
        <v>362</v>
      </c>
      <c r="L235" s="5" t="s">
        <v>362</v>
      </c>
      <c r="M235" s="5" t="s">
        <v>362</v>
      </c>
      <c r="N235" s="35">
        <v>529.9</v>
      </c>
      <c r="O235" s="35">
        <v>174.4</v>
      </c>
      <c r="P235" s="4">
        <f t="shared" si="58"/>
        <v>0.32911870164181922</v>
      </c>
      <c r="Q235" s="11">
        <v>20</v>
      </c>
      <c r="R235" s="35">
        <v>50</v>
      </c>
      <c r="S235" s="35">
        <v>50.4</v>
      </c>
      <c r="T235" s="4">
        <f t="shared" si="59"/>
        <v>1.008</v>
      </c>
      <c r="U235" s="11">
        <v>20</v>
      </c>
      <c r="V235" s="35">
        <v>6</v>
      </c>
      <c r="W235" s="35">
        <v>13.3</v>
      </c>
      <c r="X235" s="4">
        <f t="shared" si="60"/>
        <v>1.3</v>
      </c>
      <c r="Y235" s="11">
        <v>30</v>
      </c>
      <c r="Z235" s="35">
        <v>3940</v>
      </c>
      <c r="AA235" s="35">
        <v>3581</v>
      </c>
      <c r="AB235" s="4">
        <f t="shared" si="61"/>
        <v>0.90888324873096449</v>
      </c>
      <c r="AC235" s="11">
        <v>5</v>
      </c>
      <c r="AD235" s="11">
        <v>276</v>
      </c>
      <c r="AE235" s="11">
        <v>191</v>
      </c>
      <c r="AF235" s="4">
        <f t="shared" si="62"/>
        <v>0.69202898550724634</v>
      </c>
      <c r="AG235" s="11">
        <v>20</v>
      </c>
      <c r="AH235" s="5" t="s">
        <v>362</v>
      </c>
      <c r="AI235" s="5" t="s">
        <v>362</v>
      </c>
      <c r="AJ235" s="5" t="s">
        <v>362</v>
      </c>
      <c r="AK235" s="5" t="s">
        <v>362</v>
      </c>
      <c r="AL235" s="5" t="s">
        <v>362</v>
      </c>
      <c r="AM235" s="5" t="s">
        <v>362</v>
      </c>
      <c r="AN235" s="5" t="s">
        <v>362</v>
      </c>
      <c r="AO235" s="5" t="s">
        <v>362</v>
      </c>
      <c r="AP235" s="44">
        <f t="shared" si="71"/>
        <v>0.88555126301722242</v>
      </c>
      <c r="AQ235" s="45">
        <v>2098</v>
      </c>
      <c r="AR235" s="35">
        <f t="shared" si="63"/>
        <v>572.18181818181813</v>
      </c>
      <c r="AS235" s="35">
        <f t="shared" si="64"/>
        <v>506.7</v>
      </c>
      <c r="AT235" s="35">
        <f t="shared" si="65"/>
        <v>-65.481818181818142</v>
      </c>
      <c r="AU235" s="35">
        <v>200.7</v>
      </c>
      <c r="AV235" s="35">
        <v>162.69999999999999</v>
      </c>
      <c r="AW235" s="35">
        <f t="shared" si="66"/>
        <v>143.30000000000001</v>
      </c>
      <c r="AX235" s="35"/>
      <c r="AY235" s="35">
        <f t="shared" si="67"/>
        <v>143.30000000000001</v>
      </c>
      <c r="AZ235" s="35">
        <v>0</v>
      </c>
      <c r="BA235" s="35">
        <f t="shared" si="68"/>
        <v>143.30000000000001</v>
      </c>
      <c r="BB235" s="35">
        <f>MIN(BA235,14.7)</f>
        <v>14.7</v>
      </c>
      <c r="BC235" s="35">
        <f t="shared" si="69"/>
        <v>128.6</v>
      </c>
      <c r="BD235" s="35">
        <v>127.9</v>
      </c>
      <c r="BE235" s="35">
        <f t="shared" si="70"/>
        <v>0.7</v>
      </c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9"/>
      <c r="BU235" s="9"/>
      <c r="BV235" s="9"/>
      <c r="BW235" s="9"/>
      <c r="BX235" s="9"/>
      <c r="BY235" s="9"/>
      <c r="BZ235" s="9"/>
      <c r="CA235" s="9"/>
      <c r="CB235" s="9"/>
      <c r="CC235" s="9"/>
      <c r="CD235" s="9"/>
      <c r="CE235" s="9"/>
      <c r="CF235" s="9"/>
      <c r="CG235" s="9"/>
      <c r="CH235" s="9"/>
      <c r="CI235" s="9"/>
      <c r="CJ235" s="9"/>
      <c r="CK235" s="9"/>
      <c r="CL235" s="9"/>
      <c r="CM235" s="9"/>
      <c r="CN235" s="9"/>
      <c r="CO235" s="9"/>
      <c r="CP235" s="9"/>
      <c r="CQ235" s="10"/>
      <c r="CR235" s="9"/>
      <c r="CS235" s="9"/>
      <c r="CT235" s="9"/>
      <c r="CU235" s="9"/>
      <c r="CV235" s="9"/>
      <c r="CW235" s="9"/>
      <c r="CX235" s="9"/>
      <c r="CY235" s="9"/>
      <c r="CZ235" s="9"/>
      <c r="DA235" s="9"/>
      <c r="DB235" s="9"/>
      <c r="DC235" s="9"/>
      <c r="DD235" s="9"/>
      <c r="DE235" s="9"/>
      <c r="DF235" s="9"/>
      <c r="DG235" s="9"/>
      <c r="DH235" s="9"/>
      <c r="DI235" s="9"/>
      <c r="DJ235" s="9"/>
      <c r="DK235" s="9"/>
      <c r="DL235" s="9"/>
      <c r="DM235" s="9"/>
      <c r="DN235" s="9"/>
      <c r="DO235" s="9"/>
      <c r="DP235" s="9"/>
      <c r="DQ235" s="9"/>
      <c r="DR235" s="9"/>
      <c r="DS235" s="10"/>
      <c r="DT235" s="9"/>
      <c r="DU235" s="9"/>
      <c r="DV235" s="9"/>
      <c r="DW235" s="9"/>
      <c r="DX235" s="9"/>
      <c r="DY235" s="9"/>
      <c r="DZ235" s="9"/>
      <c r="EA235" s="9"/>
      <c r="EB235" s="9"/>
      <c r="EC235" s="9"/>
      <c r="ED235" s="9"/>
      <c r="EE235" s="9"/>
      <c r="EF235" s="9"/>
      <c r="EG235" s="9"/>
      <c r="EH235" s="9"/>
      <c r="EI235" s="9"/>
      <c r="EJ235" s="9"/>
      <c r="EK235" s="9"/>
      <c r="EL235" s="9"/>
      <c r="EM235" s="9"/>
      <c r="EN235" s="9"/>
      <c r="EO235" s="9"/>
      <c r="EP235" s="9"/>
      <c r="EQ235" s="9"/>
      <c r="ER235" s="9"/>
      <c r="ES235" s="9"/>
      <c r="ET235" s="9"/>
      <c r="EU235" s="10"/>
      <c r="EV235" s="9"/>
      <c r="EW235" s="9"/>
      <c r="EX235" s="9"/>
      <c r="EY235" s="9"/>
      <c r="EZ235" s="9"/>
      <c r="FA235" s="9"/>
      <c r="FB235" s="9"/>
      <c r="FC235" s="9"/>
      <c r="FD235" s="9"/>
      <c r="FE235" s="9"/>
      <c r="FF235" s="9"/>
      <c r="FG235" s="9"/>
      <c r="FH235" s="9"/>
      <c r="FI235" s="9"/>
      <c r="FJ235" s="9"/>
      <c r="FK235" s="9"/>
      <c r="FL235" s="9"/>
      <c r="FM235" s="9"/>
      <c r="FN235" s="9"/>
      <c r="FO235" s="9"/>
      <c r="FP235" s="9"/>
      <c r="FQ235" s="9"/>
      <c r="FR235" s="9"/>
      <c r="FS235" s="9"/>
      <c r="FT235" s="9"/>
      <c r="FU235" s="9"/>
      <c r="FV235" s="9"/>
      <c r="FW235" s="10"/>
      <c r="FX235" s="9"/>
      <c r="FY235" s="9"/>
      <c r="FZ235" s="9"/>
      <c r="GA235" s="9"/>
      <c r="GB235" s="9"/>
      <c r="GC235" s="9"/>
      <c r="GD235" s="9"/>
      <c r="GE235" s="9"/>
      <c r="GF235" s="9"/>
      <c r="GG235" s="9"/>
      <c r="GH235" s="9"/>
      <c r="GI235" s="9"/>
      <c r="GJ235" s="9"/>
      <c r="GK235" s="9"/>
      <c r="GL235" s="9"/>
      <c r="GM235" s="9"/>
      <c r="GN235" s="9"/>
      <c r="GO235" s="9"/>
      <c r="GP235" s="9"/>
      <c r="GQ235" s="9"/>
      <c r="GR235" s="9"/>
      <c r="GS235" s="9"/>
      <c r="GT235" s="9"/>
      <c r="GU235" s="9"/>
      <c r="GV235" s="9"/>
      <c r="GW235" s="9"/>
      <c r="GX235" s="9"/>
      <c r="GY235" s="10"/>
      <c r="GZ235" s="9"/>
      <c r="HA235" s="9"/>
    </row>
    <row r="236" spans="1:209" s="2" customFormat="1" ht="17" customHeight="1">
      <c r="A236" s="14" t="s">
        <v>232</v>
      </c>
      <c r="B236" s="35">
        <v>7359</v>
      </c>
      <c r="C236" s="35">
        <v>9891</v>
      </c>
      <c r="D236" s="4">
        <f t="shared" si="57"/>
        <v>1.2144068487566244</v>
      </c>
      <c r="E236" s="11">
        <v>10</v>
      </c>
      <c r="F236" s="5" t="s">
        <v>362</v>
      </c>
      <c r="G236" s="5" t="s">
        <v>362</v>
      </c>
      <c r="H236" s="5" t="s">
        <v>362</v>
      </c>
      <c r="I236" s="5" t="s">
        <v>362</v>
      </c>
      <c r="J236" s="5" t="s">
        <v>362</v>
      </c>
      <c r="K236" s="5" t="s">
        <v>362</v>
      </c>
      <c r="L236" s="5" t="s">
        <v>362</v>
      </c>
      <c r="M236" s="5" t="s">
        <v>362</v>
      </c>
      <c r="N236" s="35">
        <v>117.6</v>
      </c>
      <c r="O236" s="35">
        <v>348.9</v>
      </c>
      <c r="P236" s="4">
        <f t="shared" si="58"/>
        <v>1.3</v>
      </c>
      <c r="Q236" s="11">
        <v>20</v>
      </c>
      <c r="R236" s="35">
        <v>15</v>
      </c>
      <c r="S236" s="35">
        <v>18</v>
      </c>
      <c r="T236" s="4">
        <f t="shared" si="59"/>
        <v>1.2</v>
      </c>
      <c r="U236" s="11">
        <v>15</v>
      </c>
      <c r="V236" s="35">
        <v>14</v>
      </c>
      <c r="W236" s="35">
        <v>15.5</v>
      </c>
      <c r="X236" s="4">
        <f t="shared" si="60"/>
        <v>1.1071428571428572</v>
      </c>
      <c r="Y236" s="11">
        <v>35</v>
      </c>
      <c r="Z236" s="35">
        <v>4672</v>
      </c>
      <c r="AA236" s="35">
        <v>4092</v>
      </c>
      <c r="AB236" s="4">
        <f t="shared" si="61"/>
        <v>0.87585616438356162</v>
      </c>
      <c r="AC236" s="11">
        <v>5</v>
      </c>
      <c r="AD236" s="11">
        <v>335</v>
      </c>
      <c r="AE236" s="11">
        <v>289</v>
      </c>
      <c r="AF236" s="4">
        <f t="shared" si="62"/>
        <v>0.86268656716417913</v>
      </c>
      <c r="AG236" s="11">
        <v>20</v>
      </c>
      <c r="AH236" s="5" t="s">
        <v>362</v>
      </c>
      <c r="AI236" s="5" t="s">
        <v>362</v>
      </c>
      <c r="AJ236" s="5" t="s">
        <v>362</v>
      </c>
      <c r="AK236" s="5" t="s">
        <v>362</v>
      </c>
      <c r="AL236" s="5" t="s">
        <v>362</v>
      </c>
      <c r="AM236" s="5" t="s">
        <v>362</v>
      </c>
      <c r="AN236" s="5" t="s">
        <v>362</v>
      </c>
      <c r="AO236" s="5" t="s">
        <v>362</v>
      </c>
      <c r="AP236" s="44">
        <f t="shared" si="71"/>
        <v>1.1097817205025489</v>
      </c>
      <c r="AQ236" s="45">
        <v>4903</v>
      </c>
      <c r="AR236" s="35">
        <f t="shared" si="63"/>
        <v>1337.1818181818182</v>
      </c>
      <c r="AS236" s="35">
        <f t="shared" si="64"/>
        <v>1484</v>
      </c>
      <c r="AT236" s="35">
        <f t="shared" si="65"/>
        <v>146.81818181818176</v>
      </c>
      <c r="AU236" s="35">
        <v>445.3</v>
      </c>
      <c r="AV236" s="35">
        <v>507.3</v>
      </c>
      <c r="AW236" s="35">
        <f t="shared" si="66"/>
        <v>531.4</v>
      </c>
      <c r="AX236" s="35"/>
      <c r="AY236" s="35">
        <f t="shared" si="67"/>
        <v>531.4</v>
      </c>
      <c r="AZ236" s="35">
        <v>0</v>
      </c>
      <c r="BA236" s="35">
        <f t="shared" si="68"/>
        <v>531.4</v>
      </c>
      <c r="BB236" s="35"/>
      <c r="BC236" s="35">
        <f t="shared" si="69"/>
        <v>531.4</v>
      </c>
      <c r="BD236" s="35">
        <v>547</v>
      </c>
      <c r="BE236" s="35">
        <f t="shared" si="70"/>
        <v>-15.6</v>
      </c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9"/>
      <c r="BU236" s="9"/>
      <c r="BV236" s="9"/>
      <c r="BW236" s="9"/>
      <c r="BX236" s="9"/>
      <c r="BY236" s="9"/>
      <c r="BZ236" s="9"/>
      <c r="CA236" s="9"/>
      <c r="CB236" s="9"/>
      <c r="CC236" s="9"/>
      <c r="CD236" s="9"/>
      <c r="CE236" s="9"/>
      <c r="CF236" s="9"/>
      <c r="CG236" s="9"/>
      <c r="CH236" s="9"/>
      <c r="CI236" s="9"/>
      <c r="CJ236" s="9"/>
      <c r="CK236" s="9"/>
      <c r="CL236" s="9"/>
      <c r="CM236" s="9"/>
      <c r="CN236" s="9"/>
      <c r="CO236" s="9"/>
      <c r="CP236" s="9"/>
      <c r="CQ236" s="10"/>
      <c r="CR236" s="9"/>
      <c r="CS236" s="9"/>
      <c r="CT236" s="9"/>
      <c r="CU236" s="9"/>
      <c r="CV236" s="9"/>
      <c r="CW236" s="9"/>
      <c r="CX236" s="9"/>
      <c r="CY236" s="9"/>
      <c r="CZ236" s="9"/>
      <c r="DA236" s="9"/>
      <c r="DB236" s="9"/>
      <c r="DC236" s="9"/>
      <c r="DD236" s="9"/>
      <c r="DE236" s="9"/>
      <c r="DF236" s="9"/>
      <c r="DG236" s="9"/>
      <c r="DH236" s="9"/>
      <c r="DI236" s="9"/>
      <c r="DJ236" s="9"/>
      <c r="DK236" s="9"/>
      <c r="DL236" s="9"/>
      <c r="DM236" s="9"/>
      <c r="DN236" s="9"/>
      <c r="DO236" s="9"/>
      <c r="DP236" s="9"/>
      <c r="DQ236" s="9"/>
      <c r="DR236" s="9"/>
      <c r="DS236" s="10"/>
      <c r="DT236" s="9"/>
      <c r="DU236" s="9"/>
      <c r="DV236" s="9"/>
      <c r="DW236" s="9"/>
      <c r="DX236" s="9"/>
      <c r="DY236" s="9"/>
      <c r="DZ236" s="9"/>
      <c r="EA236" s="9"/>
      <c r="EB236" s="9"/>
      <c r="EC236" s="9"/>
      <c r="ED236" s="9"/>
      <c r="EE236" s="9"/>
      <c r="EF236" s="9"/>
      <c r="EG236" s="9"/>
      <c r="EH236" s="9"/>
      <c r="EI236" s="9"/>
      <c r="EJ236" s="9"/>
      <c r="EK236" s="9"/>
      <c r="EL236" s="9"/>
      <c r="EM236" s="9"/>
      <c r="EN236" s="9"/>
      <c r="EO236" s="9"/>
      <c r="EP236" s="9"/>
      <c r="EQ236" s="9"/>
      <c r="ER236" s="9"/>
      <c r="ES236" s="9"/>
      <c r="ET236" s="9"/>
      <c r="EU236" s="10"/>
      <c r="EV236" s="9"/>
      <c r="EW236" s="9"/>
      <c r="EX236" s="9"/>
      <c r="EY236" s="9"/>
      <c r="EZ236" s="9"/>
      <c r="FA236" s="9"/>
      <c r="FB236" s="9"/>
      <c r="FC236" s="9"/>
      <c r="FD236" s="9"/>
      <c r="FE236" s="9"/>
      <c r="FF236" s="9"/>
      <c r="FG236" s="9"/>
      <c r="FH236" s="9"/>
      <c r="FI236" s="9"/>
      <c r="FJ236" s="9"/>
      <c r="FK236" s="9"/>
      <c r="FL236" s="9"/>
      <c r="FM236" s="9"/>
      <c r="FN236" s="9"/>
      <c r="FO236" s="9"/>
      <c r="FP236" s="9"/>
      <c r="FQ236" s="9"/>
      <c r="FR236" s="9"/>
      <c r="FS236" s="9"/>
      <c r="FT236" s="9"/>
      <c r="FU236" s="9"/>
      <c r="FV236" s="9"/>
      <c r="FW236" s="10"/>
      <c r="FX236" s="9"/>
      <c r="FY236" s="9"/>
      <c r="FZ236" s="9"/>
      <c r="GA236" s="9"/>
      <c r="GB236" s="9"/>
      <c r="GC236" s="9"/>
      <c r="GD236" s="9"/>
      <c r="GE236" s="9"/>
      <c r="GF236" s="9"/>
      <c r="GG236" s="9"/>
      <c r="GH236" s="9"/>
      <c r="GI236" s="9"/>
      <c r="GJ236" s="9"/>
      <c r="GK236" s="9"/>
      <c r="GL236" s="9"/>
      <c r="GM236" s="9"/>
      <c r="GN236" s="9"/>
      <c r="GO236" s="9"/>
      <c r="GP236" s="9"/>
      <c r="GQ236" s="9"/>
      <c r="GR236" s="9"/>
      <c r="GS236" s="9"/>
      <c r="GT236" s="9"/>
      <c r="GU236" s="9"/>
      <c r="GV236" s="9"/>
      <c r="GW236" s="9"/>
      <c r="GX236" s="9"/>
      <c r="GY236" s="10"/>
      <c r="GZ236" s="9"/>
      <c r="HA236" s="9"/>
    </row>
    <row r="237" spans="1:209" s="2" customFormat="1" ht="17" customHeight="1">
      <c r="A237" s="14" t="s">
        <v>233</v>
      </c>
      <c r="B237" s="35">
        <v>360924</v>
      </c>
      <c r="C237" s="35">
        <v>375452</v>
      </c>
      <c r="D237" s="4">
        <f t="shared" si="57"/>
        <v>1.0402522414691182</v>
      </c>
      <c r="E237" s="11">
        <v>10</v>
      </c>
      <c r="F237" s="5" t="s">
        <v>362</v>
      </c>
      <c r="G237" s="5" t="s">
        <v>362</v>
      </c>
      <c r="H237" s="5" t="s">
        <v>362</v>
      </c>
      <c r="I237" s="5" t="s">
        <v>362</v>
      </c>
      <c r="J237" s="5" t="s">
        <v>362</v>
      </c>
      <c r="K237" s="5" t="s">
        <v>362</v>
      </c>
      <c r="L237" s="5" t="s">
        <v>362</v>
      </c>
      <c r="M237" s="5" t="s">
        <v>362</v>
      </c>
      <c r="N237" s="35">
        <v>4054.4</v>
      </c>
      <c r="O237" s="35">
        <v>3374.4</v>
      </c>
      <c r="P237" s="4">
        <f t="shared" si="58"/>
        <v>0.83228097868981843</v>
      </c>
      <c r="Q237" s="11">
        <v>20</v>
      </c>
      <c r="R237" s="35">
        <v>15</v>
      </c>
      <c r="S237" s="35">
        <v>15.8</v>
      </c>
      <c r="T237" s="4">
        <f t="shared" si="59"/>
        <v>1.0533333333333335</v>
      </c>
      <c r="U237" s="11">
        <v>10</v>
      </c>
      <c r="V237" s="35">
        <v>10</v>
      </c>
      <c r="W237" s="35">
        <v>10.9</v>
      </c>
      <c r="X237" s="4">
        <f t="shared" si="60"/>
        <v>1.0900000000000001</v>
      </c>
      <c r="Y237" s="11">
        <v>40</v>
      </c>
      <c r="Z237" s="35">
        <v>147413.4</v>
      </c>
      <c r="AA237" s="35">
        <v>136407</v>
      </c>
      <c r="AB237" s="4">
        <f t="shared" si="61"/>
        <v>0.9253365026517264</v>
      </c>
      <c r="AC237" s="11">
        <v>5</v>
      </c>
      <c r="AD237" s="11">
        <v>177</v>
      </c>
      <c r="AE237" s="11">
        <v>177</v>
      </c>
      <c r="AF237" s="4">
        <f t="shared" si="62"/>
        <v>1</v>
      </c>
      <c r="AG237" s="11">
        <v>20</v>
      </c>
      <c r="AH237" s="5" t="s">
        <v>362</v>
      </c>
      <c r="AI237" s="5" t="s">
        <v>362</v>
      </c>
      <c r="AJ237" s="5" t="s">
        <v>362</v>
      </c>
      <c r="AK237" s="5" t="s">
        <v>362</v>
      </c>
      <c r="AL237" s="5" t="s">
        <v>362</v>
      </c>
      <c r="AM237" s="5" t="s">
        <v>362</v>
      </c>
      <c r="AN237" s="5" t="s">
        <v>362</v>
      </c>
      <c r="AO237" s="5" t="s">
        <v>362</v>
      </c>
      <c r="AP237" s="44">
        <f t="shared" si="71"/>
        <v>1.0076967412864717</v>
      </c>
      <c r="AQ237" s="45">
        <v>2218</v>
      </c>
      <c r="AR237" s="35">
        <f t="shared" si="63"/>
        <v>604.90909090909088</v>
      </c>
      <c r="AS237" s="35">
        <f t="shared" si="64"/>
        <v>609.6</v>
      </c>
      <c r="AT237" s="35">
        <f t="shared" si="65"/>
        <v>4.6909090909091447</v>
      </c>
      <c r="AU237" s="35">
        <v>196.5</v>
      </c>
      <c r="AV237" s="35">
        <v>213.3</v>
      </c>
      <c r="AW237" s="35">
        <f t="shared" si="66"/>
        <v>199.8</v>
      </c>
      <c r="AX237" s="35"/>
      <c r="AY237" s="35">
        <f t="shared" si="67"/>
        <v>199.8</v>
      </c>
      <c r="AZ237" s="35">
        <v>0</v>
      </c>
      <c r="BA237" s="35">
        <f t="shared" si="68"/>
        <v>199.8</v>
      </c>
      <c r="BB237" s="35">
        <f>MIN(BA237,29.5)</f>
        <v>29.5</v>
      </c>
      <c r="BC237" s="35">
        <f t="shared" si="69"/>
        <v>170.3</v>
      </c>
      <c r="BD237" s="35">
        <v>184</v>
      </c>
      <c r="BE237" s="35">
        <f t="shared" si="70"/>
        <v>-13.7</v>
      </c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9"/>
      <c r="BU237" s="9"/>
      <c r="BV237" s="9"/>
      <c r="BW237" s="9"/>
      <c r="BX237" s="9"/>
      <c r="BY237" s="9"/>
      <c r="BZ237" s="9"/>
      <c r="CA237" s="9"/>
      <c r="CB237" s="9"/>
      <c r="CC237" s="9"/>
      <c r="CD237" s="9"/>
      <c r="CE237" s="9"/>
      <c r="CF237" s="9"/>
      <c r="CG237" s="9"/>
      <c r="CH237" s="9"/>
      <c r="CI237" s="9"/>
      <c r="CJ237" s="9"/>
      <c r="CK237" s="9"/>
      <c r="CL237" s="9"/>
      <c r="CM237" s="9"/>
      <c r="CN237" s="9"/>
      <c r="CO237" s="9"/>
      <c r="CP237" s="9"/>
      <c r="CQ237" s="10"/>
      <c r="CR237" s="9"/>
      <c r="CS237" s="9"/>
      <c r="CT237" s="9"/>
      <c r="CU237" s="9"/>
      <c r="CV237" s="9"/>
      <c r="CW237" s="9"/>
      <c r="CX237" s="9"/>
      <c r="CY237" s="9"/>
      <c r="CZ237" s="9"/>
      <c r="DA237" s="9"/>
      <c r="DB237" s="9"/>
      <c r="DC237" s="9"/>
      <c r="DD237" s="9"/>
      <c r="DE237" s="9"/>
      <c r="DF237" s="9"/>
      <c r="DG237" s="9"/>
      <c r="DH237" s="9"/>
      <c r="DI237" s="9"/>
      <c r="DJ237" s="9"/>
      <c r="DK237" s="9"/>
      <c r="DL237" s="9"/>
      <c r="DM237" s="9"/>
      <c r="DN237" s="9"/>
      <c r="DO237" s="9"/>
      <c r="DP237" s="9"/>
      <c r="DQ237" s="9"/>
      <c r="DR237" s="9"/>
      <c r="DS237" s="10"/>
      <c r="DT237" s="9"/>
      <c r="DU237" s="9"/>
      <c r="DV237" s="9"/>
      <c r="DW237" s="9"/>
      <c r="DX237" s="9"/>
      <c r="DY237" s="9"/>
      <c r="DZ237" s="9"/>
      <c r="EA237" s="9"/>
      <c r="EB237" s="9"/>
      <c r="EC237" s="9"/>
      <c r="ED237" s="9"/>
      <c r="EE237" s="9"/>
      <c r="EF237" s="9"/>
      <c r="EG237" s="9"/>
      <c r="EH237" s="9"/>
      <c r="EI237" s="9"/>
      <c r="EJ237" s="9"/>
      <c r="EK237" s="9"/>
      <c r="EL237" s="9"/>
      <c r="EM237" s="9"/>
      <c r="EN237" s="9"/>
      <c r="EO237" s="9"/>
      <c r="EP237" s="9"/>
      <c r="EQ237" s="9"/>
      <c r="ER237" s="9"/>
      <c r="ES237" s="9"/>
      <c r="ET237" s="9"/>
      <c r="EU237" s="10"/>
      <c r="EV237" s="9"/>
      <c r="EW237" s="9"/>
      <c r="EX237" s="9"/>
      <c r="EY237" s="9"/>
      <c r="EZ237" s="9"/>
      <c r="FA237" s="9"/>
      <c r="FB237" s="9"/>
      <c r="FC237" s="9"/>
      <c r="FD237" s="9"/>
      <c r="FE237" s="9"/>
      <c r="FF237" s="9"/>
      <c r="FG237" s="9"/>
      <c r="FH237" s="9"/>
      <c r="FI237" s="9"/>
      <c r="FJ237" s="9"/>
      <c r="FK237" s="9"/>
      <c r="FL237" s="9"/>
      <c r="FM237" s="9"/>
      <c r="FN237" s="9"/>
      <c r="FO237" s="9"/>
      <c r="FP237" s="9"/>
      <c r="FQ237" s="9"/>
      <c r="FR237" s="9"/>
      <c r="FS237" s="9"/>
      <c r="FT237" s="9"/>
      <c r="FU237" s="9"/>
      <c r="FV237" s="9"/>
      <c r="FW237" s="10"/>
      <c r="FX237" s="9"/>
      <c r="FY237" s="9"/>
      <c r="FZ237" s="9"/>
      <c r="GA237" s="9"/>
      <c r="GB237" s="9"/>
      <c r="GC237" s="9"/>
      <c r="GD237" s="9"/>
      <c r="GE237" s="9"/>
      <c r="GF237" s="9"/>
      <c r="GG237" s="9"/>
      <c r="GH237" s="9"/>
      <c r="GI237" s="9"/>
      <c r="GJ237" s="9"/>
      <c r="GK237" s="9"/>
      <c r="GL237" s="9"/>
      <c r="GM237" s="9"/>
      <c r="GN237" s="9"/>
      <c r="GO237" s="9"/>
      <c r="GP237" s="9"/>
      <c r="GQ237" s="9"/>
      <c r="GR237" s="9"/>
      <c r="GS237" s="9"/>
      <c r="GT237" s="9"/>
      <c r="GU237" s="9"/>
      <c r="GV237" s="9"/>
      <c r="GW237" s="9"/>
      <c r="GX237" s="9"/>
      <c r="GY237" s="10"/>
      <c r="GZ237" s="9"/>
      <c r="HA237" s="9"/>
    </row>
    <row r="238" spans="1:209" s="2" customFormat="1" ht="17" customHeight="1">
      <c r="A238" s="18" t="s">
        <v>234</v>
      </c>
      <c r="B238" s="6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35"/>
      <c r="AA238" s="35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  <c r="AQ238" s="11"/>
      <c r="AR238" s="11"/>
      <c r="AS238" s="11"/>
      <c r="AT238" s="11"/>
      <c r="AU238" s="11"/>
      <c r="AV238" s="11"/>
      <c r="AW238" s="11"/>
      <c r="AX238" s="11"/>
      <c r="AY238" s="11"/>
      <c r="AZ238" s="11"/>
      <c r="BA238" s="11"/>
      <c r="BB238" s="11"/>
      <c r="BC238" s="35"/>
      <c r="BD238" s="35"/>
      <c r="BE238" s="35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9"/>
      <c r="BU238" s="9"/>
      <c r="BV238" s="9"/>
      <c r="BW238" s="9"/>
      <c r="BX238" s="9"/>
      <c r="BY238" s="9"/>
      <c r="BZ238" s="9"/>
      <c r="CA238" s="9"/>
      <c r="CB238" s="9"/>
      <c r="CC238" s="9"/>
      <c r="CD238" s="9"/>
      <c r="CE238" s="9"/>
      <c r="CF238" s="9"/>
      <c r="CG238" s="9"/>
      <c r="CH238" s="9"/>
      <c r="CI238" s="9"/>
      <c r="CJ238" s="9"/>
      <c r="CK238" s="9"/>
      <c r="CL238" s="9"/>
      <c r="CM238" s="9"/>
      <c r="CN238" s="9"/>
      <c r="CO238" s="9"/>
      <c r="CP238" s="9"/>
      <c r="CQ238" s="10"/>
      <c r="CR238" s="9"/>
      <c r="CS238" s="9"/>
      <c r="CT238" s="9"/>
      <c r="CU238" s="9"/>
      <c r="CV238" s="9"/>
      <c r="CW238" s="9"/>
      <c r="CX238" s="9"/>
      <c r="CY238" s="9"/>
      <c r="CZ238" s="9"/>
      <c r="DA238" s="9"/>
      <c r="DB238" s="9"/>
      <c r="DC238" s="9"/>
      <c r="DD238" s="9"/>
      <c r="DE238" s="9"/>
      <c r="DF238" s="9"/>
      <c r="DG238" s="9"/>
      <c r="DH238" s="9"/>
      <c r="DI238" s="9"/>
      <c r="DJ238" s="9"/>
      <c r="DK238" s="9"/>
      <c r="DL238" s="9"/>
      <c r="DM238" s="9"/>
      <c r="DN238" s="9"/>
      <c r="DO238" s="9"/>
      <c r="DP238" s="9"/>
      <c r="DQ238" s="9"/>
      <c r="DR238" s="9"/>
      <c r="DS238" s="10"/>
      <c r="DT238" s="9"/>
      <c r="DU238" s="9"/>
      <c r="DV238" s="9"/>
      <c r="DW238" s="9"/>
      <c r="DX238" s="9"/>
      <c r="DY238" s="9"/>
      <c r="DZ238" s="9"/>
      <c r="EA238" s="9"/>
      <c r="EB238" s="9"/>
      <c r="EC238" s="9"/>
      <c r="ED238" s="9"/>
      <c r="EE238" s="9"/>
      <c r="EF238" s="9"/>
      <c r="EG238" s="9"/>
      <c r="EH238" s="9"/>
      <c r="EI238" s="9"/>
      <c r="EJ238" s="9"/>
      <c r="EK238" s="9"/>
      <c r="EL238" s="9"/>
      <c r="EM238" s="9"/>
      <c r="EN238" s="9"/>
      <c r="EO238" s="9"/>
      <c r="EP238" s="9"/>
      <c r="EQ238" s="9"/>
      <c r="ER238" s="9"/>
      <c r="ES238" s="9"/>
      <c r="ET238" s="9"/>
      <c r="EU238" s="10"/>
      <c r="EV238" s="9"/>
      <c r="EW238" s="9"/>
      <c r="EX238" s="9"/>
      <c r="EY238" s="9"/>
      <c r="EZ238" s="9"/>
      <c r="FA238" s="9"/>
      <c r="FB238" s="9"/>
      <c r="FC238" s="9"/>
      <c r="FD238" s="9"/>
      <c r="FE238" s="9"/>
      <c r="FF238" s="9"/>
      <c r="FG238" s="9"/>
      <c r="FH238" s="9"/>
      <c r="FI238" s="9"/>
      <c r="FJ238" s="9"/>
      <c r="FK238" s="9"/>
      <c r="FL238" s="9"/>
      <c r="FM238" s="9"/>
      <c r="FN238" s="9"/>
      <c r="FO238" s="9"/>
      <c r="FP238" s="9"/>
      <c r="FQ238" s="9"/>
      <c r="FR238" s="9"/>
      <c r="FS238" s="9"/>
      <c r="FT238" s="9"/>
      <c r="FU238" s="9"/>
      <c r="FV238" s="9"/>
      <c r="FW238" s="10"/>
      <c r="FX238" s="9"/>
      <c r="FY238" s="9"/>
      <c r="FZ238" s="9"/>
      <c r="GA238" s="9"/>
      <c r="GB238" s="9"/>
      <c r="GC238" s="9"/>
      <c r="GD238" s="9"/>
      <c r="GE238" s="9"/>
      <c r="GF238" s="9"/>
      <c r="GG238" s="9"/>
      <c r="GH238" s="9"/>
      <c r="GI238" s="9"/>
      <c r="GJ238" s="9"/>
      <c r="GK238" s="9"/>
      <c r="GL238" s="9"/>
      <c r="GM238" s="9"/>
      <c r="GN238" s="9"/>
      <c r="GO238" s="9"/>
      <c r="GP238" s="9"/>
      <c r="GQ238" s="9"/>
      <c r="GR238" s="9"/>
      <c r="GS238" s="9"/>
      <c r="GT238" s="9"/>
      <c r="GU238" s="9"/>
      <c r="GV238" s="9"/>
      <c r="GW238" s="9"/>
      <c r="GX238" s="9"/>
      <c r="GY238" s="10"/>
      <c r="GZ238" s="9"/>
      <c r="HA238" s="9"/>
    </row>
    <row r="239" spans="1:209" s="2" customFormat="1" ht="17" customHeight="1">
      <c r="A239" s="14" t="s">
        <v>235</v>
      </c>
      <c r="B239" s="35">
        <v>5367</v>
      </c>
      <c r="C239" s="35">
        <v>5426</v>
      </c>
      <c r="D239" s="4">
        <f t="shared" ref="D239:D302" si="72">IF(E239=0,0,IF(B239=0,1,IF(C239&lt;0,0,IF(C239/B239&gt;1.2,IF((C239/B239-1.2)*0.1+1.2&gt;1.3,1.3,(C239/B239-1.2)*0.1+1.2),C239/B239))))</f>
        <v>1.0109931060182598</v>
      </c>
      <c r="E239" s="11">
        <v>10</v>
      </c>
      <c r="F239" s="5" t="s">
        <v>362</v>
      </c>
      <c r="G239" s="5" t="s">
        <v>362</v>
      </c>
      <c r="H239" s="5" t="s">
        <v>362</v>
      </c>
      <c r="I239" s="5" t="s">
        <v>362</v>
      </c>
      <c r="J239" s="5" t="s">
        <v>362</v>
      </c>
      <c r="K239" s="5" t="s">
        <v>362</v>
      </c>
      <c r="L239" s="5" t="s">
        <v>362</v>
      </c>
      <c r="M239" s="5" t="s">
        <v>362</v>
      </c>
      <c r="N239" s="35">
        <v>213.1</v>
      </c>
      <c r="O239" s="35">
        <v>119.6</v>
      </c>
      <c r="P239" s="4">
        <f t="shared" ref="P239:P302" si="73">IF(Q239=0,0,IF(N239=0,1,IF(O239&lt;0,0,IF(O239/N239&gt;1.2,IF((O239/N239-1.2)*0.1+1.2&gt;1.3,1.3,(O239/N239-1.2)*0.1+1.2),O239/N239))))</f>
        <v>0.56123885499765369</v>
      </c>
      <c r="Q239" s="11">
        <v>20</v>
      </c>
      <c r="R239" s="35">
        <v>232.8</v>
      </c>
      <c r="S239" s="35">
        <v>217.6</v>
      </c>
      <c r="T239" s="4">
        <f t="shared" ref="T239:T302" si="74">IF(U239=0,0,IF(R239=0,1,IF(S239&lt;0,0,IF(S239/R239&gt;1.2,IF((S239/R239-1.2)*0.1+1.2&gt;1.3,1.3,(S239/R239-1.2)*0.1+1.2),S239/R239))))</f>
        <v>0.93470790378006863</v>
      </c>
      <c r="U239" s="11">
        <v>20</v>
      </c>
      <c r="V239" s="35">
        <v>15.5</v>
      </c>
      <c r="W239" s="35">
        <v>34.9</v>
      </c>
      <c r="X239" s="4">
        <f t="shared" ref="X239:X302" si="75">IF(Y239=0,0,IF(V239=0,1,IF(W239&lt;0,0,IF(W239/V239&gt;1.2,IF((W239/V239-1.2)*0.1+1.2&gt;1.3,1.3,(W239/V239-1.2)*0.1+1.2),W239/V239))))</f>
        <v>1.3</v>
      </c>
      <c r="Y239" s="11">
        <v>30</v>
      </c>
      <c r="Z239" s="35">
        <v>3804</v>
      </c>
      <c r="AA239" s="35">
        <v>3181</v>
      </c>
      <c r="AB239" s="4">
        <f t="shared" ref="AB239:AB302" si="76">IF(AC239=0,0,IF(Z239=0,1,IF(AA239&lt;0,0,IF(AA239/Z239&gt;1.2,IF((AA239/Z239-1.2)*0.1+1.2&gt;1.3,1.3,(AA239/Z239-1.2)*0.1+1.2),AA239/Z239))))</f>
        <v>0.83622502628811779</v>
      </c>
      <c r="AC239" s="11">
        <v>5</v>
      </c>
      <c r="AD239" s="11">
        <v>486</v>
      </c>
      <c r="AE239" s="11">
        <v>652</v>
      </c>
      <c r="AF239" s="4">
        <f t="shared" ref="AF239:AF302" si="77">IF(AG239=0,0,IF(AD239=0,1,IF(AE239&lt;0,0,IF(AE239/AD239&gt;1.2,IF((AE239/AD239-1.2)*0.1+1.2&gt;1.3,1.3,(AE239/AD239-1.2)*0.1+1.2),AE239/AD239))))</f>
        <v>1.2141563786008229</v>
      </c>
      <c r="AG239" s="11">
        <v>20</v>
      </c>
      <c r="AH239" s="5" t="s">
        <v>362</v>
      </c>
      <c r="AI239" s="5" t="s">
        <v>362</v>
      </c>
      <c r="AJ239" s="5" t="s">
        <v>362</v>
      </c>
      <c r="AK239" s="5" t="s">
        <v>362</v>
      </c>
      <c r="AL239" s="5" t="s">
        <v>362</v>
      </c>
      <c r="AM239" s="5" t="s">
        <v>362</v>
      </c>
      <c r="AN239" s="5" t="s">
        <v>362</v>
      </c>
      <c r="AO239" s="5" t="s">
        <v>362</v>
      </c>
      <c r="AP239" s="44">
        <f t="shared" si="71"/>
        <v>1.0237439898970866</v>
      </c>
      <c r="AQ239" s="45">
        <v>985</v>
      </c>
      <c r="AR239" s="35">
        <f t="shared" ref="AR239:AR302" si="78">AQ239/11*3</f>
        <v>268.63636363636363</v>
      </c>
      <c r="AS239" s="35">
        <f t="shared" ref="AS239:AS302" si="79">ROUND(AP239*AR239,1)</f>
        <v>275</v>
      </c>
      <c r="AT239" s="35">
        <f t="shared" ref="AT239:AT302" si="80">AS239-AR239</f>
        <v>6.363636363636374</v>
      </c>
      <c r="AU239" s="35">
        <v>78</v>
      </c>
      <c r="AV239" s="35">
        <v>89</v>
      </c>
      <c r="AW239" s="35">
        <f t="shared" ref="AW239:AW302" si="81">ROUND(AS239-SUM(AU239:AV239),1)</f>
        <v>108</v>
      </c>
      <c r="AX239" s="35"/>
      <c r="AY239" s="35">
        <f t="shared" ref="AY239:AY302" si="82">IF(OR(AW239&lt;0,AX239="+"),0,AW239)</f>
        <v>108</v>
      </c>
      <c r="AZ239" s="35">
        <v>0</v>
      </c>
      <c r="BA239" s="35">
        <f t="shared" ref="BA239:BA302" si="83">AY239+AZ239</f>
        <v>108</v>
      </c>
      <c r="BB239" s="35"/>
      <c r="BC239" s="35">
        <f t="shared" ref="BC239:BC302" si="84">IF((BA239-BB239)&gt;0,ROUND(BA239-BB239,1),0)</f>
        <v>108</v>
      </c>
      <c r="BD239" s="35">
        <v>110.5</v>
      </c>
      <c r="BE239" s="35">
        <f t="shared" ref="BE239:BE302" si="85">ROUND(BC239-BD239,1)</f>
        <v>-2.5</v>
      </c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9"/>
      <c r="BU239" s="9"/>
      <c r="BV239" s="9"/>
      <c r="BW239" s="9"/>
      <c r="BX239" s="9"/>
      <c r="BY239" s="9"/>
      <c r="BZ239" s="9"/>
      <c r="CA239" s="9"/>
      <c r="CB239" s="9"/>
      <c r="CC239" s="9"/>
      <c r="CD239" s="9"/>
      <c r="CE239" s="9"/>
      <c r="CF239" s="9"/>
      <c r="CG239" s="9"/>
      <c r="CH239" s="9"/>
      <c r="CI239" s="9"/>
      <c r="CJ239" s="9"/>
      <c r="CK239" s="9"/>
      <c r="CL239" s="9"/>
      <c r="CM239" s="9"/>
      <c r="CN239" s="9"/>
      <c r="CO239" s="9"/>
      <c r="CP239" s="9"/>
      <c r="CQ239" s="10"/>
      <c r="CR239" s="9"/>
      <c r="CS239" s="9"/>
      <c r="CT239" s="9"/>
      <c r="CU239" s="9"/>
      <c r="CV239" s="9"/>
      <c r="CW239" s="9"/>
      <c r="CX239" s="9"/>
      <c r="CY239" s="9"/>
      <c r="CZ239" s="9"/>
      <c r="DA239" s="9"/>
      <c r="DB239" s="9"/>
      <c r="DC239" s="9"/>
      <c r="DD239" s="9"/>
      <c r="DE239" s="9"/>
      <c r="DF239" s="9"/>
      <c r="DG239" s="9"/>
      <c r="DH239" s="9"/>
      <c r="DI239" s="9"/>
      <c r="DJ239" s="9"/>
      <c r="DK239" s="9"/>
      <c r="DL239" s="9"/>
      <c r="DM239" s="9"/>
      <c r="DN239" s="9"/>
      <c r="DO239" s="9"/>
      <c r="DP239" s="9"/>
      <c r="DQ239" s="9"/>
      <c r="DR239" s="9"/>
      <c r="DS239" s="10"/>
      <c r="DT239" s="9"/>
      <c r="DU239" s="9"/>
      <c r="DV239" s="9"/>
      <c r="DW239" s="9"/>
      <c r="DX239" s="9"/>
      <c r="DY239" s="9"/>
      <c r="DZ239" s="9"/>
      <c r="EA239" s="9"/>
      <c r="EB239" s="9"/>
      <c r="EC239" s="9"/>
      <c r="ED239" s="9"/>
      <c r="EE239" s="9"/>
      <c r="EF239" s="9"/>
      <c r="EG239" s="9"/>
      <c r="EH239" s="9"/>
      <c r="EI239" s="9"/>
      <c r="EJ239" s="9"/>
      <c r="EK239" s="9"/>
      <c r="EL239" s="9"/>
      <c r="EM239" s="9"/>
      <c r="EN239" s="9"/>
      <c r="EO239" s="9"/>
      <c r="EP239" s="9"/>
      <c r="EQ239" s="9"/>
      <c r="ER239" s="9"/>
      <c r="ES239" s="9"/>
      <c r="ET239" s="9"/>
      <c r="EU239" s="10"/>
      <c r="EV239" s="9"/>
      <c r="EW239" s="9"/>
      <c r="EX239" s="9"/>
      <c r="EY239" s="9"/>
      <c r="EZ239" s="9"/>
      <c r="FA239" s="9"/>
      <c r="FB239" s="9"/>
      <c r="FC239" s="9"/>
      <c r="FD239" s="9"/>
      <c r="FE239" s="9"/>
      <c r="FF239" s="9"/>
      <c r="FG239" s="9"/>
      <c r="FH239" s="9"/>
      <c r="FI239" s="9"/>
      <c r="FJ239" s="9"/>
      <c r="FK239" s="9"/>
      <c r="FL239" s="9"/>
      <c r="FM239" s="9"/>
      <c r="FN239" s="9"/>
      <c r="FO239" s="9"/>
      <c r="FP239" s="9"/>
      <c r="FQ239" s="9"/>
      <c r="FR239" s="9"/>
      <c r="FS239" s="9"/>
      <c r="FT239" s="9"/>
      <c r="FU239" s="9"/>
      <c r="FV239" s="9"/>
      <c r="FW239" s="10"/>
      <c r="FX239" s="9"/>
      <c r="FY239" s="9"/>
      <c r="FZ239" s="9"/>
      <c r="GA239" s="9"/>
      <c r="GB239" s="9"/>
      <c r="GC239" s="9"/>
      <c r="GD239" s="9"/>
      <c r="GE239" s="9"/>
      <c r="GF239" s="9"/>
      <c r="GG239" s="9"/>
      <c r="GH239" s="9"/>
      <c r="GI239" s="9"/>
      <c r="GJ239" s="9"/>
      <c r="GK239" s="9"/>
      <c r="GL239" s="9"/>
      <c r="GM239" s="9"/>
      <c r="GN239" s="9"/>
      <c r="GO239" s="9"/>
      <c r="GP239" s="9"/>
      <c r="GQ239" s="9"/>
      <c r="GR239" s="9"/>
      <c r="GS239" s="9"/>
      <c r="GT239" s="9"/>
      <c r="GU239" s="9"/>
      <c r="GV239" s="9"/>
      <c r="GW239" s="9"/>
      <c r="GX239" s="9"/>
      <c r="GY239" s="10"/>
      <c r="GZ239" s="9"/>
      <c r="HA239" s="9"/>
    </row>
    <row r="240" spans="1:209" s="2" customFormat="1" ht="17" customHeight="1">
      <c r="A240" s="14" t="s">
        <v>236</v>
      </c>
      <c r="B240" s="35">
        <v>0</v>
      </c>
      <c r="C240" s="35">
        <v>0</v>
      </c>
      <c r="D240" s="4">
        <f t="shared" si="72"/>
        <v>0</v>
      </c>
      <c r="E240" s="11">
        <v>0</v>
      </c>
      <c r="F240" s="5" t="s">
        <v>362</v>
      </c>
      <c r="G240" s="5" t="s">
        <v>362</v>
      </c>
      <c r="H240" s="5" t="s">
        <v>362</v>
      </c>
      <c r="I240" s="5" t="s">
        <v>362</v>
      </c>
      <c r="J240" s="5" t="s">
        <v>362</v>
      </c>
      <c r="K240" s="5" t="s">
        <v>362</v>
      </c>
      <c r="L240" s="5" t="s">
        <v>362</v>
      </c>
      <c r="M240" s="5" t="s">
        <v>362</v>
      </c>
      <c r="N240" s="35">
        <v>361</v>
      </c>
      <c r="O240" s="35">
        <v>191.4</v>
      </c>
      <c r="P240" s="4">
        <f t="shared" si="73"/>
        <v>0.53019390581717452</v>
      </c>
      <c r="Q240" s="11">
        <v>20</v>
      </c>
      <c r="R240" s="35">
        <v>18.100000000000001</v>
      </c>
      <c r="S240" s="35">
        <v>18.5</v>
      </c>
      <c r="T240" s="4">
        <f t="shared" si="74"/>
        <v>1.0220994475138121</v>
      </c>
      <c r="U240" s="11">
        <v>10</v>
      </c>
      <c r="V240" s="35">
        <v>18.5</v>
      </c>
      <c r="W240" s="35">
        <v>22.4</v>
      </c>
      <c r="X240" s="4">
        <f t="shared" si="75"/>
        <v>1.201081081081081</v>
      </c>
      <c r="Y240" s="11">
        <v>40</v>
      </c>
      <c r="Z240" s="35">
        <v>2764</v>
      </c>
      <c r="AA240" s="35">
        <v>3978</v>
      </c>
      <c r="AB240" s="4">
        <f t="shared" si="76"/>
        <v>1.2239218523878437</v>
      </c>
      <c r="AC240" s="11">
        <v>5</v>
      </c>
      <c r="AD240" s="11">
        <v>70</v>
      </c>
      <c r="AE240" s="11">
        <v>80</v>
      </c>
      <c r="AF240" s="4">
        <f t="shared" si="77"/>
        <v>1.1428571428571428</v>
      </c>
      <c r="AG240" s="11">
        <v>20</v>
      </c>
      <c r="AH240" s="5" t="s">
        <v>362</v>
      </c>
      <c r="AI240" s="5" t="s">
        <v>362</v>
      </c>
      <c r="AJ240" s="5" t="s">
        <v>362</v>
      </c>
      <c r="AK240" s="5" t="s">
        <v>362</v>
      </c>
      <c r="AL240" s="5" t="s">
        <v>362</v>
      </c>
      <c r="AM240" s="5" t="s">
        <v>362</v>
      </c>
      <c r="AN240" s="5" t="s">
        <v>362</v>
      </c>
      <c r="AO240" s="5" t="s">
        <v>362</v>
      </c>
      <c r="AP240" s="44">
        <f t="shared" ref="AP240:AP303" si="86">(D240*E240+P240*Q240+T240*U240+X240*Y240+AB240*AC240+AF240*AG240)/(E240+Q240+U240+Y240+AC240+AG240)</f>
        <v>1.0299459784611256</v>
      </c>
      <c r="AQ240" s="45">
        <v>1413</v>
      </c>
      <c r="AR240" s="35">
        <f t="shared" si="78"/>
        <v>385.36363636363637</v>
      </c>
      <c r="AS240" s="35">
        <f t="shared" si="79"/>
        <v>396.9</v>
      </c>
      <c r="AT240" s="35">
        <f t="shared" si="80"/>
        <v>11.536363636363603</v>
      </c>
      <c r="AU240" s="35">
        <v>161.80000000000001</v>
      </c>
      <c r="AV240" s="35">
        <v>119.4</v>
      </c>
      <c r="AW240" s="35">
        <f t="shared" si="81"/>
        <v>115.7</v>
      </c>
      <c r="AX240" s="35"/>
      <c r="AY240" s="35">
        <f t="shared" si="82"/>
        <v>115.7</v>
      </c>
      <c r="AZ240" s="35">
        <v>0</v>
      </c>
      <c r="BA240" s="35">
        <f t="shared" si="83"/>
        <v>115.7</v>
      </c>
      <c r="BB240" s="35"/>
      <c r="BC240" s="35">
        <f t="shared" si="84"/>
        <v>115.7</v>
      </c>
      <c r="BD240" s="35">
        <v>111.6</v>
      </c>
      <c r="BE240" s="35">
        <f t="shared" si="85"/>
        <v>4.0999999999999996</v>
      </c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9"/>
      <c r="BU240" s="9"/>
      <c r="BV240" s="9"/>
      <c r="BW240" s="9"/>
      <c r="BX240" s="9"/>
      <c r="BY240" s="9"/>
      <c r="BZ240" s="9"/>
      <c r="CA240" s="9"/>
      <c r="CB240" s="9"/>
      <c r="CC240" s="9"/>
      <c r="CD240" s="9"/>
      <c r="CE240" s="9"/>
      <c r="CF240" s="9"/>
      <c r="CG240" s="9"/>
      <c r="CH240" s="9"/>
      <c r="CI240" s="9"/>
      <c r="CJ240" s="9"/>
      <c r="CK240" s="9"/>
      <c r="CL240" s="9"/>
      <c r="CM240" s="9"/>
      <c r="CN240" s="9"/>
      <c r="CO240" s="9"/>
      <c r="CP240" s="9"/>
      <c r="CQ240" s="10"/>
      <c r="CR240" s="9"/>
      <c r="CS240" s="9"/>
      <c r="CT240" s="9"/>
      <c r="CU240" s="9"/>
      <c r="CV240" s="9"/>
      <c r="CW240" s="9"/>
      <c r="CX240" s="9"/>
      <c r="CY240" s="9"/>
      <c r="CZ240" s="9"/>
      <c r="DA240" s="9"/>
      <c r="DB240" s="9"/>
      <c r="DC240" s="9"/>
      <c r="DD240" s="9"/>
      <c r="DE240" s="9"/>
      <c r="DF240" s="9"/>
      <c r="DG240" s="9"/>
      <c r="DH240" s="9"/>
      <c r="DI240" s="9"/>
      <c r="DJ240" s="9"/>
      <c r="DK240" s="9"/>
      <c r="DL240" s="9"/>
      <c r="DM240" s="9"/>
      <c r="DN240" s="9"/>
      <c r="DO240" s="9"/>
      <c r="DP240" s="9"/>
      <c r="DQ240" s="9"/>
      <c r="DR240" s="9"/>
      <c r="DS240" s="10"/>
      <c r="DT240" s="9"/>
      <c r="DU240" s="9"/>
      <c r="DV240" s="9"/>
      <c r="DW240" s="9"/>
      <c r="DX240" s="9"/>
      <c r="DY240" s="9"/>
      <c r="DZ240" s="9"/>
      <c r="EA240" s="9"/>
      <c r="EB240" s="9"/>
      <c r="EC240" s="9"/>
      <c r="ED240" s="9"/>
      <c r="EE240" s="9"/>
      <c r="EF240" s="9"/>
      <c r="EG240" s="9"/>
      <c r="EH240" s="9"/>
      <c r="EI240" s="9"/>
      <c r="EJ240" s="9"/>
      <c r="EK240" s="9"/>
      <c r="EL240" s="9"/>
      <c r="EM240" s="9"/>
      <c r="EN240" s="9"/>
      <c r="EO240" s="9"/>
      <c r="EP240" s="9"/>
      <c r="EQ240" s="9"/>
      <c r="ER240" s="9"/>
      <c r="ES240" s="9"/>
      <c r="ET240" s="9"/>
      <c r="EU240" s="10"/>
      <c r="EV240" s="9"/>
      <c r="EW240" s="9"/>
      <c r="EX240" s="9"/>
      <c r="EY240" s="9"/>
      <c r="EZ240" s="9"/>
      <c r="FA240" s="9"/>
      <c r="FB240" s="9"/>
      <c r="FC240" s="9"/>
      <c r="FD240" s="9"/>
      <c r="FE240" s="9"/>
      <c r="FF240" s="9"/>
      <c r="FG240" s="9"/>
      <c r="FH240" s="9"/>
      <c r="FI240" s="9"/>
      <c r="FJ240" s="9"/>
      <c r="FK240" s="9"/>
      <c r="FL240" s="9"/>
      <c r="FM240" s="9"/>
      <c r="FN240" s="9"/>
      <c r="FO240" s="9"/>
      <c r="FP240" s="9"/>
      <c r="FQ240" s="9"/>
      <c r="FR240" s="9"/>
      <c r="FS240" s="9"/>
      <c r="FT240" s="9"/>
      <c r="FU240" s="9"/>
      <c r="FV240" s="9"/>
      <c r="FW240" s="10"/>
      <c r="FX240" s="9"/>
      <c r="FY240" s="9"/>
      <c r="FZ240" s="9"/>
      <c r="GA240" s="9"/>
      <c r="GB240" s="9"/>
      <c r="GC240" s="9"/>
      <c r="GD240" s="9"/>
      <c r="GE240" s="9"/>
      <c r="GF240" s="9"/>
      <c r="GG240" s="9"/>
      <c r="GH240" s="9"/>
      <c r="GI240" s="9"/>
      <c r="GJ240" s="9"/>
      <c r="GK240" s="9"/>
      <c r="GL240" s="9"/>
      <c r="GM240" s="9"/>
      <c r="GN240" s="9"/>
      <c r="GO240" s="9"/>
      <c r="GP240" s="9"/>
      <c r="GQ240" s="9"/>
      <c r="GR240" s="9"/>
      <c r="GS240" s="9"/>
      <c r="GT240" s="9"/>
      <c r="GU240" s="9"/>
      <c r="GV240" s="9"/>
      <c r="GW240" s="9"/>
      <c r="GX240" s="9"/>
      <c r="GY240" s="10"/>
      <c r="GZ240" s="9"/>
      <c r="HA240" s="9"/>
    </row>
    <row r="241" spans="1:209" s="2" customFormat="1" ht="17" customHeight="1">
      <c r="A241" s="14" t="s">
        <v>237</v>
      </c>
      <c r="B241" s="35">
        <v>2257</v>
      </c>
      <c r="C241" s="35">
        <v>1762.7</v>
      </c>
      <c r="D241" s="4">
        <f t="shared" si="72"/>
        <v>0.78099246787771381</v>
      </c>
      <c r="E241" s="11">
        <v>10</v>
      </c>
      <c r="F241" s="5" t="s">
        <v>362</v>
      </c>
      <c r="G241" s="5" t="s">
        <v>362</v>
      </c>
      <c r="H241" s="5" t="s">
        <v>362</v>
      </c>
      <c r="I241" s="5" t="s">
        <v>362</v>
      </c>
      <c r="J241" s="5" t="s">
        <v>362</v>
      </c>
      <c r="K241" s="5" t="s">
        <v>362</v>
      </c>
      <c r="L241" s="5" t="s">
        <v>362</v>
      </c>
      <c r="M241" s="5" t="s">
        <v>362</v>
      </c>
      <c r="N241" s="35">
        <v>325.8</v>
      </c>
      <c r="O241" s="35">
        <v>292.7</v>
      </c>
      <c r="P241" s="4">
        <f t="shared" si="73"/>
        <v>0.8984039287906691</v>
      </c>
      <c r="Q241" s="11">
        <v>20</v>
      </c>
      <c r="R241" s="35">
        <v>106.3</v>
      </c>
      <c r="S241" s="35">
        <v>107.1</v>
      </c>
      <c r="T241" s="4">
        <f t="shared" si="74"/>
        <v>1.0075258701787393</v>
      </c>
      <c r="U241" s="11">
        <v>25</v>
      </c>
      <c r="V241" s="35">
        <v>10.199999999999999</v>
      </c>
      <c r="W241" s="35">
        <v>11.1</v>
      </c>
      <c r="X241" s="4">
        <f t="shared" si="75"/>
        <v>1.0882352941176472</v>
      </c>
      <c r="Y241" s="11">
        <v>25</v>
      </c>
      <c r="Z241" s="35">
        <v>3088</v>
      </c>
      <c r="AA241" s="35">
        <v>3435</v>
      </c>
      <c r="AB241" s="4">
        <f t="shared" si="76"/>
        <v>1.1123704663212435</v>
      </c>
      <c r="AC241" s="11">
        <v>5</v>
      </c>
      <c r="AD241" s="11">
        <v>237</v>
      </c>
      <c r="AE241" s="11">
        <v>237</v>
      </c>
      <c r="AF241" s="4">
        <f t="shared" si="77"/>
        <v>1</v>
      </c>
      <c r="AG241" s="11">
        <v>20</v>
      </c>
      <c r="AH241" s="5" t="s">
        <v>362</v>
      </c>
      <c r="AI241" s="5" t="s">
        <v>362</v>
      </c>
      <c r="AJ241" s="5" t="s">
        <v>362</v>
      </c>
      <c r="AK241" s="5" t="s">
        <v>362</v>
      </c>
      <c r="AL241" s="5" t="s">
        <v>362</v>
      </c>
      <c r="AM241" s="5" t="s">
        <v>362</v>
      </c>
      <c r="AN241" s="5" t="s">
        <v>362</v>
      </c>
      <c r="AO241" s="5" t="s">
        <v>362</v>
      </c>
      <c r="AP241" s="44">
        <f t="shared" si="86"/>
        <v>0.98794175898672765</v>
      </c>
      <c r="AQ241" s="45">
        <v>1091</v>
      </c>
      <c r="AR241" s="35">
        <f t="shared" si="78"/>
        <v>297.54545454545456</v>
      </c>
      <c r="AS241" s="35">
        <f t="shared" si="79"/>
        <v>294</v>
      </c>
      <c r="AT241" s="35">
        <f t="shared" si="80"/>
        <v>-3.545454545454561</v>
      </c>
      <c r="AU241" s="35">
        <v>102.2</v>
      </c>
      <c r="AV241" s="35">
        <v>86.1</v>
      </c>
      <c r="AW241" s="35">
        <f t="shared" si="81"/>
        <v>105.7</v>
      </c>
      <c r="AX241" s="35"/>
      <c r="AY241" s="35">
        <f t="shared" si="82"/>
        <v>105.7</v>
      </c>
      <c r="AZ241" s="35">
        <v>0</v>
      </c>
      <c r="BA241" s="35">
        <f t="shared" si="83"/>
        <v>105.7</v>
      </c>
      <c r="BB241" s="35">
        <f>MIN(BA241,27.4)</f>
        <v>27.4</v>
      </c>
      <c r="BC241" s="35">
        <f t="shared" si="84"/>
        <v>78.3</v>
      </c>
      <c r="BD241" s="35">
        <v>76.400000000000006</v>
      </c>
      <c r="BE241" s="35">
        <f t="shared" si="85"/>
        <v>1.9</v>
      </c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9"/>
      <c r="BU241" s="9"/>
      <c r="BV241" s="9"/>
      <c r="BW241" s="9"/>
      <c r="BX241" s="9"/>
      <c r="BY241" s="9"/>
      <c r="BZ241" s="9"/>
      <c r="CA241" s="9"/>
      <c r="CB241" s="9"/>
      <c r="CC241" s="9"/>
      <c r="CD241" s="9"/>
      <c r="CE241" s="9"/>
      <c r="CF241" s="9"/>
      <c r="CG241" s="9"/>
      <c r="CH241" s="9"/>
      <c r="CI241" s="9"/>
      <c r="CJ241" s="9"/>
      <c r="CK241" s="9"/>
      <c r="CL241" s="9"/>
      <c r="CM241" s="9"/>
      <c r="CN241" s="9"/>
      <c r="CO241" s="9"/>
      <c r="CP241" s="9"/>
      <c r="CQ241" s="10"/>
      <c r="CR241" s="9"/>
      <c r="CS241" s="9"/>
      <c r="CT241" s="9"/>
      <c r="CU241" s="9"/>
      <c r="CV241" s="9"/>
      <c r="CW241" s="9"/>
      <c r="CX241" s="9"/>
      <c r="CY241" s="9"/>
      <c r="CZ241" s="9"/>
      <c r="DA241" s="9"/>
      <c r="DB241" s="9"/>
      <c r="DC241" s="9"/>
      <c r="DD241" s="9"/>
      <c r="DE241" s="9"/>
      <c r="DF241" s="9"/>
      <c r="DG241" s="9"/>
      <c r="DH241" s="9"/>
      <c r="DI241" s="9"/>
      <c r="DJ241" s="9"/>
      <c r="DK241" s="9"/>
      <c r="DL241" s="9"/>
      <c r="DM241" s="9"/>
      <c r="DN241" s="9"/>
      <c r="DO241" s="9"/>
      <c r="DP241" s="9"/>
      <c r="DQ241" s="9"/>
      <c r="DR241" s="9"/>
      <c r="DS241" s="10"/>
      <c r="DT241" s="9"/>
      <c r="DU241" s="9"/>
      <c r="DV241" s="9"/>
      <c r="DW241" s="9"/>
      <c r="DX241" s="9"/>
      <c r="DY241" s="9"/>
      <c r="DZ241" s="9"/>
      <c r="EA241" s="9"/>
      <c r="EB241" s="9"/>
      <c r="EC241" s="9"/>
      <c r="ED241" s="9"/>
      <c r="EE241" s="9"/>
      <c r="EF241" s="9"/>
      <c r="EG241" s="9"/>
      <c r="EH241" s="9"/>
      <c r="EI241" s="9"/>
      <c r="EJ241" s="9"/>
      <c r="EK241" s="9"/>
      <c r="EL241" s="9"/>
      <c r="EM241" s="9"/>
      <c r="EN241" s="9"/>
      <c r="EO241" s="9"/>
      <c r="EP241" s="9"/>
      <c r="EQ241" s="9"/>
      <c r="ER241" s="9"/>
      <c r="ES241" s="9"/>
      <c r="ET241" s="9"/>
      <c r="EU241" s="10"/>
      <c r="EV241" s="9"/>
      <c r="EW241" s="9"/>
      <c r="EX241" s="9"/>
      <c r="EY241" s="9"/>
      <c r="EZ241" s="9"/>
      <c r="FA241" s="9"/>
      <c r="FB241" s="9"/>
      <c r="FC241" s="9"/>
      <c r="FD241" s="9"/>
      <c r="FE241" s="9"/>
      <c r="FF241" s="9"/>
      <c r="FG241" s="9"/>
      <c r="FH241" s="9"/>
      <c r="FI241" s="9"/>
      <c r="FJ241" s="9"/>
      <c r="FK241" s="9"/>
      <c r="FL241" s="9"/>
      <c r="FM241" s="9"/>
      <c r="FN241" s="9"/>
      <c r="FO241" s="9"/>
      <c r="FP241" s="9"/>
      <c r="FQ241" s="9"/>
      <c r="FR241" s="9"/>
      <c r="FS241" s="9"/>
      <c r="FT241" s="9"/>
      <c r="FU241" s="9"/>
      <c r="FV241" s="9"/>
      <c r="FW241" s="10"/>
      <c r="FX241" s="9"/>
      <c r="FY241" s="9"/>
      <c r="FZ241" s="9"/>
      <c r="GA241" s="9"/>
      <c r="GB241" s="9"/>
      <c r="GC241" s="9"/>
      <c r="GD241" s="9"/>
      <c r="GE241" s="9"/>
      <c r="GF241" s="9"/>
      <c r="GG241" s="9"/>
      <c r="GH241" s="9"/>
      <c r="GI241" s="9"/>
      <c r="GJ241" s="9"/>
      <c r="GK241" s="9"/>
      <c r="GL241" s="9"/>
      <c r="GM241" s="9"/>
      <c r="GN241" s="9"/>
      <c r="GO241" s="9"/>
      <c r="GP241" s="9"/>
      <c r="GQ241" s="9"/>
      <c r="GR241" s="9"/>
      <c r="GS241" s="9"/>
      <c r="GT241" s="9"/>
      <c r="GU241" s="9"/>
      <c r="GV241" s="9"/>
      <c r="GW241" s="9"/>
      <c r="GX241" s="9"/>
      <c r="GY241" s="10"/>
      <c r="GZ241" s="9"/>
      <c r="HA241" s="9"/>
    </row>
    <row r="242" spans="1:209" s="2" customFormat="1" ht="17" customHeight="1">
      <c r="A242" s="14" t="s">
        <v>238</v>
      </c>
      <c r="B242" s="35">
        <v>0</v>
      </c>
      <c r="C242" s="35">
        <v>0</v>
      </c>
      <c r="D242" s="4">
        <f t="shared" si="72"/>
        <v>0</v>
      </c>
      <c r="E242" s="11">
        <v>0</v>
      </c>
      <c r="F242" s="5" t="s">
        <v>362</v>
      </c>
      <c r="G242" s="5" t="s">
        <v>362</v>
      </c>
      <c r="H242" s="5" t="s">
        <v>362</v>
      </c>
      <c r="I242" s="5" t="s">
        <v>362</v>
      </c>
      <c r="J242" s="5" t="s">
        <v>362</v>
      </c>
      <c r="K242" s="5" t="s">
        <v>362</v>
      </c>
      <c r="L242" s="5" t="s">
        <v>362</v>
      </c>
      <c r="M242" s="5" t="s">
        <v>362</v>
      </c>
      <c r="N242" s="35">
        <v>265.5</v>
      </c>
      <c r="O242" s="35">
        <v>327.5</v>
      </c>
      <c r="P242" s="4">
        <f t="shared" si="73"/>
        <v>1.203352165725047</v>
      </c>
      <c r="Q242" s="11">
        <v>20</v>
      </c>
      <c r="R242" s="35">
        <v>55.6</v>
      </c>
      <c r="S242" s="35">
        <v>55.8</v>
      </c>
      <c r="T242" s="4">
        <f t="shared" si="74"/>
        <v>1.0035971223021583</v>
      </c>
      <c r="U242" s="11">
        <v>20</v>
      </c>
      <c r="V242" s="35">
        <v>7.4</v>
      </c>
      <c r="W242" s="35">
        <v>9.1999999999999993</v>
      </c>
      <c r="X242" s="4">
        <f t="shared" si="75"/>
        <v>1.2043243243243242</v>
      </c>
      <c r="Y242" s="11">
        <v>30</v>
      </c>
      <c r="Z242" s="35">
        <v>1903</v>
      </c>
      <c r="AA242" s="35">
        <v>1831</v>
      </c>
      <c r="AB242" s="4">
        <f t="shared" si="76"/>
        <v>0.96216500262743032</v>
      </c>
      <c r="AC242" s="11">
        <v>5</v>
      </c>
      <c r="AD242" s="11">
        <v>336</v>
      </c>
      <c r="AE242" s="11">
        <v>331</v>
      </c>
      <c r="AF242" s="4">
        <f t="shared" si="77"/>
        <v>0.98511904761904767</v>
      </c>
      <c r="AG242" s="11">
        <v>20</v>
      </c>
      <c r="AH242" s="5" t="s">
        <v>362</v>
      </c>
      <c r="AI242" s="5" t="s">
        <v>362</v>
      </c>
      <c r="AJ242" s="5" t="s">
        <v>362</v>
      </c>
      <c r="AK242" s="5" t="s">
        <v>362</v>
      </c>
      <c r="AL242" s="5" t="s">
        <v>362</v>
      </c>
      <c r="AM242" s="5" t="s">
        <v>362</v>
      </c>
      <c r="AN242" s="5" t="s">
        <v>362</v>
      </c>
      <c r="AO242" s="5" t="s">
        <v>362</v>
      </c>
      <c r="AP242" s="44">
        <f t="shared" si="86"/>
        <v>1.1029675942714938</v>
      </c>
      <c r="AQ242" s="45">
        <v>1348</v>
      </c>
      <c r="AR242" s="35">
        <f t="shared" si="78"/>
        <v>367.63636363636363</v>
      </c>
      <c r="AS242" s="35">
        <f t="shared" si="79"/>
        <v>405.5</v>
      </c>
      <c r="AT242" s="35">
        <f t="shared" si="80"/>
        <v>37.863636363636374</v>
      </c>
      <c r="AU242" s="35">
        <v>129.9</v>
      </c>
      <c r="AV242" s="35">
        <v>143.80000000000001</v>
      </c>
      <c r="AW242" s="35">
        <f t="shared" si="81"/>
        <v>131.80000000000001</v>
      </c>
      <c r="AX242" s="35"/>
      <c r="AY242" s="35">
        <f t="shared" si="82"/>
        <v>131.80000000000001</v>
      </c>
      <c r="AZ242" s="35">
        <v>0</v>
      </c>
      <c r="BA242" s="35">
        <f t="shared" si="83"/>
        <v>131.80000000000001</v>
      </c>
      <c r="BB242" s="35">
        <f>MIN(BA242,16.6)</f>
        <v>16.600000000000001</v>
      </c>
      <c r="BC242" s="35">
        <f t="shared" si="84"/>
        <v>115.2</v>
      </c>
      <c r="BD242" s="35">
        <v>118.1</v>
      </c>
      <c r="BE242" s="35">
        <f t="shared" si="85"/>
        <v>-2.9</v>
      </c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9"/>
      <c r="BU242" s="9"/>
      <c r="BV242" s="9"/>
      <c r="BW242" s="9"/>
      <c r="BX242" s="9"/>
      <c r="BY242" s="9"/>
      <c r="BZ242" s="9"/>
      <c r="CA242" s="9"/>
      <c r="CB242" s="9"/>
      <c r="CC242" s="9"/>
      <c r="CD242" s="9"/>
      <c r="CE242" s="9"/>
      <c r="CF242" s="9"/>
      <c r="CG242" s="9"/>
      <c r="CH242" s="9"/>
      <c r="CI242" s="9"/>
      <c r="CJ242" s="9"/>
      <c r="CK242" s="9"/>
      <c r="CL242" s="9"/>
      <c r="CM242" s="9"/>
      <c r="CN242" s="9"/>
      <c r="CO242" s="9"/>
      <c r="CP242" s="9"/>
      <c r="CQ242" s="10"/>
      <c r="CR242" s="9"/>
      <c r="CS242" s="9"/>
      <c r="CT242" s="9"/>
      <c r="CU242" s="9"/>
      <c r="CV242" s="9"/>
      <c r="CW242" s="9"/>
      <c r="CX242" s="9"/>
      <c r="CY242" s="9"/>
      <c r="CZ242" s="9"/>
      <c r="DA242" s="9"/>
      <c r="DB242" s="9"/>
      <c r="DC242" s="9"/>
      <c r="DD242" s="9"/>
      <c r="DE242" s="9"/>
      <c r="DF242" s="9"/>
      <c r="DG242" s="9"/>
      <c r="DH242" s="9"/>
      <c r="DI242" s="9"/>
      <c r="DJ242" s="9"/>
      <c r="DK242" s="9"/>
      <c r="DL242" s="9"/>
      <c r="DM242" s="9"/>
      <c r="DN242" s="9"/>
      <c r="DO242" s="9"/>
      <c r="DP242" s="9"/>
      <c r="DQ242" s="9"/>
      <c r="DR242" s="9"/>
      <c r="DS242" s="10"/>
      <c r="DT242" s="9"/>
      <c r="DU242" s="9"/>
      <c r="DV242" s="9"/>
      <c r="DW242" s="9"/>
      <c r="DX242" s="9"/>
      <c r="DY242" s="9"/>
      <c r="DZ242" s="9"/>
      <c r="EA242" s="9"/>
      <c r="EB242" s="9"/>
      <c r="EC242" s="9"/>
      <c r="ED242" s="9"/>
      <c r="EE242" s="9"/>
      <c r="EF242" s="9"/>
      <c r="EG242" s="9"/>
      <c r="EH242" s="9"/>
      <c r="EI242" s="9"/>
      <c r="EJ242" s="9"/>
      <c r="EK242" s="9"/>
      <c r="EL242" s="9"/>
      <c r="EM242" s="9"/>
      <c r="EN242" s="9"/>
      <c r="EO242" s="9"/>
      <c r="EP242" s="9"/>
      <c r="EQ242" s="9"/>
      <c r="ER242" s="9"/>
      <c r="ES242" s="9"/>
      <c r="ET242" s="9"/>
      <c r="EU242" s="10"/>
      <c r="EV242" s="9"/>
      <c r="EW242" s="9"/>
      <c r="EX242" s="9"/>
      <c r="EY242" s="9"/>
      <c r="EZ242" s="9"/>
      <c r="FA242" s="9"/>
      <c r="FB242" s="9"/>
      <c r="FC242" s="9"/>
      <c r="FD242" s="9"/>
      <c r="FE242" s="9"/>
      <c r="FF242" s="9"/>
      <c r="FG242" s="9"/>
      <c r="FH242" s="9"/>
      <c r="FI242" s="9"/>
      <c r="FJ242" s="9"/>
      <c r="FK242" s="9"/>
      <c r="FL242" s="9"/>
      <c r="FM242" s="9"/>
      <c r="FN242" s="9"/>
      <c r="FO242" s="9"/>
      <c r="FP242" s="9"/>
      <c r="FQ242" s="9"/>
      <c r="FR242" s="9"/>
      <c r="FS242" s="9"/>
      <c r="FT242" s="9"/>
      <c r="FU242" s="9"/>
      <c r="FV242" s="9"/>
      <c r="FW242" s="10"/>
      <c r="FX242" s="9"/>
      <c r="FY242" s="9"/>
      <c r="FZ242" s="9"/>
      <c r="GA242" s="9"/>
      <c r="GB242" s="9"/>
      <c r="GC242" s="9"/>
      <c r="GD242" s="9"/>
      <c r="GE242" s="9"/>
      <c r="GF242" s="9"/>
      <c r="GG242" s="9"/>
      <c r="GH242" s="9"/>
      <c r="GI242" s="9"/>
      <c r="GJ242" s="9"/>
      <c r="GK242" s="9"/>
      <c r="GL242" s="9"/>
      <c r="GM242" s="9"/>
      <c r="GN242" s="9"/>
      <c r="GO242" s="9"/>
      <c r="GP242" s="9"/>
      <c r="GQ242" s="9"/>
      <c r="GR242" s="9"/>
      <c r="GS242" s="9"/>
      <c r="GT242" s="9"/>
      <c r="GU242" s="9"/>
      <c r="GV242" s="9"/>
      <c r="GW242" s="9"/>
      <c r="GX242" s="9"/>
      <c r="GY242" s="10"/>
      <c r="GZ242" s="9"/>
      <c r="HA242" s="9"/>
    </row>
    <row r="243" spans="1:209" s="2" customFormat="1" ht="17" customHeight="1">
      <c r="A243" s="14" t="s">
        <v>239</v>
      </c>
      <c r="B243" s="35">
        <v>0</v>
      </c>
      <c r="C243" s="35">
        <v>0</v>
      </c>
      <c r="D243" s="4">
        <f t="shared" si="72"/>
        <v>0</v>
      </c>
      <c r="E243" s="11">
        <v>0</v>
      </c>
      <c r="F243" s="5" t="s">
        <v>362</v>
      </c>
      <c r="G243" s="5" t="s">
        <v>362</v>
      </c>
      <c r="H243" s="5" t="s">
        <v>362</v>
      </c>
      <c r="I243" s="5" t="s">
        <v>362</v>
      </c>
      <c r="J243" s="5" t="s">
        <v>362</v>
      </c>
      <c r="K243" s="5" t="s">
        <v>362</v>
      </c>
      <c r="L243" s="5" t="s">
        <v>362</v>
      </c>
      <c r="M243" s="5" t="s">
        <v>362</v>
      </c>
      <c r="N243" s="35">
        <v>290.8</v>
      </c>
      <c r="O243" s="35">
        <v>280.2</v>
      </c>
      <c r="P243" s="4">
        <f t="shared" si="73"/>
        <v>0.96354883081155429</v>
      </c>
      <c r="Q243" s="11">
        <v>20</v>
      </c>
      <c r="R243" s="35">
        <v>8.8000000000000007</v>
      </c>
      <c r="S243" s="35">
        <v>9.5</v>
      </c>
      <c r="T243" s="4">
        <f t="shared" si="74"/>
        <v>1.0795454545454544</v>
      </c>
      <c r="U243" s="11">
        <v>25</v>
      </c>
      <c r="V243" s="35">
        <v>0.6</v>
      </c>
      <c r="W243" s="35">
        <v>2.9</v>
      </c>
      <c r="X243" s="4">
        <f t="shared" si="75"/>
        <v>1.3</v>
      </c>
      <c r="Y243" s="11">
        <v>25</v>
      </c>
      <c r="Z243" s="35">
        <v>1386</v>
      </c>
      <c r="AA243" s="35">
        <v>1323</v>
      </c>
      <c r="AB243" s="4">
        <f t="shared" si="76"/>
        <v>0.95454545454545459</v>
      </c>
      <c r="AC243" s="11">
        <v>5</v>
      </c>
      <c r="AD243" s="11">
        <v>100</v>
      </c>
      <c r="AE243" s="11">
        <v>101</v>
      </c>
      <c r="AF243" s="4">
        <f t="shared" si="77"/>
        <v>1.01</v>
      </c>
      <c r="AG243" s="11">
        <v>20</v>
      </c>
      <c r="AH243" s="5" t="s">
        <v>362</v>
      </c>
      <c r="AI243" s="5" t="s">
        <v>362</v>
      </c>
      <c r="AJ243" s="5" t="s">
        <v>362</v>
      </c>
      <c r="AK243" s="5" t="s">
        <v>362</v>
      </c>
      <c r="AL243" s="5" t="s">
        <v>362</v>
      </c>
      <c r="AM243" s="5" t="s">
        <v>362</v>
      </c>
      <c r="AN243" s="5" t="s">
        <v>362</v>
      </c>
      <c r="AO243" s="5" t="s">
        <v>362</v>
      </c>
      <c r="AP243" s="44">
        <f t="shared" si="86"/>
        <v>1.0919193710799444</v>
      </c>
      <c r="AQ243" s="45">
        <v>819</v>
      </c>
      <c r="AR243" s="35">
        <f t="shared" si="78"/>
        <v>223.36363636363637</v>
      </c>
      <c r="AS243" s="35">
        <f t="shared" si="79"/>
        <v>243.9</v>
      </c>
      <c r="AT243" s="35">
        <f t="shared" si="80"/>
        <v>20.536363636363632</v>
      </c>
      <c r="AU243" s="35">
        <v>89.3</v>
      </c>
      <c r="AV243" s="35">
        <v>91.3</v>
      </c>
      <c r="AW243" s="35">
        <f t="shared" si="81"/>
        <v>63.3</v>
      </c>
      <c r="AX243" s="35"/>
      <c r="AY243" s="35">
        <f t="shared" si="82"/>
        <v>63.3</v>
      </c>
      <c r="AZ243" s="35">
        <v>0</v>
      </c>
      <c r="BA243" s="35">
        <f t="shared" si="83"/>
        <v>63.3</v>
      </c>
      <c r="BB243" s="35">
        <f>MIN(BA243,37.2)</f>
        <v>37.200000000000003</v>
      </c>
      <c r="BC243" s="35">
        <f t="shared" si="84"/>
        <v>26.1</v>
      </c>
      <c r="BD243" s="35">
        <v>27.8</v>
      </c>
      <c r="BE243" s="35">
        <f t="shared" si="85"/>
        <v>-1.7</v>
      </c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9"/>
      <c r="BU243" s="9"/>
      <c r="BV243" s="9"/>
      <c r="BW243" s="9"/>
      <c r="BX243" s="9"/>
      <c r="BY243" s="9"/>
      <c r="BZ243" s="9"/>
      <c r="CA243" s="9"/>
      <c r="CB243" s="9"/>
      <c r="CC243" s="9"/>
      <c r="CD243" s="9"/>
      <c r="CE243" s="9"/>
      <c r="CF243" s="9"/>
      <c r="CG243" s="9"/>
      <c r="CH243" s="9"/>
      <c r="CI243" s="9"/>
      <c r="CJ243" s="9"/>
      <c r="CK243" s="9"/>
      <c r="CL243" s="9"/>
      <c r="CM243" s="9"/>
      <c r="CN243" s="9"/>
      <c r="CO243" s="9"/>
      <c r="CP243" s="9"/>
      <c r="CQ243" s="10"/>
      <c r="CR243" s="9"/>
      <c r="CS243" s="9"/>
      <c r="CT243" s="9"/>
      <c r="CU243" s="9"/>
      <c r="CV243" s="9"/>
      <c r="CW243" s="9"/>
      <c r="CX243" s="9"/>
      <c r="CY243" s="9"/>
      <c r="CZ243" s="9"/>
      <c r="DA243" s="9"/>
      <c r="DB243" s="9"/>
      <c r="DC243" s="9"/>
      <c r="DD243" s="9"/>
      <c r="DE243" s="9"/>
      <c r="DF243" s="9"/>
      <c r="DG243" s="9"/>
      <c r="DH243" s="9"/>
      <c r="DI243" s="9"/>
      <c r="DJ243" s="9"/>
      <c r="DK243" s="9"/>
      <c r="DL243" s="9"/>
      <c r="DM243" s="9"/>
      <c r="DN243" s="9"/>
      <c r="DO243" s="9"/>
      <c r="DP243" s="9"/>
      <c r="DQ243" s="9"/>
      <c r="DR243" s="9"/>
      <c r="DS243" s="10"/>
      <c r="DT243" s="9"/>
      <c r="DU243" s="9"/>
      <c r="DV243" s="9"/>
      <c r="DW243" s="9"/>
      <c r="DX243" s="9"/>
      <c r="DY243" s="9"/>
      <c r="DZ243" s="9"/>
      <c r="EA243" s="9"/>
      <c r="EB243" s="9"/>
      <c r="EC243" s="9"/>
      <c r="ED243" s="9"/>
      <c r="EE243" s="9"/>
      <c r="EF243" s="9"/>
      <c r="EG243" s="9"/>
      <c r="EH243" s="9"/>
      <c r="EI243" s="9"/>
      <c r="EJ243" s="9"/>
      <c r="EK243" s="9"/>
      <c r="EL243" s="9"/>
      <c r="EM243" s="9"/>
      <c r="EN243" s="9"/>
      <c r="EO243" s="9"/>
      <c r="EP243" s="9"/>
      <c r="EQ243" s="9"/>
      <c r="ER243" s="9"/>
      <c r="ES243" s="9"/>
      <c r="ET243" s="9"/>
      <c r="EU243" s="10"/>
      <c r="EV243" s="9"/>
      <c r="EW243" s="9"/>
      <c r="EX243" s="9"/>
      <c r="EY243" s="9"/>
      <c r="EZ243" s="9"/>
      <c r="FA243" s="9"/>
      <c r="FB243" s="9"/>
      <c r="FC243" s="9"/>
      <c r="FD243" s="9"/>
      <c r="FE243" s="9"/>
      <c r="FF243" s="9"/>
      <c r="FG243" s="9"/>
      <c r="FH243" s="9"/>
      <c r="FI243" s="9"/>
      <c r="FJ243" s="9"/>
      <c r="FK243" s="9"/>
      <c r="FL243" s="9"/>
      <c r="FM243" s="9"/>
      <c r="FN243" s="9"/>
      <c r="FO243" s="9"/>
      <c r="FP243" s="9"/>
      <c r="FQ243" s="9"/>
      <c r="FR243" s="9"/>
      <c r="FS243" s="9"/>
      <c r="FT243" s="9"/>
      <c r="FU243" s="9"/>
      <c r="FV243" s="9"/>
      <c r="FW243" s="10"/>
      <c r="FX243" s="9"/>
      <c r="FY243" s="9"/>
      <c r="FZ243" s="9"/>
      <c r="GA243" s="9"/>
      <c r="GB243" s="9"/>
      <c r="GC243" s="9"/>
      <c r="GD243" s="9"/>
      <c r="GE243" s="9"/>
      <c r="GF243" s="9"/>
      <c r="GG243" s="9"/>
      <c r="GH243" s="9"/>
      <c r="GI243" s="9"/>
      <c r="GJ243" s="9"/>
      <c r="GK243" s="9"/>
      <c r="GL243" s="9"/>
      <c r="GM243" s="9"/>
      <c r="GN243" s="9"/>
      <c r="GO243" s="9"/>
      <c r="GP243" s="9"/>
      <c r="GQ243" s="9"/>
      <c r="GR243" s="9"/>
      <c r="GS243" s="9"/>
      <c r="GT243" s="9"/>
      <c r="GU243" s="9"/>
      <c r="GV243" s="9"/>
      <c r="GW243" s="9"/>
      <c r="GX243" s="9"/>
      <c r="GY243" s="10"/>
      <c r="GZ243" s="9"/>
      <c r="HA243" s="9"/>
    </row>
    <row r="244" spans="1:209" s="2" customFormat="1" ht="17" customHeight="1">
      <c r="A244" s="14" t="s">
        <v>240</v>
      </c>
      <c r="B244" s="35">
        <v>0</v>
      </c>
      <c r="C244" s="35">
        <v>0</v>
      </c>
      <c r="D244" s="4">
        <f t="shared" si="72"/>
        <v>0</v>
      </c>
      <c r="E244" s="11">
        <v>0</v>
      </c>
      <c r="F244" s="5" t="s">
        <v>362</v>
      </c>
      <c r="G244" s="5" t="s">
        <v>362</v>
      </c>
      <c r="H244" s="5" t="s">
        <v>362</v>
      </c>
      <c r="I244" s="5" t="s">
        <v>362</v>
      </c>
      <c r="J244" s="5" t="s">
        <v>362</v>
      </c>
      <c r="K244" s="5" t="s">
        <v>362</v>
      </c>
      <c r="L244" s="5" t="s">
        <v>362</v>
      </c>
      <c r="M244" s="5" t="s">
        <v>362</v>
      </c>
      <c r="N244" s="35">
        <v>197.9</v>
      </c>
      <c r="O244" s="35">
        <v>183.9</v>
      </c>
      <c r="P244" s="4">
        <f t="shared" si="73"/>
        <v>0.92925720060636685</v>
      </c>
      <c r="Q244" s="11">
        <v>20</v>
      </c>
      <c r="R244" s="35">
        <v>95.7</v>
      </c>
      <c r="S244" s="35">
        <v>97</v>
      </c>
      <c r="T244" s="4">
        <f t="shared" si="74"/>
        <v>1.0135841170323929</v>
      </c>
      <c r="U244" s="11">
        <v>40</v>
      </c>
      <c r="V244" s="35">
        <v>2.2999999999999998</v>
      </c>
      <c r="W244" s="35">
        <v>3.6</v>
      </c>
      <c r="X244" s="4">
        <f t="shared" si="75"/>
        <v>1.2365217391304348</v>
      </c>
      <c r="Y244" s="11">
        <v>10</v>
      </c>
      <c r="Z244" s="35">
        <v>1478</v>
      </c>
      <c r="AA244" s="35">
        <v>471</v>
      </c>
      <c r="AB244" s="4">
        <f t="shared" si="76"/>
        <v>0.31867388362652233</v>
      </c>
      <c r="AC244" s="11">
        <v>5</v>
      </c>
      <c r="AD244" s="11">
        <v>216</v>
      </c>
      <c r="AE244" s="11">
        <v>206</v>
      </c>
      <c r="AF244" s="4">
        <f t="shared" si="77"/>
        <v>0.95370370370370372</v>
      </c>
      <c r="AG244" s="11">
        <v>20</v>
      </c>
      <c r="AH244" s="5" t="s">
        <v>362</v>
      </c>
      <c r="AI244" s="5" t="s">
        <v>362</v>
      </c>
      <c r="AJ244" s="5" t="s">
        <v>362</v>
      </c>
      <c r="AK244" s="5" t="s">
        <v>362</v>
      </c>
      <c r="AL244" s="5" t="s">
        <v>362</v>
      </c>
      <c r="AM244" s="5" t="s">
        <v>362</v>
      </c>
      <c r="AN244" s="5" t="s">
        <v>362</v>
      </c>
      <c r="AO244" s="5" t="s">
        <v>362</v>
      </c>
      <c r="AP244" s="44">
        <f t="shared" si="86"/>
        <v>0.97011757449404301</v>
      </c>
      <c r="AQ244" s="45">
        <v>1098</v>
      </c>
      <c r="AR244" s="35">
        <f t="shared" si="78"/>
        <v>299.45454545454544</v>
      </c>
      <c r="AS244" s="35">
        <f t="shared" si="79"/>
        <v>290.5</v>
      </c>
      <c r="AT244" s="35">
        <f t="shared" si="80"/>
        <v>-8.954545454545439</v>
      </c>
      <c r="AU244" s="35">
        <v>109.6</v>
      </c>
      <c r="AV244" s="35">
        <v>112</v>
      </c>
      <c r="AW244" s="35">
        <f t="shared" si="81"/>
        <v>68.900000000000006</v>
      </c>
      <c r="AX244" s="35"/>
      <c r="AY244" s="35">
        <f t="shared" si="82"/>
        <v>68.900000000000006</v>
      </c>
      <c r="AZ244" s="35">
        <v>0</v>
      </c>
      <c r="BA244" s="35">
        <f t="shared" si="83"/>
        <v>68.900000000000006</v>
      </c>
      <c r="BB244" s="35">
        <f>MIN(BA244,49.9)</f>
        <v>49.9</v>
      </c>
      <c r="BC244" s="35">
        <f t="shared" si="84"/>
        <v>19</v>
      </c>
      <c r="BD244" s="35">
        <v>29.8</v>
      </c>
      <c r="BE244" s="35">
        <f t="shared" si="85"/>
        <v>-10.8</v>
      </c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9"/>
      <c r="BU244" s="9"/>
      <c r="BV244" s="9"/>
      <c r="BW244" s="9"/>
      <c r="BX244" s="9"/>
      <c r="BY244" s="9"/>
      <c r="BZ244" s="9"/>
      <c r="CA244" s="9"/>
      <c r="CB244" s="9"/>
      <c r="CC244" s="9"/>
      <c r="CD244" s="9"/>
      <c r="CE244" s="9"/>
      <c r="CF244" s="9"/>
      <c r="CG244" s="9"/>
      <c r="CH244" s="9"/>
      <c r="CI244" s="9"/>
      <c r="CJ244" s="9"/>
      <c r="CK244" s="9"/>
      <c r="CL244" s="9"/>
      <c r="CM244" s="9"/>
      <c r="CN244" s="9"/>
      <c r="CO244" s="9"/>
      <c r="CP244" s="9"/>
      <c r="CQ244" s="10"/>
      <c r="CR244" s="9"/>
      <c r="CS244" s="9"/>
      <c r="CT244" s="9"/>
      <c r="CU244" s="9"/>
      <c r="CV244" s="9"/>
      <c r="CW244" s="9"/>
      <c r="CX244" s="9"/>
      <c r="CY244" s="9"/>
      <c r="CZ244" s="9"/>
      <c r="DA244" s="9"/>
      <c r="DB244" s="9"/>
      <c r="DC244" s="9"/>
      <c r="DD244" s="9"/>
      <c r="DE244" s="9"/>
      <c r="DF244" s="9"/>
      <c r="DG244" s="9"/>
      <c r="DH244" s="9"/>
      <c r="DI244" s="9"/>
      <c r="DJ244" s="9"/>
      <c r="DK244" s="9"/>
      <c r="DL244" s="9"/>
      <c r="DM244" s="9"/>
      <c r="DN244" s="9"/>
      <c r="DO244" s="9"/>
      <c r="DP244" s="9"/>
      <c r="DQ244" s="9"/>
      <c r="DR244" s="9"/>
      <c r="DS244" s="10"/>
      <c r="DT244" s="9"/>
      <c r="DU244" s="9"/>
      <c r="DV244" s="9"/>
      <c r="DW244" s="9"/>
      <c r="DX244" s="9"/>
      <c r="DY244" s="9"/>
      <c r="DZ244" s="9"/>
      <c r="EA244" s="9"/>
      <c r="EB244" s="9"/>
      <c r="EC244" s="9"/>
      <c r="ED244" s="9"/>
      <c r="EE244" s="9"/>
      <c r="EF244" s="9"/>
      <c r="EG244" s="9"/>
      <c r="EH244" s="9"/>
      <c r="EI244" s="9"/>
      <c r="EJ244" s="9"/>
      <c r="EK244" s="9"/>
      <c r="EL244" s="9"/>
      <c r="EM244" s="9"/>
      <c r="EN244" s="9"/>
      <c r="EO244" s="9"/>
      <c r="EP244" s="9"/>
      <c r="EQ244" s="9"/>
      <c r="ER244" s="9"/>
      <c r="ES244" s="9"/>
      <c r="ET244" s="9"/>
      <c r="EU244" s="10"/>
      <c r="EV244" s="9"/>
      <c r="EW244" s="9"/>
      <c r="EX244" s="9"/>
      <c r="EY244" s="9"/>
      <c r="EZ244" s="9"/>
      <c r="FA244" s="9"/>
      <c r="FB244" s="9"/>
      <c r="FC244" s="9"/>
      <c r="FD244" s="9"/>
      <c r="FE244" s="9"/>
      <c r="FF244" s="9"/>
      <c r="FG244" s="9"/>
      <c r="FH244" s="9"/>
      <c r="FI244" s="9"/>
      <c r="FJ244" s="9"/>
      <c r="FK244" s="9"/>
      <c r="FL244" s="9"/>
      <c r="FM244" s="9"/>
      <c r="FN244" s="9"/>
      <c r="FO244" s="9"/>
      <c r="FP244" s="9"/>
      <c r="FQ244" s="9"/>
      <c r="FR244" s="9"/>
      <c r="FS244" s="9"/>
      <c r="FT244" s="9"/>
      <c r="FU244" s="9"/>
      <c r="FV244" s="9"/>
      <c r="FW244" s="10"/>
      <c r="FX244" s="9"/>
      <c r="FY244" s="9"/>
      <c r="FZ244" s="9"/>
      <c r="GA244" s="9"/>
      <c r="GB244" s="9"/>
      <c r="GC244" s="9"/>
      <c r="GD244" s="9"/>
      <c r="GE244" s="9"/>
      <c r="GF244" s="9"/>
      <c r="GG244" s="9"/>
      <c r="GH244" s="9"/>
      <c r="GI244" s="9"/>
      <c r="GJ244" s="9"/>
      <c r="GK244" s="9"/>
      <c r="GL244" s="9"/>
      <c r="GM244" s="9"/>
      <c r="GN244" s="9"/>
      <c r="GO244" s="9"/>
      <c r="GP244" s="9"/>
      <c r="GQ244" s="9"/>
      <c r="GR244" s="9"/>
      <c r="GS244" s="9"/>
      <c r="GT244" s="9"/>
      <c r="GU244" s="9"/>
      <c r="GV244" s="9"/>
      <c r="GW244" s="9"/>
      <c r="GX244" s="9"/>
      <c r="GY244" s="10"/>
      <c r="GZ244" s="9"/>
      <c r="HA244" s="9"/>
    </row>
    <row r="245" spans="1:209" s="2" customFormat="1" ht="17" customHeight="1">
      <c r="A245" s="14" t="s">
        <v>241</v>
      </c>
      <c r="B245" s="35">
        <v>0</v>
      </c>
      <c r="C245" s="35">
        <v>0</v>
      </c>
      <c r="D245" s="4">
        <f t="shared" si="72"/>
        <v>0</v>
      </c>
      <c r="E245" s="11">
        <v>0</v>
      </c>
      <c r="F245" s="5" t="s">
        <v>362</v>
      </c>
      <c r="G245" s="5" t="s">
        <v>362</v>
      </c>
      <c r="H245" s="5" t="s">
        <v>362</v>
      </c>
      <c r="I245" s="5" t="s">
        <v>362</v>
      </c>
      <c r="J245" s="5" t="s">
        <v>362</v>
      </c>
      <c r="K245" s="5" t="s">
        <v>362</v>
      </c>
      <c r="L245" s="5" t="s">
        <v>362</v>
      </c>
      <c r="M245" s="5" t="s">
        <v>362</v>
      </c>
      <c r="N245" s="35">
        <v>186.9</v>
      </c>
      <c r="O245" s="35">
        <v>257.60000000000002</v>
      </c>
      <c r="P245" s="4">
        <f t="shared" si="73"/>
        <v>1.2178277153558053</v>
      </c>
      <c r="Q245" s="11">
        <v>20</v>
      </c>
      <c r="R245" s="35">
        <v>60.9</v>
      </c>
      <c r="S245" s="35">
        <v>67.7</v>
      </c>
      <c r="T245" s="4">
        <f t="shared" si="74"/>
        <v>1.1116584564860428</v>
      </c>
      <c r="U245" s="11">
        <v>25</v>
      </c>
      <c r="V245" s="35">
        <v>3</v>
      </c>
      <c r="W245" s="35">
        <v>13.1</v>
      </c>
      <c r="X245" s="4">
        <f t="shared" si="75"/>
        <v>1.3</v>
      </c>
      <c r="Y245" s="11">
        <v>25</v>
      </c>
      <c r="Z245" s="35">
        <v>3955</v>
      </c>
      <c r="AA245" s="35">
        <v>3380</v>
      </c>
      <c r="AB245" s="4">
        <f t="shared" si="76"/>
        <v>0.85461441213653599</v>
      </c>
      <c r="AC245" s="11">
        <v>5</v>
      </c>
      <c r="AD245" s="11">
        <v>191</v>
      </c>
      <c r="AE245" s="11">
        <v>209</v>
      </c>
      <c r="AF245" s="4">
        <f t="shared" si="77"/>
        <v>1.0942408376963351</v>
      </c>
      <c r="AG245" s="11">
        <v>20</v>
      </c>
      <c r="AH245" s="5" t="s">
        <v>362</v>
      </c>
      <c r="AI245" s="5" t="s">
        <v>362</v>
      </c>
      <c r="AJ245" s="5" t="s">
        <v>362</v>
      </c>
      <c r="AK245" s="5" t="s">
        <v>362</v>
      </c>
      <c r="AL245" s="5" t="s">
        <v>362</v>
      </c>
      <c r="AM245" s="5" t="s">
        <v>362</v>
      </c>
      <c r="AN245" s="5" t="s">
        <v>362</v>
      </c>
      <c r="AO245" s="5" t="s">
        <v>362</v>
      </c>
      <c r="AP245" s="44">
        <f t="shared" si="86"/>
        <v>1.1663779424618586</v>
      </c>
      <c r="AQ245" s="45">
        <v>1336</v>
      </c>
      <c r="AR245" s="35">
        <f t="shared" si="78"/>
        <v>364.36363636363637</v>
      </c>
      <c r="AS245" s="35">
        <f t="shared" si="79"/>
        <v>425</v>
      </c>
      <c r="AT245" s="35">
        <f t="shared" si="80"/>
        <v>60.636363636363626</v>
      </c>
      <c r="AU245" s="35">
        <v>141.19999999999999</v>
      </c>
      <c r="AV245" s="35">
        <v>147.9</v>
      </c>
      <c r="AW245" s="35">
        <f t="shared" si="81"/>
        <v>135.9</v>
      </c>
      <c r="AX245" s="35"/>
      <c r="AY245" s="35">
        <f t="shared" si="82"/>
        <v>135.9</v>
      </c>
      <c r="AZ245" s="35">
        <v>0</v>
      </c>
      <c r="BA245" s="35">
        <f t="shared" si="83"/>
        <v>135.9</v>
      </c>
      <c r="BB245" s="35">
        <f>MIN(BA245,60.7)</f>
        <v>60.7</v>
      </c>
      <c r="BC245" s="35">
        <f t="shared" si="84"/>
        <v>75.2</v>
      </c>
      <c r="BD245" s="35">
        <v>81.5</v>
      </c>
      <c r="BE245" s="35">
        <f t="shared" si="85"/>
        <v>-6.3</v>
      </c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9"/>
      <c r="BU245" s="9"/>
      <c r="BV245" s="9"/>
      <c r="BW245" s="9"/>
      <c r="BX245" s="9"/>
      <c r="BY245" s="9"/>
      <c r="BZ245" s="9"/>
      <c r="CA245" s="9"/>
      <c r="CB245" s="9"/>
      <c r="CC245" s="9"/>
      <c r="CD245" s="9"/>
      <c r="CE245" s="9"/>
      <c r="CF245" s="9"/>
      <c r="CG245" s="9"/>
      <c r="CH245" s="9"/>
      <c r="CI245" s="9"/>
      <c r="CJ245" s="9"/>
      <c r="CK245" s="9"/>
      <c r="CL245" s="9"/>
      <c r="CM245" s="9"/>
      <c r="CN245" s="9"/>
      <c r="CO245" s="9"/>
      <c r="CP245" s="9"/>
      <c r="CQ245" s="10"/>
      <c r="CR245" s="9"/>
      <c r="CS245" s="9"/>
      <c r="CT245" s="9"/>
      <c r="CU245" s="9"/>
      <c r="CV245" s="9"/>
      <c r="CW245" s="9"/>
      <c r="CX245" s="9"/>
      <c r="CY245" s="9"/>
      <c r="CZ245" s="9"/>
      <c r="DA245" s="9"/>
      <c r="DB245" s="9"/>
      <c r="DC245" s="9"/>
      <c r="DD245" s="9"/>
      <c r="DE245" s="9"/>
      <c r="DF245" s="9"/>
      <c r="DG245" s="9"/>
      <c r="DH245" s="9"/>
      <c r="DI245" s="9"/>
      <c r="DJ245" s="9"/>
      <c r="DK245" s="9"/>
      <c r="DL245" s="9"/>
      <c r="DM245" s="9"/>
      <c r="DN245" s="9"/>
      <c r="DO245" s="9"/>
      <c r="DP245" s="9"/>
      <c r="DQ245" s="9"/>
      <c r="DR245" s="9"/>
      <c r="DS245" s="10"/>
      <c r="DT245" s="9"/>
      <c r="DU245" s="9"/>
      <c r="DV245" s="9"/>
      <c r="DW245" s="9"/>
      <c r="DX245" s="9"/>
      <c r="DY245" s="9"/>
      <c r="DZ245" s="9"/>
      <c r="EA245" s="9"/>
      <c r="EB245" s="9"/>
      <c r="EC245" s="9"/>
      <c r="ED245" s="9"/>
      <c r="EE245" s="9"/>
      <c r="EF245" s="9"/>
      <c r="EG245" s="9"/>
      <c r="EH245" s="9"/>
      <c r="EI245" s="9"/>
      <c r="EJ245" s="9"/>
      <c r="EK245" s="9"/>
      <c r="EL245" s="9"/>
      <c r="EM245" s="9"/>
      <c r="EN245" s="9"/>
      <c r="EO245" s="9"/>
      <c r="EP245" s="9"/>
      <c r="EQ245" s="9"/>
      <c r="ER245" s="9"/>
      <c r="ES245" s="9"/>
      <c r="ET245" s="9"/>
      <c r="EU245" s="10"/>
      <c r="EV245" s="9"/>
      <c r="EW245" s="9"/>
      <c r="EX245" s="9"/>
      <c r="EY245" s="9"/>
      <c r="EZ245" s="9"/>
      <c r="FA245" s="9"/>
      <c r="FB245" s="9"/>
      <c r="FC245" s="9"/>
      <c r="FD245" s="9"/>
      <c r="FE245" s="9"/>
      <c r="FF245" s="9"/>
      <c r="FG245" s="9"/>
      <c r="FH245" s="9"/>
      <c r="FI245" s="9"/>
      <c r="FJ245" s="9"/>
      <c r="FK245" s="9"/>
      <c r="FL245" s="9"/>
      <c r="FM245" s="9"/>
      <c r="FN245" s="9"/>
      <c r="FO245" s="9"/>
      <c r="FP245" s="9"/>
      <c r="FQ245" s="9"/>
      <c r="FR245" s="9"/>
      <c r="FS245" s="9"/>
      <c r="FT245" s="9"/>
      <c r="FU245" s="9"/>
      <c r="FV245" s="9"/>
      <c r="FW245" s="10"/>
      <c r="FX245" s="9"/>
      <c r="FY245" s="9"/>
      <c r="FZ245" s="9"/>
      <c r="GA245" s="9"/>
      <c r="GB245" s="9"/>
      <c r="GC245" s="9"/>
      <c r="GD245" s="9"/>
      <c r="GE245" s="9"/>
      <c r="GF245" s="9"/>
      <c r="GG245" s="9"/>
      <c r="GH245" s="9"/>
      <c r="GI245" s="9"/>
      <c r="GJ245" s="9"/>
      <c r="GK245" s="9"/>
      <c r="GL245" s="9"/>
      <c r="GM245" s="9"/>
      <c r="GN245" s="9"/>
      <c r="GO245" s="9"/>
      <c r="GP245" s="9"/>
      <c r="GQ245" s="9"/>
      <c r="GR245" s="9"/>
      <c r="GS245" s="9"/>
      <c r="GT245" s="9"/>
      <c r="GU245" s="9"/>
      <c r="GV245" s="9"/>
      <c r="GW245" s="9"/>
      <c r="GX245" s="9"/>
      <c r="GY245" s="10"/>
      <c r="GZ245" s="9"/>
      <c r="HA245" s="9"/>
    </row>
    <row r="246" spans="1:209" s="2" customFormat="1" ht="17" customHeight="1">
      <c r="A246" s="14" t="s">
        <v>242</v>
      </c>
      <c r="B246" s="35">
        <v>0</v>
      </c>
      <c r="C246" s="35">
        <v>0</v>
      </c>
      <c r="D246" s="4">
        <f t="shared" si="72"/>
        <v>0</v>
      </c>
      <c r="E246" s="11">
        <v>0</v>
      </c>
      <c r="F246" s="5" t="s">
        <v>362</v>
      </c>
      <c r="G246" s="5" t="s">
        <v>362</v>
      </c>
      <c r="H246" s="5" t="s">
        <v>362</v>
      </c>
      <c r="I246" s="5" t="s">
        <v>362</v>
      </c>
      <c r="J246" s="5" t="s">
        <v>362</v>
      </c>
      <c r="K246" s="5" t="s">
        <v>362</v>
      </c>
      <c r="L246" s="5" t="s">
        <v>362</v>
      </c>
      <c r="M246" s="5" t="s">
        <v>362</v>
      </c>
      <c r="N246" s="35">
        <v>470.1</v>
      </c>
      <c r="O246" s="35">
        <v>391.5</v>
      </c>
      <c r="P246" s="4">
        <f t="shared" si="73"/>
        <v>0.83280153158902359</v>
      </c>
      <c r="Q246" s="11">
        <v>20</v>
      </c>
      <c r="R246" s="35">
        <v>447</v>
      </c>
      <c r="S246" s="35">
        <v>510.5</v>
      </c>
      <c r="T246" s="4">
        <f t="shared" si="74"/>
        <v>1.1420581655480984</v>
      </c>
      <c r="U246" s="11">
        <v>20</v>
      </c>
      <c r="V246" s="35">
        <v>4.5</v>
      </c>
      <c r="W246" s="35">
        <v>14.1</v>
      </c>
      <c r="X246" s="4">
        <f t="shared" si="75"/>
        <v>1.3</v>
      </c>
      <c r="Y246" s="11">
        <v>30</v>
      </c>
      <c r="Z246" s="35">
        <v>4551</v>
      </c>
      <c r="AA246" s="35">
        <v>4051</v>
      </c>
      <c r="AB246" s="4">
        <f t="shared" si="76"/>
        <v>0.89013403647549993</v>
      </c>
      <c r="AC246" s="11">
        <v>5</v>
      </c>
      <c r="AD246" s="11">
        <v>577</v>
      </c>
      <c r="AE246" s="11">
        <v>654</v>
      </c>
      <c r="AF246" s="4">
        <f t="shared" si="77"/>
        <v>1.1334488734835355</v>
      </c>
      <c r="AG246" s="11">
        <v>20</v>
      </c>
      <c r="AH246" s="5" t="s">
        <v>362</v>
      </c>
      <c r="AI246" s="5" t="s">
        <v>362</v>
      </c>
      <c r="AJ246" s="5" t="s">
        <v>362</v>
      </c>
      <c r="AK246" s="5" t="s">
        <v>362</v>
      </c>
      <c r="AL246" s="5" t="s">
        <v>362</v>
      </c>
      <c r="AM246" s="5" t="s">
        <v>362</v>
      </c>
      <c r="AN246" s="5" t="s">
        <v>362</v>
      </c>
      <c r="AO246" s="5" t="s">
        <v>362</v>
      </c>
      <c r="AP246" s="44">
        <f t="shared" si="86"/>
        <v>1.1117562273135857</v>
      </c>
      <c r="AQ246" s="45">
        <v>1194</v>
      </c>
      <c r="AR246" s="35">
        <f t="shared" si="78"/>
        <v>325.63636363636363</v>
      </c>
      <c r="AS246" s="35">
        <f t="shared" si="79"/>
        <v>362</v>
      </c>
      <c r="AT246" s="35">
        <f t="shared" si="80"/>
        <v>36.363636363636374</v>
      </c>
      <c r="AU246" s="35">
        <v>112.1</v>
      </c>
      <c r="AV246" s="35">
        <v>136.30000000000001</v>
      </c>
      <c r="AW246" s="35">
        <f t="shared" si="81"/>
        <v>113.6</v>
      </c>
      <c r="AX246" s="35"/>
      <c r="AY246" s="35">
        <f t="shared" si="82"/>
        <v>113.6</v>
      </c>
      <c r="AZ246" s="35">
        <v>0</v>
      </c>
      <c r="BA246" s="35">
        <f t="shared" si="83"/>
        <v>113.6</v>
      </c>
      <c r="BB246" s="35"/>
      <c r="BC246" s="35">
        <f t="shared" si="84"/>
        <v>113.6</v>
      </c>
      <c r="BD246" s="35">
        <v>117.6</v>
      </c>
      <c r="BE246" s="35">
        <f t="shared" si="85"/>
        <v>-4</v>
      </c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9"/>
      <c r="BU246" s="9"/>
      <c r="BV246" s="9"/>
      <c r="BW246" s="9"/>
      <c r="BX246" s="9"/>
      <c r="BY246" s="9"/>
      <c r="BZ246" s="9"/>
      <c r="CA246" s="9"/>
      <c r="CB246" s="9"/>
      <c r="CC246" s="9"/>
      <c r="CD246" s="9"/>
      <c r="CE246" s="9"/>
      <c r="CF246" s="9"/>
      <c r="CG246" s="9"/>
      <c r="CH246" s="9"/>
      <c r="CI246" s="9"/>
      <c r="CJ246" s="9"/>
      <c r="CK246" s="9"/>
      <c r="CL246" s="9"/>
      <c r="CM246" s="9"/>
      <c r="CN246" s="9"/>
      <c r="CO246" s="9"/>
      <c r="CP246" s="9"/>
      <c r="CQ246" s="10"/>
      <c r="CR246" s="9"/>
      <c r="CS246" s="9"/>
      <c r="CT246" s="9"/>
      <c r="CU246" s="9"/>
      <c r="CV246" s="9"/>
      <c r="CW246" s="9"/>
      <c r="CX246" s="9"/>
      <c r="CY246" s="9"/>
      <c r="CZ246" s="9"/>
      <c r="DA246" s="9"/>
      <c r="DB246" s="9"/>
      <c r="DC246" s="9"/>
      <c r="DD246" s="9"/>
      <c r="DE246" s="9"/>
      <c r="DF246" s="9"/>
      <c r="DG246" s="9"/>
      <c r="DH246" s="9"/>
      <c r="DI246" s="9"/>
      <c r="DJ246" s="9"/>
      <c r="DK246" s="9"/>
      <c r="DL246" s="9"/>
      <c r="DM246" s="9"/>
      <c r="DN246" s="9"/>
      <c r="DO246" s="9"/>
      <c r="DP246" s="9"/>
      <c r="DQ246" s="9"/>
      <c r="DR246" s="9"/>
      <c r="DS246" s="10"/>
      <c r="DT246" s="9"/>
      <c r="DU246" s="9"/>
      <c r="DV246" s="9"/>
      <c r="DW246" s="9"/>
      <c r="DX246" s="9"/>
      <c r="DY246" s="9"/>
      <c r="DZ246" s="9"/>
      <c r="EA246" s="9"/>
      <c r="EB246" s="9"/>
      <c r="EC246" s="9"/>
      <c r="ED246" s="9"/>
      <c r="EE246" s="9"/>
      <c r="EF246" s="9"/>
      <c r="EG246" s="9"/>
      <c r="EH246" s="9"/>
      <c r="EI246" s="9"/>
      <c r="EJ246" s="9"/>
      <c r="EK246" s="9"/>
      <c r="EL246" s="9"/>
      <c r="EM246" s="9"/>
      <c r="EN246" s="9"/>
      <c r="EO246" s="9"/>
      <c r="EP246" s="9"/>
      <c r="EQ246" s="9"/>
      <c r="ER246" s="9"/>
      <c r="ES246" s="9"/>
      <c r="ET246" s="9"/>
      <c r="EU246" s="10"/>
      <c r="EV246" s="9"/>
      <c r="EW246" s="9"/>
      <c r="EX246" s="9"/>
      <c r="EY246" s="9"/>
      <c r="EZ246" s="9"/>
      <c r="FA246" s="9"/>
      <c r="FB246" s="9"/>
      <c r="FC246" s="9"/>
      <c r="FD246" s="9"/>
      <c r="FE246" s="9"/>
      <c r="FF246" s="9"/>
      <c r="FG246" s="9"/>
      <c r="FH246" s="9"/>
      <c r="FI246" s="9"/>
      <c r="FJ246" s="9"/>
      <c r="FK246" s="9"/>
      <c r="FL246" s="9"/>
      <c r="FM246" s="9"/>
      <c r="FN246" s="9"/>
      <c r="FO246" s="9"/>
      <c r="FP246" s="9"/>
      <c r="FQ246" s="9"/>
      <c r="FR246" s="9"/>
      <c r="FS246" s="9"/>
      <c r="FT246" s="9"/>
      <c r="FU246" s="9"/>
      <c r="FV246" s="9"/>
      <c r="FW246" s="10"/>
      <c r="FX246" s="9"/>
      <c r="FY246" s="9"/>
      <c r="FZ246" s="9"/>
      <c r="GA246" s="9"/>
      <c r="GB246" s="9"/>
      <c r="GC246" s="9"/>
      <c r="GD246" s="9"/>
      <c r="GE246" s="9"/>
      <c r="GF246" s="9"/>
      <c r="GG246" s="9"/>
      <c r="GH246" s="9"/>
      <c r="GI246" s="9"/>
      <c r="GJ246" s="9"/>
      <c r="GK246" s="9"/>
      <c r="GL246" s="9"/>
      <c r="GM246" s="9"/>
      <c r="GN246" s="9"/>
      <c r="GO246" s="9"/>
      <c r="GP246" s="9"/>
      <c r="GQ246" s="9"/>
      <c r="GR246" s="9"/>
      <c r="GS246" s="9"/>
      <c r="GT246" s="9"/>
      <c r="GU246" s="9"/>
      <c r="GV246" s="9"/>
      <c r="GW246" s="9"/>
      <c r="GX246" s="9"/>
      <c r="GY246" s="10"/>
      <c r="GZ246" s="9"/>
      <c r="HA246" s="9"/>
    </row>
    <row r="247" spans="1:209" s="2" customFormat="1" ht="17" customHeight="1">
      <c r="A247" s="14" t="s">
        <v>243</v>
      </c>
      <c r="B247" s="35">
        <v>27936</v>
      </c>
      <c r="C247" s="35">
        <v>30313</v>
      </c>
      <c r="D247" s="4">
        <f t="shared" si="72"/>
        <v>1.0850873424971363</v>
      </c>
      <c r="E247" s="11">
        <v>10</v>
      </c>
      <c r="F247" s="5" t="s">
        <v>362</v>
      </c>
      <c r="G247" s="5" t="s">
        <v>362</v>
      </c>
      <c r="H247" s="5" t="s">
        <v>362</v>
      </c>
      <c r="I247" s="5" t="s">
        <v>362</v>
      </c>
      <c r="J247" s="5" t="s">
        <v>362</v>
      </c>
      <c r="K247" s="5" t="s">
        <v>362</v>
      </c>
      <c r="L247" s="5" t="s">
        <v>362</v>
      </c>
      <c r="M247" s="5" t="s">
        <v>362</v>
      </c>
      <c r="N247" s="35">
        <v>602</v>
      </c>
      <c r="O247" s="35">
        <v>711.8</v>
      </c>
      <c r="P247" s="4">
        <f t="shared" si="73"/>
        <v>1.182392026578073</v>
      </c>
      <c r="Q247" s="11">
        <v>20</v>
      </c>
      <c r="R247" s="35">
        <v>41.6</v>
      </c>
      <c r="S247" s="35">
        <v>41.4</v>
      </c>
      <c r="T247" s="4">
        <f t="shared" si="74"/>
        <v>0.9951923076923076</v>
      </c>
      <c r="U247" s="11">
        <v>25</v>
      </c>
      <c r="V247" s="35">
        <v>1.3</v>
      </c>
      <c r="W247" s="35">
        <v>1.4</v>
      </c>
      <c r="X247" s="4">
        <f t="shared" si="75"/>
        <v>1.0769230769230769</v>
      </c>
      <c r="Y247" s="11">
        <v>25</v>
      </c>
      <c r="Z247" s="35">
        <v>19108</v>
      </c>
      <c r="AA247" s="35">
        <v>30730</v>
      </c>
      <c r="AB247" s="4">
        <f t="shared" si="76"/>
        <v>1.2408226920661503</v>
      </c>
      <c r="AC247" s="11">
        <v>5</v>
      </c>
      <c r="AD247" s="11">
        <v>135</v>
      </c>
      <c r="AE247" s="11">
        <v>143</v>
      </c>
      <c r="AF247" s="4">
        <f t="shared" si="77"/>
        <v>1.0592592592592593</v>
      </c>
      <c r="AG247" s="11">
        <v>20</v>
      </c>
      <c r="AH247" s="5" t="s">
        <v>362</v>
      </c>
      <c r="AI247" s="5" t="s">
        <v>362</v>
      </c>
      <c r="AJ247" s="5" t="s">
        <v>362</v>
      </c>
      <c r="AK247" s="5" t="s">
        <v>362</v>
      </c>
      <c r="AL247" s="5" t="s">
        <v>362</v>
      </c>
      <c r="AM247" s="5" t="s">
        <v>362</v>
      </c>
      <c r="AN247" s="5" t="s">
        <v>362</v>
      </c>
      <c r="AO247" s="5" t="s">
        <v>362</v>
      </c>
      <c r="AP247" s="44">
        <f t="shared" si="86"/>
        <v>1.0827704496898416</v>
      </c>
      <c r="AQ247" s="45">
        <v>1325</v>
      </c>
      <c r="AR247" s="35">
        <f t="shared" si="78"/>
        <v>361.36363636363637</v>
      </c>
      <c r="AS247" s="35">
        <f t="shared" si="79"/>
        <v>391.3</v>
      </c>
      <c r="AT247" s="35">
        <f t="shared" si="80"/>
        <v>29.936363636363637</v>
      </c>
      <c r="AU247" s="35">
        <v>136.19999999999999</v>
      </c>
      <c r="AV247" s="35">
        <v>112.8</v>
      </c>
      <c r="AW247" s="35">
        <f t="shared" si="81"/>
        <v>142.30000000000001</v>
      </c>
      <c r="AX247" s="35"/>
      <c r="AY247" s="35">
        <f t="shared" si="82"/>
        <v>142.30000000000001</v>
      </c>
      <c r="AZ247" s="35">
        <v>0</v>
      </c>
      <c r="BA247" s="35">
        <f t="shared" si="83"/>
        <v>142.30000000000001</v>
      </c>
      <c r="BB247" s="35"/>
      <c r="BC247" s="35">
        <f t="shared" si="84"/>
        <v>142.30000000000001</v>
      </c>
      <c r="BD247" s="35">
        <v>139.4</v>
      </c>
      <c r="BE247" s="35">
        <f t="shared" si="85"/>
        <v>2.9</v>
      </c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9"/>
      <c r="BU247" s="9"/>
      <c r="BV247" s="9"/>
      <c r="BW247" s="9"/>
      <c r="BX247" s="9"/>
      <c r="BY247" s="9"/>
      <c r="BZ247" s="9"/>
      <c r="CA247" s="9"/>
      <c r="CB247" s="9"/>
      <c r="CC247" s="9"/>
      <c r="CD247" s="9"/>
      <c r="CE247" s="9"/>
      <c r="CF247" s="9"/>
      <c r="CG247" s="9"/>
      <c r="CH247" s="9"/>
      <c r="CI247" s="9"/>
      <c r="CJ247" s="9"/>
      <c r="CK247" s="9"/>
      <c r="CL247" s="9"/>
      <c r="CM247" s="9"/>
      <c r="CN247" s="9"/>
      <c r="CO247" s="9"/>
      <c r="CP247" s="9"/>
      <c r="CQ247" s="10"/>
      <c r="CR247" s="9"/>
      <c r="CS247" s="9"/>
      <c r="CT247" s="9"/>
      <c r="CU247" s="9"/>
      <c r="CV247" s="9"/>
      <c r="CW247" s="9"/>
      <c r="CX247" s="9"/>
      <c r="CY247" s="9"/>
      <c r="CZ247" s="9"/>
      <c r="DA247" s="9"/>
      <c r="DB247" s="9"/>
      <c r="DC247" s="9"/>
      <c r="DD247" s="9"/>
      <c r="DE247" s="9"/>
      <c r="DF247" s="9"/>
      <c r="DG247" s="9"/>
      <c r="DH247" s="9"/>
      <c r="DI247" s="9"/>
      <c r="DJ247" s="9"/>
      <c r="DK247" s="9"/>
      <c r="DL247" s="9"/>
      <c r="DM247" s="9"/>
      <c r="DN247" s="9"/>
      <c r="DO247" s="9"/>
      <c r="DP247" s="9"/>
      <c r="DQ247" s="9"/>
      <c r="DR247" s="9"/>
      <c r="DS247" s="10"/>
      <c r="DT247" s="9"/>
      <c r="DU247" s="9"/>
      <c r="DV247" s="9"/>
      <c r="DW247" s="9"/>
      <c r="DX247" s="9"/>
      <c r="DY247" s="9"/>
      <c r="DZ247" s="9"/>
      <c r="EA247" s="9"/>
      <c r="EB247" s="9"/>
      <c r="EC247" s="9"/>
      <c r="ED247" s="9"/>
      <c r="EE247" s="9"/>
      <c r="EF247" s="9"/>
      <c r="EG247" s="9"/>
      <c r="EH247" s="9"/>
      <c r="EI247" s="9"/>
      <c r="EJ247" s="9"/>
      <c r="EK247" s="9"/>
      <c r="EL247" s="9"/>
      <c r="EM247" s="9"/>
      <c r="EN247" s="9"/>
      <c r="EO247" s="9"/>
      <c r="EP247" s="9"/>
      <c r="EQ247" s="9"/>
      <c r="ER247" s="9"/>
      <c r="ES247" s="9"/>
      <c r="ET247" s="9"/>
      <c r="EU247" s="10"/>
      <c r="EV247" s="9"/>
      <c r="EW247" s="9"/>
      <c r="EX247" s="9"/>
      <c r="EY247" s="9"/>
      <c r="EZ247" s="9"/>
      <c r="FA247" s="9"/>
      <c r="FB247" s="9"/>
      <c r="FC247" s="9"/>
      <c r="FD247" s="9"/>
      <c r="FE247" s="9"/>
      <c r="FF247" s="9"/>
      <c r="FG247" s="9"/>
      <c r="FH247" s="9"/>
      <c r="FI247" s="9"/>
      <c r="FJ247" s="9"/>
      <c r="FK247" s="9"/>
      <c r="FL247" s="9"/>
      <c r="FM247" s="9"/>
      <c r="FN247" s="9"/>
      <c r="FO247" s="9"/>
      <c r="FP247" s="9"/>
      <c r="FQ247" s="9"/>
      <c r="FR247" s="9"/>
      <c r="FS247" s="9"/>
      <c r="FT247" s="9"/>
      <c r="FU247" s="9"/>
      <c r="FV247" s="9"/>
      <c r="FW247" s="10"/>
      <c r="FX247" s="9"/>
      <c r="FY247" s="9"/>
      <c r="FZ247" s="9"/>
      <c r="GA247" s="9"/>
      <c r="GB247" s="9"/>
      <c r="GC247" s="9"/>
      <c r="GD247" s="9"/>
      <c r="GE247" s="9"/>
      <c r="GF247" s="9"/>
      <c r="GG247" s="9"/>
      <c r="GH247" s="9"/>
      <c r="GI247" s="9"/>
      <c r="GJ247" s="9"/>
      <c r="GK247" s="9"/>
      <c r="GL247" s="9"/>
      <c r="GM247" s="9"/>
      <c r="GN247" s="9"/>
      <c r="GO247" s="9"/>
      <c r="GP247" s="9"/>
      <c r="GQ247" s="9"/>
      <c r="GR247" s="9"/>
      <c r="GS247" s="9"/>
      <c r="GT247" s="9"/>
      <c r="GU247" s="9"/>
      <c r="GV247" s="9"/>
      <c r="GW247" s="9"/>
      <c r="GX247" s="9"/>
      <c r="GY247" s="10"/>
      <c r="GZ247" s="9"/>
      <c r="HA247" s="9"/>
    </row>
    <row r="248" spans="1:209" s="2" customFormat="1" ht="17" customHeight="1">
      <c r="A248" s="14" t="s">
        <v>244</v>
      </c>
      <c r="B248" s="35">
        <v>0</v>
      </c>
      <c r="C248" s="35">
        <v>0</v>
      </c>
      <c r="D248" s="4">
        <f t="shared" si="72"/>
        <v>0</v>
      </c>
      <c r="E248" s="11">
        <v>0</v>
      </c>
      <c r="F248" s="5" t="s">
        <v>362</v>
      </c>
      <c r="G248" s="5" t="s">
        <v>362</v>
      </c>
      <c r="H248" s="5" t="s">
        <v>362</v>
      </c>
      <c r="I248" s="5" t="s">
        <v>362</v>
      </c>
      <c r="J248" s="5" t="s">
        <v>362</v>
      </c>
      <c r="K248" s="5" t="s">
        <v>362</v>
      </c>
      <c r="L248" s="5" t="s">
        <v>362</v>
      </c>
      <c r="M248" s="5" t="s">
        <v>362</v>
      </c>
      <c r="N248" s="35">
        <v>282.7</v>
      </c>
      <c r="O248" s="35">
        <v>140.5</v>
      </c>
      <c r="P248" s="4">
        <f t="shared" si="73"/>
        <v>0.49699327909444641</v>
      </c>
      <c r="Q248" s="11">
        <v>20</v>
      </c>
      <c r="R248" s="35">
        <v>30.9</v>
      </c>
      <c r="S248" s="35">
        <v>31.9</v>
      </c>
      <c r="T248" s="4">
        <f t="shared" si="74"/>
        <v>1.0323624595469256</v>
      </c>
      <c r="U248" s="11">
        <v>20</v>
      </c>
      <c r="V248" s="35">
        <v>3.5</v>
      </c>
      <c r="W248" s="35">
        <v>4</v>
      </c>
      <c r="X248" s="4">
        <f t="shared" si="75"/>
        <v>1.1428571428571428</v>
      </c>
      <c r="Y248" s="11">
        <v>30</v>
      </c>
      <c r="Z248" s="35">
        <v>4465</v>
      </c>
      <c r="AA248" s="35">
        <v>5682</v>
      </c>
      <c r="AB248" s="4">
        <f t="shared" si="76"/>
        <v>1.2072564389697649</v>
      </c>
      <c r="AC248" s="11">
        <v>5</v>
      </c>
      <c r="AD248" s="11">
        <v>133</v>
      </c>
      <c r="AE248" s="11">
        <v>133</v>
      </c>
      <c r="AF248" s="4">
        <f t="shared" si="77"/>
        <v>1</v>
      </c>
      <c r="AG248" s="11">
        <v>20</v>
      </c>
      <c r="AH248" s="5" t="s">
        <v>362</v>
      </c>
      <c r="AI248" s="5" t="s">
        <v>362</v>
      </c>
      <c r="AJ248" s="5" t="s">
        <v>362</v>
      </c>
      <c r="AK248" s="5" t="s">
        <v>362</v>
      </c>
      <c r="AL248" s="5" t="s">
        <v>362</v>
      </c>
      <c r="AM248" s="5" t="s">
        <v>362</v>
      </c>
      <c r="AN248" s="5" t="s">
        <v>362</v>
      </c>
      <c r="AO248" s="5" t="s">
        <v>362</v>
      </c>
      <c r="AP248" s="44">
        <f t="shared" si="86"/>
        <v>0.95693801319358474</v>
      </c>
      <c r="AQ248" s="45">
        <v>966</v>
      </c>
      <c r="AR248" s="35">
        <f t="shared" si="78"/>
        <v>263.45454545454544</v>
      </c>
      <c r="AS248" s="35">
        <f t="shared" si="79"/>
        <v>252.1</v>
      </c>
      <c r="AT248" s="35">
        <f t="shared" si="80"/>
        <v>-11.354545454545445</v>
      </c>
      <c r="AU248" s="35">
        <v>80.8</v>
      </c>
      <c r="AV248" s="35">
        <v>87.6</v>
      </c>
      <c r="AW248" s="35">
        <f t="shared" si="81"/>
        <v>83.7</v>
      </c>
      <c r="AX248" s="35"/>
      <c r="AY248" s="35">
        <f t="shared" si="82"/>
        <v>83.7</v>
      </c>
      <c r="AZ248" s="35">
        <v>0</v>
      </c>
      <c r="BA248" s="35">
        <f t="shared" si="83"/>
        <v>83.7</v>
      </c>
      <c r="BB248" s="35">
        <f>MIN(BA248,43.9)</f>
        <v>43.9</v>
      </c>
      <c r="BC248" s="35">
        <f t="shared" si="84"/>
        <v>39.799999999999997</v>
      </c>
      <c r="BD248" s="35">
        <v>36.1</v>
      </c>
      <c r="BE248" s="35">
        <f t="shared" si="85"/>
        <v>3.7</v>
      </c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9"/>
      <c r="BU248" s="9"/>
      <c r="BV248" s="9"/>
      <c r="BW248" s="9"/>
      <c r="BX248" s="9"/>
      <c r="BY248" s="9"/>
      <c r="BZ248" s="9"/>
      <c r="CA248" s="9"/>
      <c r="CB248" s="9"/>
      <c r="CC248" s="9"/>
      <c r="CD248" s="9"/>
      <c r="CE248" s="9"/>
      <c r="CF248" s="9"/>
      <c r="CG248" s="9"/>
      <c r="CH248" s="9"/>
      <c r="CI248" s="9"/>
      <c r="CJ248" s="9"/>
      <c r="CK248" s="9"/>
      <c r="CL248" s="9"/>
      <c r="CM248" s="9"/>
      <c r="CN248" s="9"/>
      <c r="CO248" s="9"/>
      <c r="CP248" s="9"/>
      <c r="CQ248" s="10"/>
      <c r="CR248" s="9"/>
      <c r="CS248" s="9"/>
      <c r="CT248" s="9"/>
      <c r="CU248" s="9"/>
      <c r="CV248" s="9"/>
      <c r="CW248" s="9"/>
      <c r="CX248" s="9"/>
      <c r="CY248" s="9"/>
      <c r="CZ248" s="9"/>
      <c r="DA248" s="9"/>
      <c r="DB248" s="9"/>
      <c r="DC248" s="9"/>
      <c r="DD248" s="9"/>
      <c r="DE248" s="9"/>
      <c r="DF248" s="9"/>
      <c r="DG248" s="9"/>
      <c r="DH248" s="9"/>
      <c r="DI248" s="9"/>
      <c r="DJ248" s="9"/>
      <c r="DK248" s="9"/>
      <c r="DL248" s="9"/>
      <c r="DM248" s="9"/>
      <c r="DN248" s="9"/>
      <c r="DO248" s="9"/>
      <c r="DP248" s="9"/>
      <c r="DQ248" s="9"/>
      <c r="DR248" s="9"/>
      <c r="DS248" s="10"/>
      <c r="DT248" s="9"/>
      <c r="DU248" s="9"/>
      <c r="DV248" s="9"/>
      <c r="DW248" s="9"/>
      <c r="DX248" s="9"/>
      <c r="DY248" s="9"/>
      <c r="DZ248" s="9"/>
      <c r="EA248" s="9"/>
      <c r="EB248" s="9"/>
      <c r="EC248" s="9"/>
      <c r="ED248" s="9"/>
      <c r="EE248" s="9"/>
      <c r="EF248" s="9"/>
      <c r="EG248" s="9"/>
      <c r="EH248" s="9"/>
      <c r="EI248" s="9"/>
      <c r="EJ248" s="9"/>
      <c r="EK248" s="9"/>
      <c r="EL248" s="9"/>
      <c r="EM248" s="9"/>
      <c r="EN248" s="9"/>
      <c r="EO248" s="9"/>
      <c r="EP248" s="9"/>
      <c r="EQ248" s="9"/>
      <c r="ER248" s="9"/>
      <c r="ES248" s="9"/>
      <c r="ET248" s="9"/>
      <c r="EU248" s="10"/>
      <c r="EV248" s="9"/>
      <c r="EW248" s="9"/>
      <c r="EX248" s="9"/>
      <c r="EY248" s="9"/>
      <c r="EZ248" s="9"/>
      <c r="FA248" s="9"/>
      <c r="FB248" s="9"/>
      <c r="FC248" s="9"/>
      <c r="FD248" s="9"/>
      <c r="FE248" s="9"/>
      <c r="FF248" s="9"/>
      <c r="FG248" s="9"/>
      <c r="FH248" s="9"/>
      <c r="FI248" s="9"/>
      <c r="FJ248" s="9"/>
      <c r="FK248" s="9"/>
      <c r="FL248" s="9"/>
      <c r="FM248" s="9"/>
      <c r="FN248" s="9"/>
      <c r="FO248" s="9"/>
      <c r="FP248" s="9"/>
      <c r="FQ248" s="9"/>
      <c r="FR248" s="9"/>
      <c r="FS248" s="9"/>
      <c r="FT248" s="9"/>
      <c r="FU248" s="9"/>
      <c r="FV248" s="9"/>
      <c r="FW248" s="10"/>
      <c r="FX248" s="9"/>
      <c r="FY248" s="9"/>
      <c r="FZ248" s="9"/>
      <c r="GA248" s="9"/>
      <c r="GB248" s="9"/>
      <c r="GC248" s="9"/>
      <c r="GD248" s="9"/>
      <c r="GE248" s="9"/>
      <c r="GF248" s="9"/>
      <c r="GG248" s="9"/>
      <c r="GH248" s="9"/>
      <c r="GI248" s="9"/>
      <c r="GJ248" s="9"/>
      <c r="GK248" s="9"/>
      <c r="GL248" s="9"/>
      <c r="GM248" s="9"/>
      <c r="GN248" s="9"/>
      <c r="GO248" s="9"/>
      <c r="GP248" s="9"/>
      <c r="GQ248" s="9"/>
      <c r="GR248" s="9"/>
      <c r="GS248" s="9"/>
      <c r="GT248" s="9"/>
      <c r="GU248" s="9"/>
      <c r="GV248" s="9"/>
      <c r="GW248" s="9"/>
      <c r="GX248" s="9"/>
      <c r="GY248" s="10"/>
      <c r="GZ248" s="9"/>
      <c r="HA248" s="9"/>
    </row>
    <row r="249" spans="1:209" s="2" customFormat="1" ht="17" customHeight="1">
      <c r="A249" s="14" t="s">
        <v>245</v>
      </c>
      <c r="B249" s="35">
        <v>4481</v>
      </c>
      <c r="C249" s="35">
        <v>4392</v>
      </c>
      <c r="D249" s="4">
        <f t="shared" si="72"/>
        <v>0.98013836197277393</v>
      </c>
      <c r="E249" s="11">
        <v>10</v>
      </c>
      <c r="F249" s="5" t="s">
        <v>362</v>
      </c>
      <c r="G249" s="5" t="s">
        <v>362</v>
      </c>
      <c r="H249" s="5" t="s">
        <v>362</v>
      </c>
      <c r="I249" s="5" t="s">
        <v>362</v>
      </c>
      <c r="J249" s="5" t="s">
        <v>362</v>
      </c>
      <c r="K249" s="5" t="s">
        <v>362</v>
      </c>
      <c r="L249" s="5" t="s">
        <v>362</v>
      </c>
      <c r="M249" s="5" t="s">
        <v>362</v>
      </c>
      <c r="N249" s="35">
        <v>1408.5</v>
      </c>
      <c r="O249" s="35">
        <v>1762.7</v>
      </c>
      <c r="P249" s="4">
        <f t="shared" si="73"/>
        <v>1.2051473198438054</v>
      </c>
      <c r="Q249" s="11">
        <v>20</v>
      </c>
      <c r="R249" s="35">
        <v>1399.7</v>
      </c>
      <c r="S249" s="35">
        <v>1298.9000000000001</v>
      </c>
      <c r="T249" s="4">
        <f t="shared" si="74"/>
        <v>0.92798456812174046</v>
      </c>
      <c r="U249" s="11">
        <v>10</v>
      </c>
      <c r="V249" s="35">
        <v>928.6</v>
      </c>
      <c r="W249" s="35">
        <v>1014.3</v>
      </c>
      <c r="X249" s="4">
        <f t="shared" si="75"/>
        <v>1.0922894680163686</v>
      </c>
      <c r="Y249" s="11">
        <v>40</v>
      </c>
      <c r="Z249" s="35">
        <v>24014</v>
      </c>
      <c r="AA249" s="35">
        <v>10993</v>
      </c>
      <c r="AB249" s="4">
        <f t="shared" si="76"/>
        <v>0.45777463146497877</v>
      </c>
      <c r="AC249" s="11">
        <v>5</v>
      </c>
      <c r="AD249" s="11">
        <v>1054</v>
      </c>
      <c r="AE249" s="11">
        <v>1054</v>
      </c>
      <c r="AF249" s="4">
        <f t="shared" si="77"/>
        <v>1</v>
      </c>
      <c r="AG249" s="11">
        <v>20</v>
      </c>
      <c r="AH249" s="5" t="s">
        <v>362</v>
      </c>
      <c r="AI249" s="5" t="s">
        <v>362</v>
      </c>
      <c r="AJ249" s="5" t="s">
        <v>362</v>
      </c>
      <c r="AK249" s="5" t="s">
        <v>362</v>
      </c>
      <c r="AL249" s="5" t="s">
        <v>362</v>
      </c>
      <c r="AM249" s="5" t="s">
        <v>362</v>
      </c>
      <c r="AN249" s="5" t="s">
        <v>362</v>
      </c>
      <c r="AO249" s="5" t="s">
        <v>362</v>
      </c>
      <c r="AP249" s="44">
        <f t="shared" si="86"/>
        <v>1.0396631197695323</v>
      </c>
      <c r="AQ249" s="45">
        <v>1522</v>
      </c>
      <c r="AR249" s="35">
        <f t="shared" si="78"/>
        <v>415.09090909090912</v>
      </c>
      <c r="AS249" s="35">
        <f t="shared" si="79"/>
        <v>431.6</v>
      </c>
      <c r="AT249" s="35">
        <f t="shared" si="80"/>
        <v>16.509090909090901</v>
      </c>
      <c r="AU249" s="35">
        <v>138.80000000000001</v>
      </c>
      <c r="AV249" s="35">
        <v>140.5</v>
      </c>
      <c r="AW249" s="35">
        <f t="shared" si="81"/>
        <v>152.30000000000001</v>
      </c>
      <c r="AX249" s="35"/>
      <c r="AY249" s="35">
        <f t="shared" si="82"/>
        <v>152.30000000000001</v>
      </c>
      <c r="AZ249" s="35">
        <v>0</v>
      </c>
      <c r="BA249" s="35">
        <f t="shared" si="83"/>
        <v>152.30000000000001</v>
      </c>
      <c r="BB249" s="35">
        <f>MIN(BA249,30.6)</f>
        <v>30.6</v>
      </c>
      <c r="BC249" s="35">
        <f t="shared" si="84"/>
        <v>121.7</v>
      </c>
      <c r="BD249" s="35">
        <v>133.69999999999999</v>
      </c>
      <c r="BE249" s="35">
        <f t="shared" si="85"/>
        <v>-12</v>
      </c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9"/>
      <c r="BU249" s="9"/>
      <c r="BV249" s="9"/>
      <c r="BW249" s="9"/>
      <c r="BX249" s="9"/>
      <c r="BY249" s="9"/>
      <c r="BZ249" s="9"/>
      <c r="CA249" s="9"/>
      <c r="CB249" s="9"/>
      <c r="CC249" s="9"/>
      <c r="CD249" s="9"/>
      <c r="CE249" s="9"/>
      <c r="CF249" s="9"/>
      <c r="CG249" s="9"/>
      <c r="CH249" s="9"/>
      <c r="CI249" s="9"/>
      <c r="CJ249" s="9"/>
      <c r="CK249" s="9"/>
      <c r="CL249" s="9"/>
      <c r="CM249" s="9"/>
      <c r="CN249" s="9"/>
      <c r="CO249" s="9"/>
      <c r="CP249" s="9"/>
      <c r="CQ249" s="10"/>
      <c r="CR249" s="9"/>
      <c r="CS249" s="9"/>
      <c r="CT249" s="9"/>
      <c r="CU249" s="9"/>
      <c r="CV249" s="9"/>
      <c r="CW249" s="9"/>
      <c r="CX249" s="9"/>
      <c r="CY249" s="9"/>
      <c r="CZ249" s="9"/>
      <c r="DA249" s="9"/>
      <c r="DB249" s="9"/>
      <c r="DC249" s="9"/>
      <c r="DD249" s="9"/>
      <c r="DE249" s="9"/>
      <c r="DF249" s="9"/>
      <c r="DG249" s="9"/>
      <c r="DH249" s="9"/>
      <c r="DI249" s="9"/>
      <c r="DJ249" s="9"/>
      <c r="DK249" s="9"/>
      <c r="DL249" s="9"/>
      <c r="DM249" s="9"/>
      <c r="DN249" s="9"/>
      <c r="DO249" s="9"/>
      <c r="DP249" s="9"/>
      <c r="DQ249" s="9"/>
      <c r="DR249" s="9"/>
      <c r="DS249" s="10"/>
      <c r="DT249" s="9"/>
      <c r="DU249" s="9"/>
      <c r="DV249" s="9"/>
      <c r="DW249" s="9"/>
      <c r="DX249" s="9"/>
      <c r="DY249" s="9"/>
      <c r="DZ249" s="9"/>
      <c r="EA249" s="9"/>
      <c r="EB249" s="9"/>
      <c r="EC249" s="9"/>
      <c r="ED249" s="9"/>
      <c r="EE249" s="9"/>
      <c r="EF249" s="9"/>
      <c r="EG249" s="9"/>
      <c r="EH249" s="9"/>
      <c r="EI249" s="9"/>
      <c r="EJ249" s="9"/>
      <c r="EK249" s="9"/>
      <c r="EL249" s="9"/>
      <c r="EM249" s="9"/>
      <c r="EN249" s="9"/>
      <c r="EO249" s="9"/>
      <c r="EP249" s="9"/>
      <c r="EQ249" s="9"/>
      <c r="ER249" s="9"/>
      <c r="ES249" s="9"/>
      <c r="ET249" s="9"/>
      <c r="EU249" s="10"/>
      <c r="EV249" s="9"/>
      <c r="EW249" s="9"/>
      <c r="EX249" s="9"/>
      <c r="EY249" s="9"/>
      <c r="EZ249" s="9"/>
      <c r="FA249" s="9"/>
      <c r="FB249" s="9"/>
      <c r="FC249" s="9"/>
      <c r="FD249" s="9"/>
      <c r="FE249" s="9"/>
      <c r="FF249" s="9"/>
      <c r="FG249" s="9"/>
      <c r="FH249" s="9"/>
      <c r="FI249" s="9"/>
      <c r="FJ249" s="9"/>
      <c r="FK249" s="9"/>
      <c r="FL249" s="9"/>
      <c r="FM249" s="9"/>
      <c r="FN249" s="9"/>
      <c r="FO249" s="9"/>
      <c r="FP249" s="9"/>
      <c r="FQ249" s="9"/>
      <c r="FR249" s="9"/>
      <c r="FS249" s="9"/>
      <c r="FT249" s="9"/>
      <c r="FU249" s="9"/>
      <c r="FV249" s="9"/>
      <c r="FW249" s="10"/>
      <c r="FX249" s="9"/>
      <c r="FY249" s="9"/>
      <c r="FZ249" s="9"/>
      <c r="GA249" s="9"/>
      <c r="GB249" s="9"/>
      <c r="GC249" s="9"/>
      <c r="GD249" s="9"/>
      <c r="GE249" s="9"/>
      <c r="GF249" s="9"/>
      <c r="GG249" s="9"/>
      <c r="GH249" s="9"/>
      <c r="GI249" s="9"/>
      <c r="GJ249" s="9"/>
      <c r="GK249" s="9"/>
      <c r="GL249" s="9"/>
      <c r="GM249" s="9"/>
      <c r="GN249" s="9"/>
      <c r="GO249" s="9"/>
      <c r="GP249" s="9"/>
      <c r="GQ249" s="9"/>
      <c r="GR249" s="9"/>
      <c r="GS249" s="9"/>
      <c r="GT249" s="9"/>
      <c r="GU249" s="9"/>
      <c r="GV249" s="9"/>
      <c r="GW249" s="9"/>
      <c r="GX249" s="9"/>
      <c r="GY249" s="10"/>
      <c r="GZ249" s="9"/>
      <c r="HA249" s="9"/>
    </row>
    <row r="250" spans="1:209" s="2" customFormat="1" ht="17" customHeight="1">
      <c r="A250" s="14" t="s">
        <v>246</v>
      </c>
      <c r="B250" s="35">
        <v>0</v>
      </c>
      <c r="C250" s="35">
        <v>0</v>
      </c>
      <c r="D250" s="4">
        <f t="shared" si="72"/>
        <v>0</v>
      </c>
      <c r="E250" s="11">
        <v>0</v>
      </c>
      <c r="F250" s="5" t="s">
        <v>362</v>
      </c>
      <c r="G250" s="5" t="s">
        <v>362</v>
      </c>
      <c r="H250" s="5" t="s">
        <v>362</v>
      </c>
      <c r="I250" s="5" t="s">
        <v>362</v>
      </c>
      <c r="J250" s="5" t="s">
        <v>362</v>
      </c>
      <c r="K250" s="5" t="s">
        <v>362</v>
      </c>
      <c r="L250" s="5" t="s">
        <v>362</v>
      </c>
      <c r="M250" s="5" t="s">
        <v>362</v>
      </c>
      <c r="N250" s="35">
        <v>395.7</v>
      </c>
      <c r="O250" s="35">
        <v>596.1</v>
      </c>
      <c r="P250" s="4">
        <f t="shared" si="73"/>
        <v>1.2306444275966641</v>
      </c>
      <c r="Q250" s="11">
        <v>20</v>
      </c>
      <c r="R250" s="35">
        <v>264.60000000000002</v>
      </c>
      <c r="S250" s="35">
        <v>276.7</v>
      </c>
      <c r="T250" s="4">
        <f t="shared" si="74"/>
        <v>1.0457294028722599</v>
      </c>
      <c r="U250" s="11">
        <v>30</v>
      </c>
      <c r="V250" s="35">
        <v>14.6</v>
      </c>
      <c r="W250" s="35">
        <v>14.9</v>
      </c>
      <c r="X250" s="4">
        <f t="shared" si="75"/>
        <v>1.0205479452054795</v>
      </c>
      <c r="Y250" s="11">
        <v>20</v>
      </c>
      <c r="Z250" s="35">
        <v>11950</v>
      </c>
      <c r="AA250" s="35">
        <v>13657</v>
      </c>
      <c r="AB250" s="4">
        <f t="shared" si="76"/>
        <v>1.1428451882845188</v>
      </c>
      <c r="AC250" s="11">
        <v>5</v>
      </c>
      <c r="AD250" s="11">
        <v>554</v>
      </c>
      <c r="AE250" s="11">
        <v>555</v>
      </c>
      <c r="AF250" s="4">
        <f t="shared" si="77"/>
        <v>1.0018050541516246</v>
      </c>
      <c r="AG250" s="11">
        <v>20</v>
      </c>
      <c r="AH250" s="5" t="s">
        <v>362</v>
      </c>
      <c r="AI250" s="5" t="s">
        <v>362</v>
      </c>
      <c r="AJ250" s="5" t="s">
        <v>362</v>
      </c>
      <c r="AK250" s="5" t="s">
        <v>362</v>
      </c>
      <c r="AL250" s="5" t="s">
        <v>362</v>
      </c>
      <c r="AM250" s="5" t="s">
        <v>362</v>
      </c>
      <c r="AN250" s="5" t="s">
        <v>362</v>
      </c>
      <c r="AO250" s="5" t="s">
        <v>362</v>
      </c>
      <c r="AP250" s="44">
        <f t="shared" si="86"/>
        <v>1.075221648070166</v>
      </c>
      <c r="AQ250" s="45">
        <v>1776</v>
      </c>
      <c r="AR250" s="35">
        <f t="shared" si="78"/>
        <v>484.36363636363637</v>
      </c>
      <c r="AS250" s="35">
        <f t="shared" si="79"/>
        <v>520.79999999999995</v>
      </c>
      <c r="AT250" s="35">
        <f t="shared" si="80"/>
        <v>36.436363636363581</v>
      </c>
      <c r="AU250" s="35">
        <v>177.2</v>
      </c>
      <c r="AV250" s="35">
        <v>165</v>
      </c>
      <c r="AW250" s="35">
        <f t="shared" si="81"/>
        <v>178.6</v>
      </c>
      <c r="AX250" s="35"/>
      <c r="AY250" s="35">
        <f t="shared" si="82"/>
        <v>178.6</v>
      </c>
      <c r="AZ250" s="35">
        <v>0</v>
      </c>
      <c r="BA250" s="35">
        <f t="shared" si="83"/>
        <v>178.6</v>
      </c>
      <c r="BB250" s="35">
        <f>MIN(BA250,51.3)</f>
        <v>51.3</v>
      </c>
      <c r="BC250" s="35">
        <f t="shared" si="84"/>
        <v>127.3</v>
      </c>
      <c r="BD250" s="35">
        <v>125.5</v>
      </c>
      <c r="BE250" s="35">
        <f t="shared" si="85"/>
        <v>1.8</v>
      </c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9"/>
      <c r="BU250" s="9"/>
      <c r="BV250" s="9"/>
      <c r="BW250" s="9"/>
      <c r="BX250" s="9"/>
      <c r="BY250" s="9"/>
      <c r="BZ250" s="9"/>
      <c r="CA250" s="9"/>
      <c r="CB250" s="9"/>
      <c r="CC250" s="9"/>
      <c r="CD250" s="9"/>
      <c r="CE250" s="9"/>
      <c r="CF250" s="9"/>
      <c r="CG250" s="9"/>
      <c r="CH250" s="9"/>
      <c r="CI250" s="9"/>
      <c r="CJ250" s="9"/>
      <c r="CK250" s="9"/>
      <c r="CL250" s="9"/>
      <c r="CM250" s="9"/>
      <c r="CN250" s="9"/>
      <c r="CO250" s="9"/>
      <c r="CP250" s="9"/>
      <c r="CQ250" s="10"/>
      <c r="CR250" s="9"/>
      <c r="CS250" s="9"/>
      <c r="CT250" s="9"/>
      <c r="CU250" s="9"/>
      <c r="CV250" s="9"/>
      <c r="CW250" s="9"/>
      <c r="CX250" s="9"/>
      <c r="CY250" s="9"/>
      <c r="CZ250" s="9"/>
      <c r="DA250" s="9"/>
      <c r="DB250" s="9"/>
      <c r="DC250" s="9"/>
      <c r="DD250" s="9"/>
      <c r="DE250" s="9"/>
      <c r="DF250" s="9"/>
      <c r="DG250" s="9"/>
      <c r="DH250" s="9"/>
      <c r="DI250" s="9"/>
      <c r="DJ250" s="9"/>
      <c r="DK250" s="9"/>
      <c r="DL250" s="9"/>
      <c r="DM250" s="9"/>
      <c r="DN250" s="9"/>
      <c r="DO250" s="9"/>
      <c r="DP250" s="9"/>
      <c r="DQ250" s="9"/>
      <c r="DR250" s="9"/>
      <c r="DS250" s="10"/>
      <c r="DT250" s="9"/>
      <c r="DU250" s="9"/>
      <c r="DV250" s="9"/>
      <c r="DW250" s="9"/>
      <c r="DX250" s="9"/>
      <c r="DY250" s="9"/>
      <c r="DZ250" s="9"/>
      <c r="EA250" s="9"/>
      <c r="EB250" s="9"/>
      <c r="EC250" s="9"/>
      <c r="ED250" s="9"/>
      <c r="EE250" s="9"/>
      <c r="EF250" s="9"/>
      <c r="EG250" s="9"/>
      <c r="EH250" s="9"/>
      <c r="EI250" s="9"/>
      <c r="EJ250" s="9"/>
      <c r="EK250" s="9"/>
      <c r="EL250" s="9"/>
      <c r="EM250" s="9"/>
      <c r="EN250" s="9"/>
      <c r="EO250" s="9"/>
      <c r="EP250" s="9"/>
      <c r="EQ250" s="9"/>
      <c r="ER250" s="9"/>
      <c r="ES250" s="9"/>
      <c r="ET250" s="9"/>
      <c r="EU250" s="10"/>
      <c r="EV250" s="9"/>
      <c r="EW250" s="9"/>
      <c r="EX250" s="9"/>
      <c r="EY250" s="9"/>
      <c r="EZ250" s="9"/>
      <c r="FA250" s="9"/>
      <c r="FB250" s="9"/>
      <c r="FC250" s="9"/>
      <c r="FD250" s="9"/>
      <c r="FE250" s="9"/>
      <c r="FF250" s="9"/>
      <c r="FG250" s="9"/>
      <c r="FH250" s="9"/>
      <c r="FI250" s="9"/>
      <c r="FJ250" s="9"/>
      <c r="FK250" s="9"/>
      <c r="FL250" s="9"/>
      <c r="FM250" s="9"/>
      <c r="FN250" s="9"/>
      <c r="FO250" s="9"/>
      <c r="FP250" s="9"/>
      <c r="FQ250" s="9"/>
      <c r="FR250" s="9"/>
      <c r="FS250" s="9"/>
      <c r="FT250" s="9"/>
      <c r="FU250" s="9"/>
      <c r="FV250" s="9"/>
      <c r="FW250" s="10"/>
      <c r="FX250" s="9"/>
      <c r="FY250" s="9"/>
      <c r="FZ250" s="9"/>
      <c r="GA250" s="9"/>
      <c r="GB250" s="9"/>
      <c r="GC250" s="9"/>
      <c r="GD250" s="9"/>
      <c r="GE250" s="9"/>
      <c r="GF250" s="9"/>
      <c r="GG250" s="9"/>
      <c r="GH250" s="9"/>
      <c r="GI250" s="9"/>
      <c r="GJ250" s="9"/>
      <c r="GK250" s="9"/>
      <c r="GL250" s="9"/>
      <c r="GM250" s="9"/>
      <c r="GN250" s="9"/>
      <c r="GO250" s="9"/>
      <c r="GP250" s="9"/>
      <c r="GQ250" s="9"/>
      <c r="GR250" s="9"/>
      <c r="GS250" s="9"/>
      <c r="GT250" s="9"/>
      <c r="GU250" s="9"/>
      <c r="GV250" s="9"/>
      <c r="GW250" s="9"/>
      <c r="GX250" s="9"/>
      <c r="GY250" s="10"/>
      <c r="GZ250" s="9"/>
      <c r="HA250" s="9"/>
    </row>
    <row r="251" spans="1:209" s="2" customFormat="1" ht="17" customHeight="1">
      <c r="A251" s="14" t="s">
        <v>247</v>
      </c>
      <c r="B251" s="35">
        <v>0</v>
      </c>
      <c r="C251" s="35">
        <v>0</v>
      </c>
      <c r="D251" s="4">
        <f t="shared" si="72"/>
        <v>0</v>
      </c>
      <c r="E251" s="11">
        <v>0</v>
      </c>
      <c r="F251" s="5" t="s">
        <v>362</v>
      </c>
      <c r="G251" s="5" t="s">
        <v>362</v>
      </c>
      <c r="H251" s="5" t="s">
        <v>362</v>
      </c>
      <c r="I251" s="5" t="s">
        <v>362</v>
      </c>
      <c r="J251" s="5" t="s">
        <v>362</v>
      </c>
      <c r="K251" s="5" t="s">
        <v>362</v>
      </c>
      <c r="L251" s="5" t="s">
        <v>362</v>
      </c>
      <c r="M251" s="5" t="s">
        <v>362</v>
      </c>
      <c r="N251" s="35">
        <v>298.89999999999998</v>
      </c>
      <c r="O251" s="35">
        <v>473</v>
      </c>
      <c r="P251" s="4">
        <f t="shared" si="73"/>
        <v>1.2382469053195049</v>
      </c>
      <c r="Q251" s="11">
        <v>20</v>
      </c>
      <c r="R251" s="35">
        <v>40.200000000000003</v>
      </c>
      <c r="S251" s="35">
        <v>52.1</v>
      </c>
      <c r="T251" s="4">
        <f t="shared" si="74"/>
        <v>1.2096019900497512</v>
      </c>
      <c r="U251" s="11">
        <v>20</v>
      </c>
      <c r="V251" s="35">
        <v>1.5</v>
      </c>
      <c r="W251" s="35">
        <v>2.4</v>
      </c>
      <c r="X251" s="4">
        <f t="shared" si="75"/>
        <v>1.24</v>
      </c>
      <c r="Y251" s="11">
        <v>30</v>
      </c>
      <c r="Z251" s="35">
        <v>640</v>
      </c>
      <c r="AA251" s="35">
        <v>1287</v>
      </c>
      <c r="AB251" s="4">
        <f t="shared" si="76"/>
        <v>1.2810937499999999</v>
      </c>
      <c r="AC251" s="11">
        <v>5</v>
      </c>
      <c r="AD251" s="11">
        <v>138</v>
      </c>
      <c r="AE251" s="11">
        <v>150</v>
      </c>
      <c r="AF251" s="4">
        <f t="shared" si="77"/>
        <v>1.0869565217391304</v>
      </c>
      <c r="AG251" s="11">
        <v>20</v>
      </c>
      <c r="AH251" s="5" t="s">
        <v>362</v>
      </c>
      <c r="AI251" s="5" t="s">
        <v>362</v>
      </c>
      <c r="AJ251" s="5" t="s">
        <v>362</v>
      </c>
      <c r="AK251" s="5" t="s">
        <v>362</v>
      </c>
      <c r="AL251" s="5" t="s">
        <v>362</v>
      </c>
      <c r="AM251" s="5" t="s">
        <v>362</v>
      </c>
      <c r="AN251" s="5" t="s">
        <v>362</v>
      </c>
      <c r="AO251" s="5" t="s">
        <v>362</v>
      </c>
      <c r="AP251" s="44">
        <f t="shared" si="86"/>
        <v>1.2031744957070287</v>
      </c>
      <c r="AQ251" s="45">
        <v>869</v>
      </c>
      <c r="AR251" s="35">
        <f t="shared" si="78"/>
        <v>237</v>
      </c>
      <c r="AS251" s="35">
        <f t="shared" si="79"/>
        <v>285.2</v>
      </c>
      <c r="AT251" s="35">
        <f t="shared" si="80"/>
        <v>48.199999999999989</v>
      </c>
      <c r="AU251" s="35">
        <v>73.7</v>
      </c>
      <c r="AV251" s="35">
        <v>76.099999999999994</v>
      </c>
      <c r="AW251" s="35">
        <f t="shared" si="81"/>
        <v>135.4</v>
      </c>
      <c r="AX251" s="35"/>
      <c r="AY251" s="35">
        <f t="shared" si="82"/>
        <v>135.4</v>
      </c>
      <c r="AZ251" s="35">
        <v>0</v>
      </c>
      <c r="BA251" s="35">
        <f t="shared" si="83"/>
        <v>135.4</v>
      </c>
      <c r="BB251" s="35">
        <f>MIN(BA251,39.5)</f>
        <v>39.5</v>
      </c>
      <c r="BC251" s="35">
        <f t="shared" si="84"/>
        <v>95.9</v>
      </c>
      <c r="BD251" s="35">
        <v>94.8</v>
      </c>
      <c r="BE251" s="35">
        <f t="shared" si="85"/>
        <v>1.1000000000000001</v>
      </c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9"/>
      <c r="BU251" s="9"/>
      <c r="BV251" s="9"/>
      <c r="BW251" s="9"/>
      <c r="BX251" s="9"/>
      <c r="BY251" s="9"/>
      <c r="BZ251" s="9"/>
      <c r="CA251" s="9"/>
      <c r="CB251" s="9"/>
      <c r="CC251" s="9"/>
      <c r="CD251" s="9"/>
      <c r="CE251" s="9"/>
      <c r="CF251" s="9"/>
      <c r="CG251" s="9"/>
      <c r="CH251" s="9"/>
      <c r="CI251" s="9"/>
      <c r="CJ251" s="9"/>
      <c r="CK251" s="9"/>
      <c r="CL251" s="9"/>
      <c r="CM251" s="9"/>
      <c r="CN251" s="9"/>
      <c r="CO251" s="9"/>
      <c r="CP251" s="9"/>
      <c r="CQ251" s="10"/>
      <c r="CR251" s="9"/>
      <c r="CS251" s="9"/>
      <c r="CT251" s="9"/>
      <c r="CU251" s="9"/>
      <c r="CV251" s="9"/>
      <c r="CW251" s="9"/>
      <c r="CX251" s="9"/>
      <c r="CY251" s="9"/>
      <c r="CZ251" s="9"/>
      <c r="DA251" s="9"/>
      <c r="DB251" s="9"/>
      <c r="DC251" s="9"/>
      <c r="DD251" s="9"/>
      <c r="DE251" s="9"/>
      <c r="DF251" s="9"/>
      <c r="DG251" s="9"/>
      <c r="DH251" s="9"/>
      <c r="DI251" s="9"/>
      <c r="DJ251" s="9"/>
      <c r="DK251" s="9"/>
      <c r="DL251" s="9"/>
      <c r="DM251" s="9"/>
      <c r="DN251" s="9"/>
      <c r="DO251" s="9"/>
      <c r="DP251" s="9"/>
      <c r="DQ251" s="9"/>
      <c r="DR251" s="9"/>
      <c r="DS251" s="10"/>
      <c r="DT251" s="9"/>
      <c r="DU251" s="9"/>
      <c r="DV251" s="9"/>
      <c r="DW251" s="9"/>
      <c r="DX251" s="9"/>
      <c r="DY251" s="9"/>
      <c r="DZ251" s="9"/>
      <c r="EA251" s="9"/>
      <c r="EB251" s="9"/>
      <c r="EC251" s="9"/>
      <c r="ED251" s="9"/>
      <c r="EE251" s="9"/>
      <c r="EF251" s="9"/>
      <c r="EG251" s="9"/>
      <c r="EH251" s="9"/>
      <c r="EI251" s="9"/>
      <c r="EJ251" s="9"/>
      <c r="EK251" s="9"/>
      <c r="EL251" s="9"/>
      <c r="EM251" s="9"/>
      <c r="EN251" s="9"/>
      <c r="EO251" s="9"/>
      <c r="EP251" s="9"/>
      <c r="EQ251" s="9"/>
      <c r="ER251" s="9"/>
      <c r="ES251" s="9"/>
      <c r="ET251" s="9"/>
      <c r="EU251" s="10"/>
      <c r="EV251" s="9"/>
      <c r="EW251" s="9"/>
      <c r="EX251" s="9"/>
      <c r="EY251" s="9"/>
      <c r="EZ251" s="9"/>
      <c r="FA251" s="9"/>
      <c r="FB251" s="9"/>
      <c r="FC251" s="9"/>
      <c r="FD251" s="9"/>
      <c r="FE251" s="9"/>
      <c r="FF251" s="9"/>
      <c r="FG251" s="9"/>
      <c r="FH251" s="9"/>
      <c r="FI251" s="9"/>
      <c r="FJ251" s="9"/>
      <c r="FK251" s="9"/>
      <c r="FL251" s="9"/>
      <c r="FM251" s="9"/>
      <c r="FN251" s="9"/>
      <c r="FO251" s="9"/>
      <c r="FP251" s="9"/>
      <c r="FQ251" s="9"/>
      <c r="FR251" s="9"/>
      <c r="FS251" s="9"/>
      <c r="FT251" s="9"/>
      <c r="FU251" s="9"/>
      <c r="FV251" s="9"/>
      <c r="FW251" s="10"/>
      <c r="FX251" s="9"/>
      <c r="FY251" s="9"/>
      <c r="FZ251" s="9"/>
      <c r="GA251" s="9"/>
      <c r="GB251" s="9"/>
      <c r="GC251" s="9"/>
      <c r="GD251" s="9"/>
      <c r="GE251" s="9"/>
      <c r="GF251" s="9"/>
      <c r="GG251" s="9"/>
      <c r="GH251" s="9"/>
      <c r="GI251" s="9"/>
      <c r="GJ251" s="9"/>
      <c r="GK251" s="9"/>
      <c r="GL251" s="9"/>
      <c r="GM251" s="9"/>
      <c r="GN251" s="9"/>
      <c r="GO251" s="9"/>
      <c r="GP251" s="9"/>
      <c r="GQ251" s="9"/>
      <c r="GR251" s="9"/>
      <c r="GS251" s="9"/>
      <c r="GT251" s="9"/>
      <c r="GU251" s="9"/>
      <c r="GV251" s="9"/>
      <c r="GW251" s="9"/>
      <c r="GX251" s="9"/>
      <c r="GY251" s="10"/>
      <c r="GZ251" s="9"/>
      <c r="HA251" s="9"/>
    </row>
    <row r="252" spans="1:209" s="2" customFormat="1" ht="17" customHeight="1">
      <c r="A252" s="14" t="s">
        <v>248</v>
      </c>
      <c r="B252" s="35">
        <v>0</v>
      </c>
      <c r="C252" s="35">
        <v>0</v>
      </c>
      <c r="D252" s="4">
        <f t="shared" si="72"/>
        <v>0</v>
      </c>
      <c r="E252" s="11">
        <v>0</v>
      </c>
      <c r="F252" s="5" t="s">
        <v>362</v>
      </c>
      <c r="G252" s="5" t="s">
        <v>362</v>
      </c>
      <c r="H252" s="5" t="s">
        <v>362</v>
      </c>
      <c r="I252" s="5" t="s">
        <v>362</v>
      </c>
      <c r="J252" s="5" t="s">
        <v>362</v>
      </c>
      <c r="K252" s="5" t="s">
        <v>362</v>
      </c>
      <c r="L252" s="5" t="s">
        <v>362</v>
      </c>
      <c r="M252" s="5" t="s">
        <v>362</v>
      </c>
      <c r="N252" s="35">
        <v>298.7</v>
      </c>
      <c r="O252" s="35">
        <v>398.7</v>
      </c>
      <c r="P252" s="4">
        <f t="shared" si="73"/>
        <v>1.2134784064278541</v>
      </c>
      <c r="Q252" s="11">
        <v>20</v>
      </c>
      <c r="R252" s="35">
        <v>10.3</v>
      </c>
      <c r="S252" s="35">
        <v>10.9</v>
      </c>
      <c r="T252" s="4">
        <f t="shared" si="74"/>
        <v>1.058252427184466</v>
      </c>
      <c r="U252" s="11">
        <v>25</v>
      </c>
      <c r="V252" s="35">
        <v>0.9</v>
      </c>
      <c r="W252" s="35">
        <v>4.5</v>
      </c>
      <c r="X252" s="4">
        <f t="shared" si="75"/>
        <v>1.3</v>
      </c>
      <c r="Y252" s="11">
        <v>25</v>
      </c>
      <c r="Z252" s="35">
        <v>4715</v>
      </c>
      <c r="AA252" s="35">
        <v>3507</v>
      </c>
      <c r="AB252" s="4">
        <f t="shared" si="76"/>
        <v>0.74379639448568402</v>
      </c>
      <c r="AC252" s="11">
        <v>5</v>
      </c>
      <c r="AD252" s="11">
        <v>35</v>
      </c>
      <c r="AE252" s="11">
        <v>35</v>
      </c>
      <c r="AF252" s="4">
        <f t="shared" si="77"/>
        <v>1</v>
      </c>
      <c r="AG252" s="11">
        <v>20</v>
      </c>
      <c r="AH252" s="5" t="s">
        <v>362</v>
      </c>
      <c r="AI252" s="5" t="s">
        <v>362</v>
      </c>
      <c r="AJ252" s="5" t="s">
        <v>362</v>
      </c>
      <c r="AK252" s="5" t="s">
        <v>362</v>
      </c>
      <c r="AL252" s="5" t="s">
        <v>362</v>
      </c>
      <c r="AM252" s="5" t="s">
        <v>362</v>
      </c>
      <c r="AN252" s="5" t="s">
        <v>362</v>
      </c>
      <c r="AO252" s="5" t="s">
        <v>362</v>
      </c>
      <c r="AP252" s="44">
        <f t="shared" si="86"/>
        <v>1.1257353766378648</v>
      </c>
      <c r="AQ252" s="45">
        <v>863</v>
      </c>
      <c r="AR252" s="35">
        <f t="shared" si="78"/>
        <v>235.36363636363637</v>
      </c>
      <c r="AS252" s="35">
        <f t="shared" si="79"/>
        <v>265</v>
      </c>
      <c r="AT252" s="35">
        <f t="shared" si="80"/>
        <v>29.636363636363626</v>
      </c>
      <c r="AU252" s="35">
        <v>93.4</v>
      </c>
      <c r="AV252" s="35">
        <v>94.9</v>
      </c>
      <c r="AW252" s="35">
        <f t="shared" si="81"/>
        <v>76.7</v>
      </c>
      <c r="AX252" s="35"/>
      <c r="AY252" s="35">
        <f t="shared" si="82"/>
        <v>76.7</v>
      </c>
      <c r="AZ252" s="35">
        <v>0</v>
      </c>
      <c r="BA252" s="35">
        <f t="shared" si="83"/>
        <v>76.7</v>
      </c>
      <c r="BB252" s="35">
        <f>MIN(BA252,31.1)</f>
        <v>31.1</v>
      </c>
      <c r="BC252" s="35">
        <f t="shared" si="84"/>
        <v>45.6</v>
      </c>
      <c r="BD252" s="35">
        <v>50.6</v>
      </c>
      <c r="BE252" s="35">
        <f t="shared" si="85"/>
        <v>-5</v>
      </c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9"/>
      <c r="BU252" s="9"/>
      <c r="BV252" s="9"/>
      <c r="BW252" s="9"/>
      <c r="BX252" s="9"/>
      <c r="BY252" s="9"/>
      <c r="BZ252" s="9"/>
      <c r="CA252" s="9"/>
      <c r="CB252" s="9"/>
      <c r="CC252" s="9"/>
      <c r="CD252" s="9"/>
      <c r="CE252" s="9"/>
      <c r="CF252" s="9"/>
      <c r="CG252" s="9"/>
      <c r="CH252" s="9"/>
      <c r="CI252" s="9"/>
      <c r="CJ252" s="9"/>
      <c r="CK252" s="9"/>
      <c r="CL252" s="9"/>
      <c r="CM252" s="9"/>
      <c r="CN252" s="9"/>
      <c r="CO252" s="9"/>
      <c r="CP252" s="9"/>
      <c r="CQ252" s="10"/>
      <c r="CR252" s="9"/>
      <c r="CS252" s="9"/>
      <c r="CT252" s="9"/>
      <c r="CU252" s="9"/>
      <c r="CV252" s="9"/>
      <c r="CW252" s="9"/>
      <c r="CX252" s="9"/>
      <c r="CY252" s="9"/>
      <c r="CZ252" s="9"/>
      <c r="DA252" s="9"/>
      <c r="DB252" s="9"/>
      <c r="DC252" s="9"/>
      <c r="DD252" s="9"/>
      <c r="DE252" s="9"/>
      <c r="DF252" s="9"/>
      <c r="DG252" s="9"/>
      <c r="DH252" s="9"/>
      <c r="DI252" s="9"/>
      <c r="DJ252" s="9"/>
      <c r="DK252" s="9"/>
      <c r="DL252" s="9"/>
      <c r="DM252" s="9"/>
      <c r="DN252" s="9"/>
      <c r="DO252" s="9"/>
      <c r="DP252" s="9"/>
      <c r="DQ252" s="9"/>
      <c r="DR252" s="9"/>
      <c r="DS252" s="10"/>
      <c r="DT252" s="9"/>
      <c r="DU252" s="9"/>
      <c r="DV252" s="9"/>
      <c r="DW252" s="9"/>
      <c r="DX252" s="9"/>
      <c r="DY252" s="9"/>
      <c r="DZ252" s="9"/>
      <c r="EA252" s="9"/>
      <c r="EB252" s="9"/>
      <c r="EC252" s="9"/>
      <c r="ED252" s="9"/>
      <c r="EE252" s="9"/>
      <c r="EF252" s="9"/>
      <c r="EG252" s="9"/>
      <c r="EH252" s="9"/>
      <c r="EI252" s="9"/>
      <c r="EJ252" s="9"/>
      <c r="EK252" s="9"/>
      <c r="EL252" s="9"/>
      <c r="EM252" s="9"/>
      <c r="EN252" s="9"/>
      <c r="EO252" s="9"/>
      <c r="EP252" s="9"/>
      <c r="EQ252" s="9"/>
      <c r="ER252" s="9"/>
      <c r="ES252" s="9"/>
      <c r="ET252" s="9"/>
      <c r="EU252" s="10"/>
      <c r="EV252" s="9"/>
      <c r="EW252" s="9"/>
      <c r="EX252" s="9"/>
      <c r="EY252" s="9"/>
      <c r="EZ252" s="9"/>
      <c r="FA252" s="9"/>
      <c r="FB252" s="9"/>
      <c r="FC252" s="9"/>
      <c r="FD252" s="9"/>
      <c r="FE252" s="9"/>
      <c r="FF252" s="9"/>
      <c r="FG252" s="9"/>
      <c r="FH252" s="9"/>
      <c r="FI252" s="9"/>
      <c r="FJ252" s="9"/>
      <c r="FK252" s="9"/>
      <c r="FL252" s="9"/>
      <c r="FM252" s="9"/>
      <c r="FN252" s="9"/>
      <c r="FO252" s="9"/>
      <c r="FP252" s="9"/>
      <c r="FQ252" s="9"/>
      <c r="FR252" s="9"/>
      <c r="FS252" s="9"/>
      <c r="FT252" s="9"/>
      <c r="FU252" s="9"/>
      <c r="FV252" s="9"/>
      <c r="FW252" s="10"/>
      <c r="FX252" s="9"/>
      <c r="FY252" s="9"/>
      <c r="FZ252" s="9"/>
      <c r="GA252" s="9"/>
      <c r="GB252" s="9"/>
      <c r="GC252" s="9"/>
      <c r="GD252" s="9"/>
      <c r="GE252" s="9"/>
      <c r="GF252" s="9"/>
      <c r="GG252" s="9"/>
      <c r="GH252" s="9"/>
      <c r="GI252" s="9"/>
      <c r="GJ252" s="9"/>
      <c r="GK252" s="9"/>
      <c r="GL252" s="9"/>
      <c r="GM252" s="9"/>
      <c r="GN252" s="9"/>
      <c r="GO252" s="9"/>
      <c r="GP252" s="9"/>
      <c r="GQ252" s="9"/>
      <c r="GR252" s="9"/>
      <c r="GS252" s="9"/>
      <c r="GT252" s="9"/>
      <c r="GU252" s="9"/>
      <c r="GV252" s="9"/>
      <c r="GW252" s="9"/>
      <c r="GX252" s="9"/>
      <c r="GY252" s="10"/>
      <c r="GZ252" s="9"/>
      <c r="HA252" s="9"/>
    </row>
    <row r="253" spans="1:209" s="2" customFormat="1" ht="17" customHeight="1">
      <c r="A253" s="14" t="s">
        <v>249</v>
      </c>
      <c r="B253" s="35">
        <v>4115</v>
      </c>
      <c r="C253" s="35">
        <v>3719.7</v>
      </c>
      <c r="D253" s="4">
        <f t="shared" si="72"/>
        <v>0.90393681652490887</v>
      </c>
      <c r="E253" s="11">
        <v>10</v>
      </c>
      <c r="F253" s="5" t="s">
        <v>362</v>
      </c>
      <c r="G253" s="5" t="s">
        <v>362</v>
      </c>
      <c r="H253" s="5" t="s">
        <v>362</v>
      </c>
      <c r="I253" s="5" t="s">
        <v>362</v>
      </c>
      <c r="J253" s="5" t="s">
        <v>362</v>
      </c>
      <c r="K253" s="5" t="s">
        <v>362</v>
      </c>
      <c r="L253" s="5" t="s">
        <v>362</v>
      </c>
      <c r="M253" s="5" t="s">
        <v>362</v>
      </c>
      <c r="N253" s="35">
        <v>527.20000000000005</v>
      </c>
      <c r="O253" s="35">
        <v>500.3</v>
      </c>
      <c r="P253" s="4">
        <f t="shared" si="73"/>
        <v>0.94897572078907433</v>
      </c>
      <c r="Q253" s="11">
        <v>20</v>
      </c>
      <c r="R253" s="35">
        <v>203.5</v>
      </c>
      <c r="S253" s="35">
        <v>279.8</v>
      </c>
      <c r="T253" s="4">
        <f t="shared" si="74"/>
        <v>1.2174938574938574</v>
      </c>
      <c r="U253" s="11">
        <v>30</v>
      </c>
      <c r="V253" s="35">
        <v>3.6</v>
      </c>
      <c r="W253" s="35">
        <v>8.4</v>
      </c>
      <c r="X253" s="4">
        <f t="shared" si="75"/>
        <v>1.3</v>
      </c>
      <c r="Y253" s="11">
        <v>20</v>
      </c>
      <c r="Z253" s="35">
        <v>3106</v>
      </c>
      <c r="AA253" s="35">
        <v>3117</v>
      </c>
      <c r="AB253" s="4">
        <f t="shared" si="76"/>
        <v>1.0035415325177077</v>
      </c>
      <c r="AC253" s="11">
        <v>5</v>
      </c>
      <c r="AD253" s="11">
        <v>312</v>
      </c>
      <c r="AE253" s="11">
        <v>332</v>
      </c>
      <c r="AF253" s="4">
        <f t="shared" si="77"/>
        <v>1.0641025641025641</v>
      </c>
      <c r="AG253" s="11">
        <v>20</v>
      </c>
      <c r="AH253" s="5" t="s">
        <v>362</v>
      </c>
      <c r="AI253" s="5" t="s">
        <v>362</v>
      </c>
      <c r="AJ253" s="5" t="s">
        <v>362</v>
      </c>
      <c r="AK253" s="5" t="s">
        <v>362</v>
      </c>
      <c r="AL253" s="5" t="s">
        <v>362</v>
      </c>
      <c r="AM253" s="5" t="s">
        <v>362</v>
      </c>
      <c r="AN253" s="5" t="s">
        <v>362</v>
      </c>
      <c r="AO253" s="5" t="s">
        <v>362</v>
      </c>
      <c r="AP253" s="44">
        <f t="shared" si="86"/>
        <v>1.1127948309570108</v>
      </c>
      <c r="AQ253" s="45">
        <v>1147</v>
      </c>
      <c r="AR253" s="35">
        <f t="shared" si="78"/>
        <v>312.81818181818181</v>
      </c>
      <c r="AS253" s="35">
        <f t="shared" si="79"/>
        <v>348.1</v>
      </c>
      <c r="AT253" s="35">
        <f t="shared" si="80"/>
        <v>35.28181818181821</v>
      </c>
      <c r="AU253" s="35">
        <v>101</v>
      </c>
      <c r="AV253" s="35">
        <v>124.3</v>
      </c>
      <c r="AW253" s="35">
        <f t="shared" si="81"/>
        <v>122.8</v>
      </c>
      <c r="AX253" s="35"/>
      <c r="AY253" s="35">
        <f t="shared" si="82"/>
        <v>122.8</v>
      </c>
      <c r="AZ253" s="35">
        <v>0</v>
      </c>
      <c r="BA253" s="35">
        <f t="shared" si="83"/>
        <v>122.8</v>
      </c>
      <c r="BB253" s="35"/>
      <c r="BC253" s="35">
        <f t="shared" si="84"/>
        <v>122.8</v>
      </c>
      <c r="BD253" s="35">
        <v>124.5</v>
      </c>
      <c r="BE253" s="35">
        <f t="shared" si="85"/>
        <v>-1.7</v>
      </c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9"/>
      <c r="BU253" s="9"/>
      <c r="BV253" s="9"/>
      <c r="BW253" s="9"/>
      <c r="BX253" s="9"/>
      <c r="BY253" s="9"/>
      <c r="BZ253" s="9"/>
      <c r="CA253" s="9"/>
      <c r="CB253" s="9"/>
      <c r="CC253" s="9"/>
      <c r="CD253" s="9"/>
      <c r="CE253" s="9"/>
      <c r="CF253" s="9"/>
      <c r="CG253" s="9"/>
      <c r="CH253" s="9"/>
      <c r="CI253" s="9"/>
      <c r="CJ253" s="9"/>
      <c r="CK253" s="9"/>
      <c r="CL253" s="9"/>
      <c r="CM253" s="9"/>
      <c r="CN253" s="9"/>
      <c r="CO253" s="9"/>
      <c r="CP253" s="9"/>
      <c r="CQ253" s="10"/>
      <c r="CR253" s="9"/>
      <c r="CS253" s="9"/>
      <c r="CT253" s="9"/>
      <c r="CU253" s="9"/>
      <c r="CV253" s="9"/>
      <c r="CW253" s="9"/>
      <c r="CX253" s="9"/>
      <c r="CY253" s="9"/>
      <c r="CZ253" s="9"/>
      <c r="DA253" s="9"/>
      <c r="DB253" s="9"/>
      <c r="DC253" s="9"/>
      <c r="DD253" s="9"/>
      <c r="DE253" s="9"/>
      <c r="DF253" s="9"/>
      <c r="DG253" s="9"/>
      <c r="DH253" s="9"/>
      <c r="DI253" s="9"/>
      <c r="DJ253" s="9"/>
      <c r="DK253" s="9"/>
      <c r="DL253" s="9"/>
      <c r="DM253" s="9"/>
      <c r="DN253" s="9"/>
      <c r="DO253" s="9"/>
      <c r="DP253" s="9"/>
      <c r="DQ253" s="9"/>
      <c r="DR253" s="9"/>
      <c r="DS253" s="10"/>
      <c r="DT253" s="9"/>
      <c r="DU253" s="9"/>
      <c r="DV253" s="9"/>
      <c r="DW253" s="9"/>
      <c r="DX253" s="9"/>
      <c r="DY253" s="9"/>
      <c r="DZ253" s="9"/>
      <c r="EA253" s="9"/>
      <c r="EB253" s="9"/>
      <c r="EC253" s="9"/>
      <c r="ED253" s="9"/>
      <c r="EE253" s="9"/>
      <c r="EF253" s="9"/>
      <c r="EG253" s="9"/>
      <c r="EH253" s="9"/>
      <c r="EI253" s="9"/>
      <c r="EJ253" s="9"/>
      <c r="EK253" s="9"/>
      <c r="EL253" s="9"/>
      <c r="EM253" s="9"/>
      <c r="EN253" s="9"/>
      <c r="EO253" s="9"/>
      <c r="EP253" s="9"/>
      <c r="EQ253" s="9"/>
      <c r="ER253" s="9"/>
      <c r="ES253" s="9"/>
      <c r="ET253" s="9"/>
      <c r="EU253" s="10"/>
      <c r="EV253" s="9"/>
      <c r="EW253" s="9"/>
      <c r="EX253" s="9"/>
      <c r="EY253" s="9"/>
      <c r="EZ253" s="9"/>
      <c r="FA253" s="9"/>
      <c r="FB253" s="9"/>
      <c r="FC253" s="9"/>
      <c r="FD253" s="9"/>
      <c r="FE253" s="9"/>
      <c r="FF253" s="9"/>
      <c r="FG253" s="9"/>
      <c r="FH253" s="9"/>
      <c r="FI253" s="9"/>
      <c r="FJ253" s="9"/>
      <c r="FK253" s="9"/>
      <c r="FL253" s="9"/>
      <c r="FM253" s="9"/>
      <c r="FN253" s="9"/>
      <c r="FO253" s="9"/>
      <c r="FP253" s="9"/>
      <c r="FQ253" s="9"/>
      <c r="FR253" s="9"/>
      <c r="FS253" s="9"/>
      <c r="FT253" s="9"/>
      <c r="FU253" s="9"/>
      <c r="FV253" s="9"/>
      <c r="FW253" s="10"/>
      <c r="FX253" s="9"/>
      <c r="FY253" s="9"/>
      <c r="FZ253" s="9"/>
      <c r="GA253" s="9"/>
      <c r="GB253" s="9"/>
      <c r="GC253" s="9"/>
      <c r="GD253" s="9"/>
      <c r="GE253" s="9"/>
      <c r="GF253" s="9"/>
      <c r="GG253" s="9"/>
      <c r="GH253" s="9"/>
      <c r="GI253" s="9"/>
      <c r="GJ253" s="9"/>
      <c r="GK253" s="9"/>
      <c r="GL253" s="9"/>
      <c r="GM253" s="9"/>
      <c r="GN253" s="9"/>
      <c r="GO253" s="9"/>
      <c r="GP253" s="9"/>
      <c r="GQ253" s="9"/>
      <c r="GR253" s="9"/>
      <c r="GS253" s="9"/>
      <c r="GT253" s="9"/>
      <c r="GU253" s="9"/>
      <c r="GV253" s="9"/>
      <c r="GW253" s="9"/>
      <c r="GX253" s="9"/>
      <c r="GY253" s="10"/>
      <c r="GZ253" s="9"/>
      <c r="HA253" s="9"/>
    </row>
    <row r="254" spans="1:209" s="2" customFormat="1" ht="17" customHeight="1">
      <c r="A254" s="18" t="s">
        <v>250</v>
      </c>
      <c r="B254" s="61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35"/>
      <c r="AA254" s="35"/>
      <c r="AB254" s="11"/>
      <c r="AC254" s="11"/>
      <c r="AD254" s="11"/>
      <c r="AE254" s="11"/>
      <c r="AF254" s="11"/>
      <c r="AG254" s="11"/>
      <c r="AH254" s="11"/>
      <c r="AI254" s="11"/>
      <c r="AJ254" s="11"/>
      <c r="AK254" s="11"/>
      <c r="AL254" s="11"/>
      <c r="AM254" s="11"/>
      <c r="AN254" s="11"/>
      <c r="AO254" s="11"/>
      <c r="AP254" s="11"/>
      <c r="AQ254" s="11"/>
      <c r="AR254" s="11"/>
      <c r="AS254" s="11"/>
      <c r="AT254" s="11"/>
      <c r="AU254" s="11"/>
      <c r="AV254" s="11"/>
      <c r="AW254" s="11"/>
      <c r="AX254" s="11"/>
      <c r="AY254" s="11"/>
      <c r="AZ254" s="11"/>
      <c r="BA254" s="11"/>
      <c r="BB254" s="11"/>
      <c r="BC254" s="35"/>
      <c r="BD254" s="35"/>
      <c r="BE254" s="35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9"/>
      <c r="BU254" s="9"/>
      <c r="BV254" s="9"/>
      <c r="BW254" s="9"/>
      <c r="BX254" s="9"/>
      <c r="BY254" s="9"/>
      <c r="BZ254" s="9"/>
      <c r="CA254" s="9"/>
      <c r="CB254" s="9"/>
      <c r="CC254" s="9"/>
      <c r="CD254" s="9"/>
      <c r="CE254" s="9"/>
      <c r="CF254" s="9"/>
      <c r="CG254" s="9"/>
      <c r="CH254" s="9"/>
      <c r="CI254" s="9"/>
      <c r="CJ254" s="9"/>
      <c r="CK254" s="9"/>
      <c r="CL254" s="9"/>
      <c r="CM254" s="9"/>
      <c r="CN254" s="9"/>
      <c r="CO254" s="9"/>
      <c r="CP254" s="9"/>
      <c r="CQ254" s="10"/>
      <c r="CR254" s="9"/>
      <c r="CS254" s="9"/>
      <c r="CT254" s="9"/>
      <c r="CU254" s="9"/>
      <c r="CV254" s="9"/>
      <c r="CW254" s="9"/>
      <c r="CX254" s="9"/>
      <c r="CY254" s="9"/>
      <c r="CZ254" s="9"/>
      <c r="DA254" s="9"/>
      <c r="DB254" s="9"/>
      <c r="DC254" s="9"/>
      <c r="DD254" s="9"/>
      <c r="DE254" s="9"/>
      <c r="DF254" s="9"/>
      <c r="DG254" s="9"/>
      <c r="DH254" s="9"/>
      <c r="DI254" s="9"/>
      <c r="DJ254" s="9"/>
      <c r="DK254" s="9"/>
      <c r="DL254" s="9"/>
      <c r="DM254" s="9"/>
      <c r="DN254" s="9"/>
      <c r="DO254" s="9"/>
      <c r="DP254" s="9"/>
      <c r="DQ254" s="9"/>
      <c r="DR254" s="9"/>
      <c r="DS254" s="10"/>
      <c r="DT254" s="9"/>
      <c r="DU254" s="9"/>
      <c r="DV254" s="9"/>
      <c r="DW254" s="9"/>
      <c r="DX254" s="9"/>
      <c r="DY254" s="9"/>
      <c r="DZ254" s="9"/>
      <c r="EA254" s="9"/>
      <c r="EB254" s="9"/>
      <c r="EC254" s="9"/>
      <c r="ED254" s="9"/>
      <c r="EE254" s="9"/>
      <c r="EF254" s="9"/>
      <c r="EG254" s="9"/>
      <c r="EH254" s="9"/>
      <c r="EI254" s="9"/>
      <c r="EJ254" s="9"/>
      <c r="EK254" s="9"/>
      <c r="EL254" s="9"/>
      <c r="EM254" s="9"/>
      <c r="EN254" s="9"/>
      <c r="EO254" s="9"/>
      <c r="EP254" s="9"/>
      <c r="EQ254" s="9"/>
      <c r="ER254" s="9"/>
      <c r="ES254" s="9"/>
      <c r="ET254" s="9"/>
      <c r="EU254" s="10"/>
      <c r="EV254" s="9"/>
      <c r="EW254" s="9"/>
      <c r="EX254" s="9"/>
      <c r="EY254" s="9"/>
      <c r="EZ254" s="9"/>
      <c r="FA254" s="9"/>
      <c r="FB254" s="9"/>
      <c r="FC254" s="9"/>
      <c r="FD254" s="9"/>
      <c r="FE254" s="9"/>
      <c r="FF254" s="9"/>
      <c r="FG254" s="9"/>
      <c r="FH254" s="9"/>
      <c r="FI254" s="9"/>
      <c r="FJ254" s="9"/>
      <c r="FK254" s="9"/>
      <c r="FL254" s="9"/>
      <c r="FM254" s="9"/>
      <c r="FN254" s="9"/>
      <c r="FO254" s="9"/>
      <c r="FP254" s="9"/>
      <c r="FQ254" s="9"/>
      <c r="FR254" s="9"/>
      <c r="FS254" s="9"/>
      <c r="FT254" s="9"/>
      <c r="FU254" s="9"/>
      <c r="FV254" s="9"/>
      <c r="FW254" s="10"/>
      <c r="FX254" s="9"/>
      <c r="FY254" s="9"/>
      <c r="FZ254" s="9"/>
      <c r="GA254" s="9"/>
      <c r="GB254" s="9"/>
      <c r="GC254" s="9"/>
      <c r="GD254" s="9"/>
      <c r="GE254" s="9"/>
      <c r="GF254" s="9"/>
      <c r="GG254" s="9"/>
      <c r="GH254" s="9"/>
      <c r="GI254" s="9"/>
      <c r="GJ254" s="9"/>
      <c r="GK254" s="9"/>
      <c r="GL254" s="9"/>
      <c r="GM254" s="9"/>
      <c r="GN254" s="9"/>
      <c r="GO254" s="9"/>
      <c r="GP254" s="9"/>
      <c r="GQ254" s="9"/>
      <c r="GR254" s="9"/>
      <c r="GS254" s="9"/>
      <c r="GT254" s="9"/>
      <c r="GU254" s="9"/>
      <c r="GV254" s="9"/>
      <c r="GW254" s="9"/>
      <c r="GX254" s="9"/>
      <c r="GY254" s="10"/>
      <c r="GZ254" s="9"/>
      <c r="HA254" s="9"/>
    </row>
    <row r="255" spans="1:209" s="2" customFormat="1" ht="16.7" customHeight="1">
      <c r="A255" s="14" t="s">
        <v>251</v>
      </c>
      <c r="B255" s="35">
        <v>0</v>
      </c>
      <c r="C255" s="35">
        <v>0</v>
      </c>
      <c r="D255" s="4">
        <f t="shared" si="72"/>
        <v>0</v>
      </c>
      <c r="E255" s="11">
        <v>0</v>
      </c>
      <c r="F255" s="5" t="s">
        <v>362</v>
      </c>
      <c r="G255" s="5" t="s">
        <v>362</v>
      </c>
      <c r="H255" s="5" t="s">
        <v>362</v>
      </c>
      <c r="I255" s="5" t="s">
        <v>362</v>
      </c>
      <c r="J255" s="5" t="s">
        <v>362</v>
      </c>
      <c r="K255" s="5" t="s">
        <v>362</v>
      </c>
      <c r="L255" s="5" t="s">
        <v>362</v>
      </c>
      <c r="M255" s="5" t="s">
        <v>362</v>
      </c>
      <c r="N255" s="35">
        <v>322.5</v>
      </c>
      <c r="O255" s="35">
        <v>203.6</v>
      </c>
      <c r="P255" s="4">
        <f t="shared" si="73"/>
        <v>0.63131782945736437</v>
      </c>
      <c r="Q255" s="11">
        <v>20</v>
      </c>
      <c r="R255" s="35">
        <v>37</v>
      </c>
      <c r="S255" s="35">
        <v>38.799999999999997</v>
      </c>
      <c r="T255" s="4">
        <f t="shared" si="74"/>
        <v>1.0486486486486486</v>
      </c>
      <c r="U255" s="11">
        <v>25</v>
      </c>
      <c r="V255" s="35">
        <v>6</v>
      </c>
      <c r="W255" s="35">
        <v>6.3</v>
      </c>
      <c r="X255" s="4">
        <f t="shared" si="75"/>
        <v>1.05</v>
      </c>
      <c r="Y255" s="11">
        <v>25</v>
      </c>
      <c r="Z255" s="35">
        <v>2350</v>
      </c>
      <c r="AA255" s="35">
        <v>2107</v>
      </c>
      <c r="AB255" s="4">
        <f t="shared" si="76"/>
        <v>0.89659574468085101</v>
      </c>
      <c r="AC255" s="11">
        <v>5</v>
      </c>
      <c r="AD255" s="11">
        <v>397</v>
      </c>
      <c r="AE255" s="11">
        <v>397</v>
      </c>
      <c r="AF255" s="4">
        <f t="shared" si="77"/>
        <v>1</v>
      </c>
      <c r="AG255" s="11">
        <v>20</v>
      </c>
      <c r="AH255" s="5" t="s">
        <v>362</v>
      </c>
      <c r="AI255" s="5" t="s">
        <v>362</v>
      </c>
      <c r="AJ255" s="5" t="s">
        <v>362</v>
      </c>
      <c r="AK255" s="5" t="s">
        <v>362</v>
      </c>
      <c r="AL255" s="5" t="s">
        <v>362</v>
      </c>
      <c r="AM255" s="5" t="s">
        <v>362</v>
      </c>
      <c r="AN255" s="5" t="s">
        <v>362</v>
      </c>
      <c r="AO255" s="5" t="s">
        <v>362</v>
      </c>
      <c r="AP255" s="44">
        <f t="shared" si="86"/>
        <v>0.94290054240808174</v>
      </c>
      <c r="AQ255" s="45">
        <v>1304</v>
      </c>
      <c r="AR255" s="35">
        <f t="shared" si="78"/>
        <v>355.63636363636363</v>
      </c>
      <c r="AS255" s="35">
        <f t="shared" si="79"/>
        <v>335.3</v>
      </c>
      <c r="AT255" s="35">
        <f t="shared" si="80"/>
        <v>-20.336363636363615</v>
      </c>
      <c r="AU255" s="35">
        <v>97.9</v>
      </c>
      <c r="AV255" s="35">
        <v>109.5</v>
      </c>
      <c r="AW255" s="35">
        <f t="shared" si="81"/>
        <v>127.9</v>
      </c>
      <c r="AX255" s="35"/>
      <c r="AY255" s="35">
        <f t="shared" si="82"/>
        <v>127.9</v>
      </c>
      <c r="AZ255" s="35">
        <v>0</v>
      </c>
      <c r="BA255" s="35">
        <f t="shared" si="83"/>
        <v>127.9</v>
      </c>
      <c r="BB255" s="35"/>
      <c r="BC255" s="35">
        <f t="shared" si="84"/>
        <v>127.9</v>
      </c>
      <c r="BD255" s="35">
        <v>128.80000000000001</v>
      </c>
      <c r="BE255" s="35">
        <f t="shared" si="85"/>
        <v>-0.9</v>
      </c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9"/>
      <c r="BU255" s="9"/>
      <c r="BV255" s="9"/>
      <c r="BW255" s="9"/>
      <c r="BX255" s="9"/>
      <c r="BY255" s="9"/>
      <c r="BZ255" s="9"/>
      <c r="CA255" s="9"/>
      <c r="CB255" s="9"/>
      <c r="CC255" s="9"/>
      <c r="CD255" s="9"/>
      <c r="CE255" s="9"/>
      <c r="CF255" s="9"/>
      <c r="CG255" s="9"/>
      <c r="CH255" s="9"/>
      <c r="CI255" s="9"/>
      <c r="CJ255" s="9"/>
      <c r="CK255" s="9"/>
      <c r="CL255" s="9"/>
      <c r="CM255" s="9"/>
      <c r="CN255" s="9"/>
      <c r="CO255" s="9"/>
      <c r="CP255" s="9"/>
      <c r="CQ255" s="10"/>
      <c r="CR255" s="9"/>
      <c r="CS255" s="9"/>
      <c r="CT255" s="9"/>
      <c r="CU255" s="9"/>
      <c r="CV255" s="9"/>
      <c r="CW255" s="9"/>
      <c r="CX255" s="9"/>
      <c r="CY255" s="9"/>
      <c r="CZ255" s="9"/>
      <c r="DA255" s="9"/>
      <c r="DB255" s="9"/>
      <c r="DC255" s="9"/>
      <c r="DD255" s="9"/>
      <c r="DE255" s="9"/>
      <c r="DF255" s="9"/>
      <c r="DG255" s="9"/>
      <c r="DH255" s="9"/>
      <c r="DI255" s="9"/>
      <c r="DJ255" s="9"/>
      <c r="DK255" s="9"/>
      <c r="DL255" s="9"/>
      <c r="DM255" s="9"/>
      <c r="DN255" s="9"/>
      <c r="DO255" s="9"/>
      <c r="DP255" s="9"/>
      <c r="DQ255" s="9"/>
      <c r="DR255" s="9"/>
      <c r="DS255" s="10"/>
      <c r="DT255" s="9"/>
      <c r="DU255" s="9"/>
      <c r="DV255" s="9"/>
      <c r="DW255" s="9"/>
      <c r="DX255" s="9"/>
      <c r="DY255" s="9"/>
      <c r="DZ255" s="9"/>
      <c r="EA255" s="9"/>
      <c r="EB255" s="9"/>
      <c r="EC255" s="9"/>
      <c r="ED255" s="9"/>
      <c r="EE255" s="9"/>
      <c r="EF255" s="9"/>
      <c r="EG255" s="9"/>
      <c r="EH255" s="9"/>
      <c r="EI255" s="9"/>
      <c r="EJ255" s="9"/>
      <c r="EK255" s="9"/>
      <c r="EL255" s="9"/>
      <c r="EM255" s="9"/>
      <c r="EN255" s="9"/>
      <c r="EO255" s="9"/>
      <c r="EP255" s="9"/>
      <c r="EQ255" s="9"/>
      <c r="ER255" s="9"/>
      <c r="ES255" s="9"/>
      <c r="ET255" s="9"/>
      <c r="EU255" s="10"/>
      <c r="EV255" s="9"/>
      <c r="EW255" s="9"/>
      <c r="EX255" s="9"/>
      <c r="EY255" s="9"/>
      <c r="EZ255" s="9"/>
      <c r="FA255" s="9"/>
      <c r="FB255" s="9"/>
      <c r="FC255" s="9"/>
      <c r="FD255" s="9"/>
      <c r="FE255" s="9"/>
      <c r="FF255" s="9"/>
      <c r="FG255" s="9"/>
      <c r="FH255" s="9"/>
      <c r="FI255" s="9"/>
      <c r="FJ255" s="9"/>
      <c r="FK255" s="9"/>
      <c r="FL255" s="9"/>
      <c r="FM255" s="9"/>
      <c r="FN255" s="9"/>
      <c r="FO255" s="9"/>
      <c r="FP255" s="9"/>
      <c r="FQ255" s="9"/>
      <c r="FR255" s="9"/>
      <c r="FS255" s="9"/>
      <c r="FT255" s="9"/>
      <c r="FU255" s="9"/>
      <c r="FV255" s="9"/>
      <c r="FW255" s="10"/>
      <c r="FX255" s="9"/>
      <c r="FY255" s="9"/>
      <c r="FZ255" s="9"/>
      <c r="GA255" s="9"/>
      <c r="GB255" s="9"/>
      <c r="GC255" s="9"/>
      <c r="GD255" s="9"/>
      <c r="GE255" s="9"/>
      <c r="GF255" s="9"/>
      <c r="GG255" s="9"/>
      <c r="GH255" s="9"/>
      <c r="GI255" s="9"/>
      <c r="GJ255" s="9"/>
      <c r="GK255" s="9"/>
      <c r="GL255" s="9"/>
      <c r="GM255" s="9"/>
      <c r="GN255" s="9"/>
      <c r="GO255" s="9"/>
      <c r="GP255" s="9"/>
      <c r="GQ255" s="9"/>
      <c r="GR255" s="9"/>
      <c r="GS255" s="9"/>
      <c r="GT255" s="9"/>
      <c r="GU255" s="9"/>
      <c r="GV255" s="9"/>
      <c r="GW255" s="9"/>
      <c r="GX255" s="9"/>
      <c r="GY255" s="10"/>
      <c r="GZ255" s="9"/>
      <c r="HA255" s="9"/>
    </row>
    <row r="256" spans="1:209" s="2" customFormat="1" ht="17" customHeight="1">
      <c r="A256" s="14" t="s">
        <v>252</v>
      </c>
      <c r="B256" s="35">
        <v>0</v>
      </c>
      <c r="C256" s="35">
        <v>0</v>
      </c>
      <c r="D256" s="4">
        <f t="shared" si="72"/>
        <v>0</v>
      </c>
      <c r="E256" s="11">
        <v>0</v>
      </c>
      <c r="F256" s="5" t="s">
        <v>362</v>
      </c>
      <c r="G256" s="5" t="s">
        <v>362</v>
      </c>
      <c r="H256" s="5" t="s">
        <v>362</v>
      </c>
      <c r="I256" s="5" t="s">
        <v>362</v>
      </c>
      <c r="J256" s="5" t="s">
        <v>362</v>
      </c>
      <c r="K256" s="5" t="s">
        <v>362</v>
      </c>
      <c r="L256" s="5" t="s">
        <v>362</v>
      </c>
      <c r="M256" s="5" t="s">
        <v>362</v>
      </c>
      <c r="N256" s="35">
        <v>210.5</v>
      </c>
      <c r="O256" s="35">
        <v>108.8</v>
      </c>
      <c r="P256" s="4">
        <f t="shared" si="73"/>
        <v>0.51686460807600954</v>
      </c>
      <c r="Q256" s="11">
        <v>20</v>
      </c>
      <c r="R256" s="35">
        <v>4.5</v>
      </c>
      <c r="S256" s="35">
        <v>4.5</v>
      </c>
      <c r="T256" s="4">
        <f t="shared" si="74"/>
        <v>1</v>
      </c>
      <c r="U256" s="11">
        <v>15</v>
      </c>
      <c r="V256" s="35">
        <v>3</v>
      </c>
      <c r="W256" s="35">
        <v>3</v>
      </c>
      <c r="X256" s="4">
        <f t="shared" si="75"/>
        <v>1</v>
      </c>
      <c r="Y256" s="11">
        <v>35</v>
      </c>
      <c r="Z256" s="35">
        <v>10077</v>
      </c>
      <c r="AA256" s="35">
        <v>6197</v>
      </c>
      <c r="AB256" s="4">
        <f t="shared" si="76"/>
        <v>0.61496477126128812</v>
      </c>
      <c r="AC256" s="11">
        <v>5</v>
      </c>
      <c r="AD256" s="11">
        <v>44</v>
      </c>
      <c r="AE256" s="11">
        <v>44</v>
      </c>
      <c r="AF256" s="4">
        <f t="shared" si="77"/>
        <v>1</v>
      </c>
      <c r="AG256" s="11">
        <v>20</v>
      </c>
      <c r="AH256" s="5" t="s">
        <v>362</v>
      </c>
      <c r="AI256" s="5" t="s">
        <v>362</v>
      </c>
      <c r="AJ256" s="5" t="s">
        <v>362</v>
      </c>
      <c r="AK256" s="5" t="s">
        <v>362</v>
      </c>
      <c r="AL256" s="5" t="s">
        <v>362</v>
      </c>
      <c r="AM256" s="5" t="s">
        <v>362</v>
      </c>
      <c r="AN256" s="5" t="s">
        <v>362</v>
      </c>
      <c r="AO256" s="5" t="s">
        <v>362</v>
      </c>
      <c r="AP256" s="44">
        <f t="shared" si="86"/>
        <v>0.87802227387185927</v>
      </c>
      <c r="AQ256" s="45">
        <v>645</v>
      </c>
      <c r="AR256" s="35">
        <f t="shared" si="78"/>
        <v>175.90909090909091</v>
      </c>
      <c r="AS256" s="35">
        <f t="shared" si="79"/>
        <v>154.5</v>
      </c>
      <c r="AT256" s="35">
        <f t="shared" si="80"/>
        <v>-21.409090909090907</v>
      </c>
      <c r="AU256" s="35">
        <v>44.2</v>
      </c>
      <c r="AV256" s="35">
        <v>57.8</v>
      </c>
      <c r="AW256" s="35">
        <f t="shared" si="81"/>
        <v>52.5</v>
      </c>
      <c r="AX256" s="35"/>
      <c r="AY256" s="35">
        <f t="shared" si="82"/>
        <v>52.5</v>
      </c>
      <c r="AZ256" s="35">
        <v>0</v>
      </c>
      <c r="BA256" s="35">
        <f t="shared" si="83"/>
        <v>52.5</v>
      </c>
      <c r="BB256" s="35"/>
      <c r="BC256" s="35">
        <f t="shared" si="84"/>
        <v>52.5</v>
      </c>
      <c r="BD256" s="35">
        <v>55</v>
      </c>
      <c r="BE256" s="35">
        <f t="shared" si="85"/>
        <v>-2.5</v>
      </c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9"/>
      <c r="BU256" s="9"/>
      <c r="BV256" s="9"/>
      <c r="BW256" s="9"/>
      <c r="BX256" s="9"/>
      <c r="BY256" s="9"/>
      <c r="BZ256" s="9"/>
      <c r="CA256" s="9"/>
      <c r="CB256" s="9"/>
      <c r="CC256" s="9"/>
      <c r="CD256" s="9"/>
      <c r="CE256" s="9"/>
      <c r="CF256" s="9"/>
      <c r="CG256" s="9"/>
      <c r="CH256" s="9"/>
      <c r="CI256" s="9"/>
      <c r="CJ256" s="9"/>
      <c r="CK256" s="9"/>
      <c r="CL256" s="9"/>
      <c r="CM256" s="9"/>
      <c r="CN256" s="9"/>
      <c r="CO256" s="9"/>
      <c r="CP256" s="9"/>
      <c r="CQ256" s="10"/>
      <c r="CR256" s="9"/>
      <c r="CS256" s="9"/>
      <c r="CT256" s="9"/>
      <c r="CU256" s="9"/>
      <c r="CV256" s="9"/>
      <c r="CW256" s="9"/>
      <c r="CX256" s="9"/>
      <c r="CY256" s="9"/>
      <c r="CZ256" s="9"/>
      <c r="DA256" s="9"/>
      <c r="DB256" s="9"/>
      <c r="DC256" s="9"/>
      <c r="DD256" s="9"/>
      <c r="DE256" s="9"/>
      <c r="DF256" s="9"/>
      <c r="DG256" s="9"/>
      <c r="DH256" s="9"/>
      <c r="DI256" s="9"/>
      <c r="DJ256" s="9"/>
      <c r="DK256" s="9"/>
      <c r="DL256" s="9"/>
      <c r="DM256" s="9"/>
      <c r="DN256" s="9"/>
      <c r="DO256" s="9"/>
      <c r="DP256" s="9"/>
      <c r="DQ256" s="9"/>
      <c r="DR256" s="9"/>
      <c r="DS256" s="10"/>
      <c r="DT256" s="9"/>
      <c r="DU256" s="9"/>
      <c r="DV256" s="9"/>
      <c r="DW256" s="9"/>
      <c r="DX256" s="9"/>
      <c r="DY256" s="9"/>
      <c r="DZ256" s="9"/>
      <c r="EA256" s="9"/>
      <c r="EB256" s="9"/>
      <c r="EC256" s="9"/>
      <c r="ED256" s="9"/>
      <c r="EE256" s="9"/>
      <c r="EF256" s="9"/>
      <c r="EG256" s="9"/>
      <c r="EH256" s="9"/>
      <c r="EI256" s="9"/>
      <c r="EJ256" s="9"/>
      <c r="EK256" s="9"/>
      <c r="EL256" s="9"/>
      <c r="EM256" s="9"/>
      <c r="EN256" s="9"/>
      <c r="EO256" s="9"/>
      <c r="EP256" s="9"/>
      <c r="EQ256" s="9"/>
      <c r="ER256" s="9"/>
      <c r="ES256" s="9"/>
      <c r="ET256" s="9"/>
      <c r="EU256" s="10"/>
      <c r="EV256" s="9"/>
      <c r="EW256" s="9"/>
      <c r="EX256" s="9"/>
      <c r="EY256" s="9"/>
      <c r="EZ256" s="9"/>
      <c r="FA256" s="9"/>
      <c r="FB256" s="9"/>
      <c r="FC256" s="9"/>
      <c r="FD256" s="9"/>
      <c r="FE256" s="9"/>
      <c r="FF256" s="9"/>
      <c r="FG256" s="9"/>
      <c r="FH256" s="9"/>
      <c r="FI256" s="9"/>
      <c r="FJ256" s="9"/>
      <c r="FK256" s="9"/>
      <c r="FL256" s="9"/>
      <c r="FM256" s="9"/>
      <c r="FN256" s="9"/>
      <c r="FO256" s="9"/>
      <c r="FP256" s="9"/>
      <c r="FQ256" s="9"/>
      <c r="FR256" s="9"/>
      <c r="FS256" s="9"/>
      <c r="FT256" s="9"/>
      <c r="FU256" s="9"/>
      <c r="FV256" s="9"/>
      <c r="FW256" s="10"/>
      <c r="FX256" s="9"/>
      <c r="FY256" s="9"/>
      <c r="FZ256" s="9"/>
      <c r="GA256" s="9"/>
      <c r="GB256" s="9"/>
      <c r="GC256" s="9"/>
      <c r="GD256" s="9"/>
      <c r="GE256" s="9"/>
      <c r="GF256" s="9"/>
      <c r="GG256" s="9"/>
      <c r="GH256" s="9"/>
      <c r="GI256" s="9"/>
      <c r="GJ256" s="9"/>
      <c r="GK256" s="9"/>
      <c r="GL256" s="9"/>
      <c r="GM256" s="9"/>
      <c r="GN256" s="9"/>
      <c r="GO256" s="9"/>
      <c r="GP256" s="9"/>
      <c r="GQ256" s="9"/>
      <c r="GR256" s="9"/>
      <c r="GS256" s="9"/>
      <c r="GT256" s="9"/>
      <c r="GU256" s="9"/>
      <c r="GV256" s="9"/>
      <c r="GW256" s="9"/>
      <c r="GX256" s="9"/>
      <c r="GY256" s="10"/>
      <c r="GZ256" s="9"/>
      <c r="HA256" s="9"/>
    </row>
    <row r="257" spans="1:209" s="2" customFormat="1" ht="17" customHeight="1">
      <c r="A257" s="14" t="s">
        <v>253</v>
      </c>
      <c r="B257" s="35">
        <v>0</v>
      </c>
      <c r="C257" s="35">
        <v>0</v>
      </c>
      <c r="D257" s="4">
        <f t="shared" si="72"/>
        <v>0</v>
      </c>
      <c r="E257" s="11">
        <v>0</v>
      </c>
      <c r="F257" s="5" t="s">
        <v>362</v>
      </c>
      <c r="G257" s="5" t="s">
        <v>362</v>
      </c>
      <c r="H257" s="5" t="s">
        <v>362</v>
      </c>
      <c r="I257" s="5" t="s">
        <v>362</v>
      </c>
      <c r="J257" s="5" t="s">
        <v>362</v>
      </c>
      <c r="K257" s="5" t="s">
        <v>362</v>
      </c>
      <c r="L257" s="5" t="s">
        <v>362</v>
      </c>
      <c r="M257" s="5" t="s">
        <v>362</v>
      </c>
      <c r="N257" s="35">
        <v>306.60000000000002</v>
      </c>
      <c r="O257" s="35">
        <v>463.1</v>
      </c>
      <c r="P257" s="4">
        <f t="shared" si="73"/>
        <v>1.2310437051532941</v>
      </c>
      <c r="Q257" s="11">
        <v>20</v>
      </c>
      <c r="R257" s="35">
        <v>23.5</v>
      </c>
      <c r="S257" s="35">
        <v>26.7</v>
      </c>
      <c r="T257" s="4">
        <f t="shared" si="74"/>
        <v>1.1361702127659574</v>
      </c>
      <c r="U257" s="11">
        <v>25</v>
      </c>
      <c r="V257" s="35">
        <v>9</v>
      </c>
      <c r="W257" s="35">
        <v>9.1999999999999993</v>
      </c>
      <c r="X257" s="4">
        <f t="shared" si="75"/>
        <v>1.0222222222222221</v>
      </c>
      <c r="Y257" s="11">
        <v>25</v>
      </c>
      <c r="Z257" s="35">
        <v>4030</v>
      </c>
      <c r="AA257" s="35">
        <v>3966</v>
      </c>
      <c r="AB257" s="4">
        <f t="shared" si="76"/>
        <v>0.98411910669975189</v>
      </c>
      <c r="AC257" s="11">
        <v>5</v>
      </c>
      <c r="AD257" s="11">
        <v>454</v>
      </c>
      <c r="AE257" s="11">
        <v>454</v>
      </c>
      <c r="AF257" s="4">
        <f t="shared" si="77"/>
        <v>1</v>
      </c>
      <c r="AG257" s="11">
        <v>20</v>
      </c>
      <c r="AH257" s="5" t="s">
        <v>362</v>
      </c>
      <c r="AI257" s="5" t="s">
        <v>362</v>
      </c>
      <c r="AJ257" s="5" t="s">
        <v>362</v>
      </c>
      <c r="AK257" s="5" t="s">
        <v>362</v>
      </c>
      <c r="AL257" s="5" t="s">
        <v>362</v>
      </c>
      <c r="AM257" s="5" t="s">
        <v>362</v>
      </c>
      <c r="AN257" s="5" t="s">
        <v>362</v>
      </c>
      <c r="AO257" s="5" t="s">
        <v>362</v>
      </c>
      <c r="AP257" s="44">
        <f t="shared" si="86"/>
        <v>1.0894871632765171</v>
      </c>
      <c r="AQ257" s="45">
        <v>1203</v>
      </c>
      <c r="AR257" s="35">
        <f t="shared" si="78"/>
        <v>328.09090909090907</v>
      </c>
      <c r="AS257" s="35">
        <f t="shared" si="79"/>
        <v>357.5</v>
      </c>
      <c r="AT257" s="35">
        <f t="shared" si="80"/>
        <v>29.409090909090935</v>
      </c>
      <c r="AU257" s="35">
        <v>95</v>
      </c>
      <c r="AV257" s="35">
        <v>116.2</v>
      </c>
      <c r="AW257" s="35">
        <f t="shared" si="81"/>
        <v>146.30000000000001</v>
      </c>
      <c r="AX257" s="35"/>
      <c r="AY257" s="35">
        <f t="shared" si="82"/>
        <v>146.30000000000001</v>
      </c>
      <c r="AZ257" s="35">
        <v>0</v>
      </c>
      <c r="BA257" s="35">
        <f t="shared" si="83"/>
        <v>146.30000000000001</v>
      </c>
      <c r="BB257" s="35">
        <f>MIN(BA257,54.7)</f>
        <v>54.7</v>
      </c>
      <c r="BC257" s="35">
        <f t="shared" si="84"/>
        <v>91.6</v>
      </c>
      <c r="BD257" s="35">
        <v>93.5</v>
      </c>
      <c r="BE257" s="35">
        <f t="shared" si="85"/>
        <v>-1.9</v>
      </c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9"/>
      <c r="BU257" s="9"/>
      <c r="BV257" s="9"/>
      <c r="BW257" s="9"/>
      <c r="BX257" s="9"/>
      <c r="BY257" s="9"/>
      <c r="BZ257" s="9"/>
      <c r="CA257" s="9"/>
      <c r="CB257" s="9"/>
      <c r="CC257" s="9"/>
      <c r="CD257" s="9"/>
      <c r="CE257" s="9"/>
      <c r="CF257" s="9"/>
      <c r="CG257" s="9"/>
      <c r="CH257" s="9"/>
      <c r="CI257" s="9"/>
      <c r="CJ257" s="9"/>
      <c r="CK257" s="9"/>
      <c r="CL257" s="9"/>
      <c r="CM257" s="9"/>
      <c r="CN257" s="9"/>
      <c r="CO257" s="9"/>
      <c r="CP257" s="9"/>
      <c r="CQ257" s="10"/>
      <c r="CR257" s="9"/>
      <c r="CS257" s="9"/>
      <c r="CT257" s="9"/>
      <c r="CU257" s="9"/>
      <c r="CV257" s="9"/>
      <c r="CW257" s="9"/>
      <c r="CX257" s="9"/>
      <c r="CY257" s="9"/>
      <c r="CZ257" s="9"/>
      <c r="DA257" s="9"/>
      <c r="DB257" s="9"/>
      <c r="DC257" s="9"/>
      <c r="DD257" s="9"/>
      <c r="DE257" s="9"/>
      <c r="DF257" s="9"/>
      <c r="DG257" s="9"/>
      <c r="DH257" s="9"/>
      <c r="DI257" s="9"/>
      <c r="DJ257" s="9"/>
      <c r="DK257" s="9"/>
      <c r="DL257" s="9"/>
      <c r="DM257" s="9"/>
      <c r="DN257" s="9"/>
      <c r="DO257" s="9"/>
      <c r="DP257" s="9"/>
      <c r="DQ257" s="9"/>
      <c r="DR257" s="9"/>
      <c r="DS257" s="10"/>
      <c r="DT257" s="9"/>
      <c r="DU257" s="9"/>
      <c r="DV257" s="9"/>
      <c r="DW257" s="9"/>
      <c r="DX257" s="9"/>
      <c r="DY257" s="9"/>
      <c r="DZ257" s="9"/>
      <c r="EA257" s="9"/>
      <c r="EB257" s="9"/>
      <c r="EC257" s="9"/>
      <c r="ED257" s="9"/>
      <c r="EE257" s="9"/>
      <c r="EF257" s="9"/>
      <c r="EG257" s="9"/>
      <c r="EH257" s="9"/>
      <c r="EI257" s="9"/>
      <c r="EJ257" s="9"/>
      <c r="EK257" s="9"/>
      <c r="EL257" s="9"/>
      <c r="EM257" s="9"/>
      <c r="EN257" s="9"/>
      <c r="EO257" s="9"/>
      <c r="EP257" s="9"/>
      <c r="EQ257" s="9"/>
      <c r="ER257" s="9"/>
      <c r="ES257" s="9"/>
      <c r="ET257" s="9"/>
      <c r="EU257" s="10"/>
      <c r="EV257" s="9"/>
      <c r="EW257" s="9"/>
      <c r="EX257" s="9"/>
      <c r="EY257" s="9"/>
      <c r="EZ257" s="9"/>
      <c r="FA257" s="9"/>
      <c r="FB257" s="9"/>
      <c r="FC257" s="9"/>
      <c r="FD257" s="9"/>
      <c r="FE257" s="9"/>
      <c r="FF257" s="9"/>
      <c r="FG257" s="9"/>
      <c r="FH257" s="9"/>
      <c r="FI257" s="9"/>
      <c r="FJ257" s="9"/>
      <c r="FK257" s="9"/>
      <c r="FL257" s="9"/>
      <c r="FM257" s="9"/>
      <c r="FN257" s="9"/>
      <c r="FO257" s="9"/>
      <c r="FP257" s="9"/>
      <c r="FQ257" s="9"/>
      <c r="FR257" s="9"/>
      <c r="FS257" s="9"/>
      <c r="FT257" s="9"/>
      <c r="FU257" s="9"/>
      <c r="FV257" s="9"/>
      <c r="FW257" s="10"/>
      <c r="FX257" s="9"/>
      <c r="FY257" s="9"/>
      <c r="FZ257" s="9"/>
      <c r="GA257" s="9"/>
      <c r="GB257" s="9"/>
      <c r="GC257" s="9"/>
      <c r="GD257" s="9"/>
      <c r="GE257" s="9"/>
      <c r="GF257" s="9"/>
      <c r="GG257" s="9"/>
      <c r="GH257" s="9"/>
      <c r="GI257" s="9"/>
      <c r="GJ257" s="9"/>
      <c r="GK257" s="9"/>
      <c r="GL257" s="9"/>
      <c r="GM257" s="9"/>
      <c r="GN257" s="9"/>
      <c r="GO257" s="9"/>
      <c r="GP257" s="9"/>
      <c r="GQ257" s="9"/>
      <c r="GR257" s="9"/>
      <c r="GS257" s="9"/>
      <c r="GT257" s="9"/>
      <c r="GU257" s="9"/>
      <c r="GV257" s="9"/>
      <c r="GW257" s="9"/>
      <c r="GX257" s="9"/>
      <c r="GY257" s="10"/>
      <c r="GZ257" s="9"/>
      <c r="HA257" s="9"/>
    </row>
    <row r="258" spans="1:209" s="2" customFormat="1" ht="17" customHeight="1">
      <c r="A258" s="14" t="s">
        <v>254</v>
      </c>
      <c r="B258" s="35">
        <v>11365</v>
      </c>
      <c r="C258" s="35">
        <v>499.9</v>
      </c>
      <c r="D258" s="4">
        <f t="shared" si="72"/>
        <v>4.3985921689397273E-2</v>
      </c>
      <c r="E258" s="11">
        <v>10</v>
      </c>
      <c r="F258" s="5" t="s">
        <v>362</v>
      </c>
      <c r="G258" s="5" t="s">
        <v>362</v>
      </c>
      <c r="H258" s="5" t="s">
        <v>362</v>
      </c>
      <c r="I258" s="5" t="s">
        <v>362</v>
      </c>
      <c r="J258" s="5" t="s">
        <v>362</v>
      </c>
      <c r="K258" s="5" t="s">
        <v>362</v>
      </c>
      <c r="L258" s="5" t="s">
        <v>362</v>
      </c>
      <c r="M258" s="5" t="s">
        <v>362</v>
      </c>
      <c r="N258" s="35">
        <v>809.2</v>
      </c>
      <c r="O258" s="35">
        <v>413.1</v>
      </c>
      <c r="P258" s="4">
        <f t="shared" si="73"/>
        <v>0.51050420168067223</v>
      </c>
      <c r="Q258" s="11">
        <v>20</v>
      </c>
      <c r="R258" s="35">
        <v>49</v>
      </c>
      <c r="S258" s="35">
        <v>58.7</v>
      </c>
      <c r="T258" s="4">
        <f t="shared" si="74"/>
        <v>1.1979591836734695</v>
      </c>
      <c r="U258" s="11">
        <v>10</v>
      </c>
      <c r="V258" s="35">
        <v>27</v>
      </c>
      <c r="W258" s="35">
        <v>31.9</v>
      </c>
      <c r="X258" s="4">
        <f t="shared" si="75"/>
        <v>1.1814814814814814</v>
      </c>
      <c r="Y258" s="11">
        <v>40</v>
      </c>
      <c r="Z258" s="35">
        <v>24860</v>
      </c>
      <c r="AA258" s="35">
        <v>20606</v>
      </c>
      <c r="AB258" s="4">
        <f t="shared" si="76"/>
        <v>0.82888173773129525</v>
      </c>
      <c r="AC258" s="11">
        <v>5</v>
      </c>
      <c r="AD258" s="11">
        <v>789</v>
      </c>
      <c r="AE258" s="11">
        <v>1005</v>
      </c>
      <c r="AF258" s="4">
        <f t="shared" si="77"/>
        <v>1.2073764258555133</v>
      </c>
      <c r="AG258" s="11">
        <v>20</v>
      </c>
      <c r="AH258" s="5" t="s">
        <v>362</v>
      </c>
      <c r="AI258" s="5" t="s">
        <v>362</v>
      </c>
      <c r="AJ258" s="5" t="s">
        <v>362</v>
      </c>
      <c r="AK258" s="5" t="s">
        <v>362</v>
      </c>
      <c r="AL258" s="5" t="s">
        <v>362</v>
      </c>
      <c r="AM258" s="5" t="s">
        <v>362</v>
      </c>
      <c r="AN258" s="5" t="s">
        <v>362</v>
      </c>
      <c r="AO258" s="5" t="s">
        <v>362</v>
      </c>
      <c r="AP258" s="44">
        <f t="shared" si="86"/>
        <v>0.93505458621207715</v>
      </c>
      <c r="AQ258" s="45">
        <v>338</v>
      </c>
      <c r="AR258" s="35">
        <f t="shared" si="78"/>
        <v>92.181818181818187</v>
      </c>
      <c r="AS258" s="35">
        <f t="shared" si="79"/>
        <v>86.2</v>
      </c>
      <c r="AT258" s="35">
        <f t="shared" si="80"/>
        <v>-5.9818181818181841</v>
      </c>
      <c r="AU258" s="35">
        <v>25.5</v>
      </c>
      <c r="AV258" s="35">
        <v>28.9</v>
      </c>
      <c r="AW258" s="35">
        <f t="shared" si="81"/>
        <v>31.8</v>
      </c>
      <c r="AX258" s="35"/>
      <c r="AY258" s="35">
        <f t="shared" si="82"/>
        <v>31.8</v>
      </c>
      <c r="AZ258" s="35">
        <v>0</v>
      </c>
      <c r="BA258" s="35">
        <f t="shared" si="83"/>
        <v>31.8</v>
      </c>
      <c r="BB258" s="35">
        <f>MIN(BA258,15.4)</f>
        <v>15.4</v>
      </c>
      <c r="BC258" s="35">
        <f t="shared" si="84"/>
        <v>16.399999999999999</v>
      </c>
      <c r="BD258" s="35">
        <v>16.899999999999999</v>
      </c>
      <c r="BE258" s="35">
        <f t="shared" si="85"/>
        <v>-0.5</v>
      </c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9"/>
      <c r="BU258" s="9"/>
      <c r="BV258" s="9"/>
      <c r="BW258" s="9"/>
      <c r="BX258" s="9"/>
      <c r="BY258" s="9"/>
      <c r="BZ258" s="9"/>
      <c r="CA258" s="9"/>
      <c r="CB258" s="9"/>
      <c r="CC258" s="9"/>
      <c r="CD258" s="9"/>
      <c r="CE258" s="9"/>
      <c r="CF258" s="9"/>
      <c r="CG258" s="9"/>
      <c r="CH258" s="9"/>
      <c r="CI258" s="9"/>
      <c r="CJ258" s="9"/>
      <c r="CK258" s="9"/>
      <c r="CL258" s="9"/>
      <c r="CM258" s="9"/>
      <c r="CN258" s="9"/>
      <c r="CO258" s="9"/>
      <c r="CP258" s="9"/>
      <c r="CQ258" s="10"/>
      <c r="CR258" s="9"/>
      <c r="CS258" s="9"/>
      <c r="CT258" s="9"/>
      <c r="CU258" s="9"/>
      <c r="CV258" s="9"/>
      <c r="CW258" s="9"/>
      <c r="CX258" s="9"/>
      <c r="CY258" s="9"/>
      <c r="CZ258" s="9"/>
      <c r="DA258" s="9"/>
      <c r="DB258" s="9"/>
      <c r="DC258" s="9"/>
      <c r="DD258" s="9"/>
      <c r="DE258" s="9"/>
      <c r="DF258" s="9"/>
      <c r="DG258" s="9"/>
      <c r="DH258" s="9"/>
      <c r="DI258" s="9"/>
      <c r="DJ258" s="9"/>
      <c r="DK258" s="9"/>
      <c r="DL258" s="9"/>
      <c r="DM258" s="9"/>
      <c r="DN258" s="9"/>
      <c r="DO258" s="9"/>
      <c r="DP258" s="9"/>
      <c r="DQ258" s="9"/>
      <c r="DR258" s="9"/>
      <c r="DS258" s="10"/>
      <c r="DT258" s="9"/>
      <c r="DU258" s="9"/>
      <c r="DV258" s="9"/>
      <c r="DW258" s="9"/>
      <c r="DX258" s="9"/>
      <c r="DY258" s="9"/>
      <c r="DZ258" s="9"/>
      <c r="EA258" s="9"/>
      <c r="EB258" s="9"/>
      <c r="EC258" s="9"/>
      <c r="ED258" s="9"/>
      <c r="EE258" s="9"/>
      <c r="EF258" s="9"/>
      <c r="EG258" s="9"/>
      <c r="EH258" s="9"/>
      <c r="EI258" s="9"/>
      <c r="EJ258" s="9"/>
      <c r="EK258" s="9"/>
      <c r="EL258" s="9"/>
      <c r="EM258" s="9"/>
      <c r="EN258" s="9"/>
      <c r="EO258" s="9"/>
      <c r="EP258" s="9"/>
      <c r="EQ258" s="9"/>
      <c r="ER258" s="9"/>
      <c r="ES258" s="9"/>
      <c r="ET258" s="9"/>
      <c r="EU258" s="10"/>
      <c r="EV258" s="9"/>
      <c r="EW258" s="9"/>
      <c r="EX258" s="9"/>
      <c r="EY258" s="9"/>
      <c r="EZ258" s="9"/>
      <c r="FA258" s="9"/>
      <c r="FB258" s="9"/>
      <c r="FC258" s="9"/>
      <c r="FD258" s="9"/>
      <c r="FE258" s="9"/>
      <c r="FF258" s="9"/>
      <c r="FG258" s="9"/>
      <c r="FH258" s="9"/>
      <c r="FI258" s="9"/>
      <c r="FJ258" s="9"/>
      <c r="FK258" s="9"/>
      <c r="FL258" s="9"/>
      <c r="FM258" s="9"/>
      <c r="FN258" s="9"/>
      <c r="FO258" s="9"/>
      <c r="FP258" s="9"/>
      <c r="FQ258" s="9"/>
      <c r="FR258" s="9"/>
      <c r="FS258" s="9"/>
      <c r="FT258" s="9"/>
      <c r="FU258" s="9"/>
      <c r="FV258" s="9"/>
      <c r="FW258" s="10"/>
      <c r="FX258" s="9"/>
      <c r="FY258" s="9"/>
      <c r="FZ258" s="9"/>
      <c r="GA258" s="9"/>
      <c r="GB258" s="9"/>
      <c r="GC258" s="9"/>
      <c r="GD258" s="9"/>
      <c r="GE258" s="9"/>
      <c r="GF258" s="9"/>
      <c r="GG258" s="9"/>
      <c r="GH258" s="9"/>
      <c r="GI258" s="9"/>
      <c r="GJ258" s="9"/>
      <c r="GK258" s="9"/>
      <c r="GL258" s="9"/>
      <c r="GM258" s="9"/>
      <c r="GN258" s="9"/>
      <c r="GO258" s="9"/>
      <c r="GP258" s="9"/>
      <c r="GQ258" s="9"/>
      <c r="GR258" s="9"/>
      <c r="GS258" s="9"/>
      <c r="GT258" s="9"/>
      <c r="GU258" s="9"/>
      <c r="GV258" s="9"/>
      <c r="GW258" s="9"/>
      <c r="GX258" s="9"/>
      <c r="GY258" s="10"/>
      <c r="GZ258" s="9"/>
      <c r="HA258" s="9"/>
    </row>
    <row r="259" spans="1:209" s="2" customFormat="1" ht="17" customHeight="1">
      <c r="A259" s="14" t="s">
        <v>255</v>
      </c>
      <c r="B259" s="35">
        <v>2274</v>
      </c>
      <c r="C259" s="35">
        <v>3064.8</v>
      </c>
      <c r="D259" s="4">
        <f t="shared" si="72"/>
        <v>1.2147757255936675</v>
      </c>
      <c r="E259" s="11">
        <v>10</v>
      </c>
      <c r="F259" s="5" t="s">
        <v>362</v>
      </c>
      <c r="G259" s="5" t="s">
        <v>362</v>
      </c>
      <c r="H259" s="5" t="s">
        <v>362</v>
      </c>
      <c r="I259" s="5" t="s">
        <v>362</v>
      </c>
      <c r="J259" s="5" t="s">
        <v>362</v>
      </c>
      <c r="K259" s="5" t="s">
        <v>362</v>
      </c>
      <c r="L259" s="5" t="s">
        <v>362</v>
      </c>
      <c r="M259" s="5" t="s">
        <v>362</v>
      </c>
      <c r="N259" s="35">
        <v>440.8</v>
      </c>
      <c r="O259" s="35">
        <v>596.1</v>
      </c>
      <c r="P259" s="4">
        <f t="shared" si="73"/>
        <v>1.2152313974591651</v>
      </c>
      <c r="Q259" s="11">
        <v>20</v>
      </c>
      <c r="R259" s="35">
        <v>87</v>
      </c>
      <c r="S259" s="35">
        <v>102.9</v>
      </c>
      <c r="T259" s="4">
        <f t="shared" si="74"/>
        <v>1.1827586206896552</v>
      </c>
      <c r="U259" s="11">
        <v>10</v>
      </c>
      <c r="V259" s="35">
        <v>27</v>
      </c>
      <c r="W259" s="35">
        <v>27.1</v>
      </c>
      <c r="X259" s="4">
        <f t="shared" si="75"/>
        <v>1.0037037037037038</v>
      </c>
      <c r="Y259" s="11">
        <v>40</v>
      </c>
      <c r="Z259" s="35">
        <v>63820</v>
      </c>
      <c r="AA259" s="35">
        <v>63027</v>
      </c>
      <c r="AB259" s="4">
        <f t="shared" si="76"/>
        <v>0.98757442807897211</v>
      </c>
      <c r="AC259" s="11">
        <v>5</v>
      </c>
      <c r="AD259" s="11">
        <v>681</v>
      </c>
      <c r="AE259" s="11">
        <v>755</v>
      </c>
      <c r="AF259" s="4">
        <f t="shared" si="77"/>
        <v>1.1086637298091042</v>
      </c>
      <c r="AG259" s="11">
        <v>20</v>
      </c>
      <c r="AH259" s="5" t="s">
        <v>362</v>
      </c>
      <c r="AI259" s="5" t="s">
        <v>362</v>
      </c>
      <c r="AJ259" s="5" t="s">
        <v>362</v>
      </c>
      <c r="AK259" s="5" t="s">
        <v>362</v>
      </c>
      <c r="AL259" s="5" t="s">
        <v>362</v>
      </c>
      <c r="AM259" s="5" t="s">
        <v>362</v>
      </c>
      <c r="AN259" s="5" t="s">
        <v>362</v>
      </c>
      <c r="AO259" s="5" t="s">
        <v>362</v>
      </c>
      <c r="AP259" s="44">
        <f t="shared" si="86"/>
        <v>1.1003739647308726</v>
      </c>
      <c r="AQ259" s="45">
        <v>2247</v>
      </c>
      <c r="AR259" s="35">
        <f t="shared" si="78"/>
        <v>612.81818181818187</v>
      </c>
      <c r="AS259" s="35">
        <f t="shared" si="79"/>
        <v>674.3</v>
      </c>
      <c r="AT259" s="35">
        <f t="shared" si="80"/>
        <v>61.481818181818085</v>
      </c>
      <c r="AU259" s="35">
        <v>211.9</v>
      </c>
      <c r="AV259" s="35">
        <v>229.5</v>
      </c>
      <c r="AW259" s="35">
        <f t="shared" si="81"/>
        <v>232.9</v>
      </c>
      <c r="AX259" s="35"/>
      <c r="AY259" s="35">
        <f t="shared" si="82"/>
        <v>232.9</v>
      </c>
      <c r="AZ259" s="35">
        <v>0</v>
      </c>
      <c r="BA259" s="35">
        <f t="shared" si="83"/>
        <v>232.9</v>
      </c>
      <c r="BB259" s="35"/>
      <c r="BC259" s="35">
        <f t="shared" si="84"/>
        <v>232.9</v>
      </c>
      <c r="BD259" s="35">
        <v>236.4</v>
      </c>
      <c r="BE259" s="35">
        <f t="shared" si="85"/>
        <v>-3.5</v>
      </c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9"/>
      <c r="BU259" s="9"/>
      <c r="BV259" s="9"/>
      <c r="BW259" s="9"/>
      <c r="BX259" s="9"/>
      <c r="BY259" s="9"/>
      <c r="BZ259" s="9"/>
      <c r="CA259" s="9"/>
      <c r="CB259" s="9"/>
      <c r="CC259" s="9"/>
      <c r="CD259" s="9"/>
      <c r="CE259" s="9"/>
      <c r="CF259" s="9"/>
      <c r="CG259" s="9"/>
      <c r="CH259" s="9"/>
      <c r="CI259" s="9"/>
      <c r="CJ259" s="9"/>
      <c r="CK259" s="9"/>
      <c r="CL259" s="9"/>
      <c r="CM259" s="9"/>
      <c r="CN259" s="9"/>
      <c r="CO259" s="9"/>
      <c r="CP259" s="9"/>
      <c r="CQ259" s="10"/>
      <c r="CR259" s="9"/>
      <c r="CS259" s="9"/>
      <c r="CT259" s="9"/>
      <c r="CU259" s="9"/>
      <c r="CV259" s="9"/>
      <c r="CW259" s="9"/>
      <c r="CX259" s="9"/>
      <c r="CY259" s="9"/>
      <c r="CZ259" s="9"/>
      <c r="DA259" s="9"/>
      <c r="DB259" s="9"/>
      <c r="DC259" s="9"/>
      <c r="DD259" s="9"/>
      <c r="DE259" s="9"/>
      <c r="DF259" s="9"/>
      <c r="DG259" s="9"/>
      <c r="DH259" s="9"/>
      <c r="DI259" s="9"/>
      <c r="DJ259" s="9"/>
      <c r="DK259" s="9"/>
      <c r="DL259" s="9"/>
      <c r="DM259" s="9"/>
      <c r="DN259" s="9"/>
      <c r="DO259" s="9"/>
      <c r="DP259" s="9"/>
      <c r="DQ259" s="9"/>
      <c r="DR259" s="9"/>
      <c r="DS259" s="10"/>
      <c r="DT259" s="9"/>
      <c r="DU259" s="9"/>
      <c r="DV259" s="9"/>
      <c r="DW259" s="9"/>
      <c r="DX259" s="9"/>
      <c r="DY259" s="9"/>
      <c r="DZ259" s="9"/>
      <c r="EA259" s="9"/>
      <c r="EB259" s="9"/>
      <c r="EC259" s="9"/>
      <c r="ED259" s="9"/>
      <c r="EE259" s="9"/>
      <c r="EF259" s="9"/>
      <c r="EG259" s="9"/>
      <c r="EH259" s="9"/>
      <c r="EI259" s="9"/>
      <c r="EJ259" s="9"/>
      <c r="EK259" s="9"/>
      <c r="EL259" s="9"/>
      <c r="EM259" s="9"/>
      <c r="EN259" s="9"/>
      <c r="EO259" s="9"/>
      <c r="EP259" s="9"/>
      <c r="EQ259" s="9"/>
      <c r="ER259" s="9"/>
      <c r="ES259" s="9"/>
      <c r="ET259" s="9"/>
      <c r="EU259" s="10"/>
      <c r="EV259" s="9"/>
      <c r="EW259" s="9"/>
      <c r="EX259" s="9"/>
      <c r="EY259" s="9"/>
      <c r="EZ259" s="9"/>
      <c r="FA259" s="9"/>
      <c r="FB259" s="9"/>
      <c r="FC259" s="9"/>
      <c r="FD259" s="9"/>
      <c r="FE259" s="9"/>
      <c r="FF259" s="9"/>
      <c r="FG259" s="9"/>
      <c r="FH259" s="9"/>
      <c r="FI259" s="9"/>
      <c r="FJ259" s="9"/>
      <c r="FK259" s="9"/>
      <c r="FL259" s="9"/>
      <c r="FM259" s="9"/>
      <c r="FN259" s="9"/>
      <c r="FO259" s="9"/>
      <c r="FP259" s="9"/>
      <c r="FQ259" s="9"/>
      <c r="FR259" s="9"/>
      <c r="FS259" s="9"/>
      <c r="FT259" s="9"/>
      <c r="FU259" s="9"/>
      <c r="FV259" s="9"/>
      <c r="FW259" s="10"/>
      <c r="FX259" s="9"/>
      <c r="FY259" s="9"/>
      <c r="FZ259" s="9"/>
      <c r="GA259" s="9"/>
      <c r="GB259" s="9"/>
      <c r="GC259" s="9"/>
      <c r="GD259" s="9"/>
      <c r="GE259" s="9"/>
      <c r="GF259" s="9"/>
      <c r="GG259" s="9"/>
      <c r="GH259" s="9"/>
      <c r="GI259" s="9"/>
      <c r="GJ259" s="9"/>
      <c r="GK259" s="9"/>
      <c r="GL259" s="9"/>
      <c r="GM259" s="9"/>
      <c r="GN259" s="9"/>
      <c r="GO259" s="9"/>
      <c r="GP259" s="9"/>
      <c r="GQ259" s="9"/>
      <c r="GR259" s="9"/>
      <c r="GS259" s="9"/>
      <c r="GT259" s="9"/>
      <c r="GU259" s="9"/>
      <c r="GV259" s="9"/>
      <c r="GW259" s="9"/>
      <c r="GX259" s="9"/>
      <c r="GY259" s="10"/>
      <c r="GZ259" s="9"/>
      <c r="HA259" s="9"/>
    </row>
    <row r="260" spans="1:209" s="2" customFormat="1" ht="17" customHeight="1">
      <c r="A260" s="14" t="s">
        <v>256</v>
      </c>
      <c r="B260" s="35">
        <v>35198</v>
      </c>
      <c r="C260" s="35">
        <v>34458.9</v>
      </c>
      <c r="D260" s="4">
        <f t="shared" si="72"/>
        <v>0.97900164782089893</v>
      </c>
      <c r="E260" s="11">
        <v>10</v>
      </c>
      <c r="F260" s="5" t="s">
        <v>362</v>
      </c>
      <c r="G260" s="5" t="s">
        <v>362</v>
      </c>
      <c r="H260" s="5" t="s">
        <v>362</v>
      </c>
      <c r="I260" s="5" t="s">
        <v>362</v>
      </c>
      <c r="J260" s="5" t="s">
        <v>362</v>
      </c>
      <c r="K260" s="5" t="s">
        <v>362</v>
      </c>
      <c r="L260" s="5" t="s">
        <v>362</v>
      </c>
      <c r="M260" s="5" t="s">
        <v>362</v>
      </c>
      <c r="N260" s="35">
        <v>2769.6</v>
      </c>
      <c r="O260" s="35">
        <v>2850.4</v>
      </c>
      <c r="P260" s="4">
        <f t="shared" si="73"/>
        <v>1.0291738879260544</v>
      </c>
      <c r="Q260" s="11">
        <v>20</v>
      </c>
      <c r="R260" s="35">
        <v>29.5</v>
      </c>
      <c r="S260" s="35">
        <v>30.5</v>
      </c>
      <c r="T260" s="4">
        <f t="shared" si="74"/>
        <v>1.0338983050847457</v>
      </c>
      <c r="U260" s="11">
        <v>25</v>
      </c>
      <c r="V260" s="35">
        <v>32</v>
      </c>
      <c r="W260" s="35">
        <v>34.700000000000003</v>
      </c>
      <c r="X260" s="4">
        <f t="shared" si="75"/>
        <v>1.0843750000000001</v>
      </c>
      <c r="Y260" s="11">
        <v>25</v>
      </c>
      <c r="Z260" s="35">
        <v>203890</v>
      </c>
      <c r="AA260" s="35">
        <v>188181</v>
      </c>
      <c r="AB260" s="4">
        <f t="shared" si="76"/>
        <v>0.9229535533866301</v>
      </c>
      <c r="AC260" s="11">
        <v>5</v>
      </c>
      <c r="AD260" s="11">
        <v>593</v>
      </c>
      <c r="AE260" s="11">
        <v>584</v>
      </c>
      <c r="AF260" s="4">
        <f t="shared" si="77"/>
        <v>0.98482293423271505</v>
      </c>
      <c r="AG260" s="11">
        <v>20</v>
      </c>
      <c r="AH260" s="5" t="s">
        <v>362</v>
      </c>
      <c r="AI260" s="5" t="s">
        <v>362</v>
      </c>
      <c r="AJ260" s="5" t="s">
        <v>362</v>
      </c>
      <c r="AK260" s="5" t="s">
        <v>362</v>
      </c>
      <c r="AL260" s="5" t="s">
        <v>362</v>
      </c>
      <c r="AM260" s="5" t="s">
        <v>362</v>
      </c>
      <c r="AN260" s="5" t="s">
        <v>362</v>
      </c>
      <c r="AO260" s="5" t="s">
        <v>362</v>
      </c>
      <c r="AP260" s="44">
        <f t="shared" si="86"/>
        <v>1.0251576506232019</v>
      </c>
      <c r="AQ260" s="45">
        <v>1553</v>
      </c>
      <c r="AR260" s="35">
        <f t="shared" si="78"/>
        <v>423.54545454545456</v>
      </c>
      <c r="AS260" s="35">
        <f t="shared" si="79"/>
        <v>434.2</v>
      </c>
      <c r="AT260" s="35">
        <f t="shared" si="80"/>
        <v>10.654545454545428</v>
      </c>
      <c r="AU260" s="35">
        <v>142.4</v>
      </c>
      <c r="AV260" s="35">
        <v>147.6</v>
      </c>
      <c r="AW260" s="35">
        <f t="shared" si="81"/>
        <v>144.19999999999999</v>
      </c>
      <c r="AX260" s="35"/>
      <c r="AY260" s="35">
        <f t="shared" si="82"/>
        <v>144.19999999999999</v>
      </c>
      <c r="AZ260" s="35">
        <v>0</v>
      </c>
      <c r="BA260" s="35">
        <f t="shared" si="83"/>
        <v>144.19999999999999</v>
      </c>
      <c r="BB260" s="35">
        <f>MIN(BA260,58.8)</f>
        <v>58.8</v>
      </c>
      <c r="BC260" s="35">
        <f t="shared" si="84"/>
        <v>85.4</v>
      </c>
      <c r="BD260" s="35">
        <v>87.6</v>
      </c>
      <c r="BE260" s="35">
        <f t="shared" si="85"/>
        <v>-2.2000000000000002</v>
      </c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9"/>
      <c r="BU260" s="9"/>
      <c r="BV260" s="9"/>
      <c r="BW260" s="9"/>
      <c r="BX260" s="9"/>
      <c r="BY260" s="9"/>
      <c r="BZ260" s="9"/>
      <c r="CA260" s="9"/>
      <c r="CB260" s="9"/>
      <c r="CC260" s="9"/>
      <c r="CD260" s="9"/>
      <c r="CE260" s="9"/>
      <c r="CF260" s="9"/>
      <c r="CG260" s="9"/>
      <c r="CH260" s="9"/>
      <c r="CI260" s="9"/>
      <c r="CJ260" s="9"/>
      <c r="CK260" s="9"/>
      <c r="CL260" s="9"/>
      <c r="CM260" s="9"/>
      <c r="CN260" s="9"/>
      <c r="CO260" s="9"/>
      <c r="CP260" s="9"/>
      <c r="CQ260" s="10"/>
      <c r="CR260" s="9"/>
      <c r="CS260" s="9"/>
      <c r="CT260" s="9"/>
      <c r="CU260" s="9"/>
      <c r="CV260" s="9"/>
      <c r="CW260" s="9"/>
      <c r="CX260" s="9"/>
      <c r="CY260" s="9"/>
      <c r="CZ260" s="9"/>
      <c r="DA260" s="9"/>
      <c r="DB260" s="9"/>
      <c r="DC260" s="9"/>
      <c r="DD260" s="9"/>
      <c r="DE260" s="9"/>
      <c r="DF260" s="9"/>
      <c r="DG260" s="9"/>
      <c r="DH260" s="9"/>
      <c r="DI260" s="9"/>
      <c r="DJ260" s="9"/>
      <c r="DK260" s="9"/>
      <c r="DL260" s="9"/>
      <c r="DM260" s="9"/>
      <c r="DN260" s="9"/>
      <c r="DO260" s="9"/>
      <c r="DP260" s="9"/>
      <c r="DQ260" s="9"/>
      <c r="DR260" s="9"/>
      <c r="DS260" s="10"/>
      <c r="DT260" s="9"/>
      <c r="DU260" s="9"/>
      <c r="DV260" s="9"/>
      <c r="DW260" s="9"/>
      <c r="DX260" s="9"/>
      <c r="DY260" s="9"/>
      <c r="DZ260" s="9"/>
      <c r="EA260" s="9"/>
      <c r="EB260" s="9"/>
      <c r="EC260" s="9"/>
      <c r="ED260" s="9"/>
      <c r="EE260" s="9"/>
      <c r="EF260" s="9"/>
      <c r="EG260" s="9"/>
      <c r="EH260" s="9"/>
      <c r="EI260" s="9"/>
      <c r="EJ260" s="9"/>
      <c r="EK260" s="9"/>
      <c r="EL260" s="9"/>
      <c r="EM260" s="9"/>
      <c r="EN260" s="9"/>
      <c r="EO260" s="9"/>
      <c r="EP260" s="9"/>
      <c r="EQ260" s="9"/>
      <c r="ER260" s="9"/>
      <c r="ES260" s="9"/>
      <c r="ET260" s="9"/>
      <c r="EU260" s="10"/>
      <c r="EV260" s="9"/>
      <c r="EW260" s="9"/>
      <c r="EX260" s="9"/>
      <c r="EY260" s="9"/>
      <c r="EZ260" s="9"/>
      <c r="FA260" s="9"/>
      <c r="FB260" s="9"/>
      <c r="FC260" s="9"/>
      <c r="FD260" s="9"/>
      <c r="FE260" s="9"/>
      <c r="FF260" s="9"/>
      <c r="FG260" s="9"/>
      <c r="FH260" s="9"/>
      <c r="FI260" s="9"/>
      <c r="FJ260" s="9"/>
      <c r="FK260" s="9"/>
      <c r="FL260" s="9"/>
      <c r="FM260" s="9"/>
      <c r="FN260" s="9"/>
      <c r="FO260" s="9"/>
      <c r="FP260" s="9"/>
      <c r="FQ260" s="9"/>
      <c r="FR260" s="9"/>
      <c r="FS260" s="9"/>
      <c r="FT260" s="9"/>
      <c r="FU260" s="9"/>
      <c r="FV260" s="9"/>
      <c r="FW260" s="10"/>
      <c r="FX260" s="9"/>
      <c r="FY260" s="9"/>
      <c r="FZ260" s="9"/>
      <c r="GA260" s="9"/>
      <c r="GB260" s="9"/>
      <c r="GC260" s="9"/>
      <c r="GD260" s="9"/>
      <c r="GE260" s="9"/>
      <c r="GF260" s="9"/>
      <c r="GG260" s="9"/>
      <c r="GH260" s="9"/>
      <c r="GI260" s="9"/>
      <c r="GJ260" s="9"/>
      <c r="GK260" s="9"/>
      <c r="GL260" s="9"/>
      <c r="GM260" s="9"/>
      <c r="GN260" s="9"/>
      <c r="GO260" s="9"/>
      <c r="GP260" s="9"/>
      <c r="GQ260" s="9"/>
      <c r="GR260" s="9"/>
      <c r="GS260" s="9"/>
      <c r="GT260" s="9"/>
      <c r="GU260" s="9"/>
      <c r="GV260" s="9"/>
      <c r="GW260" s="9"/>
      <c r="GX260" s="9"/>
      <c r="GY260" s="10"/>
      <c r="GZ260" s="9"/>
      <c r="HA260" s="9"/>
    </row>
    <row r="261" spans="1:209" s="2" customFormat="1" ht="17" customHeight="1">
      <c r="A261" s="14" t="s">
        <v>257</v>
      </c>
      <c r="B261" s="35">
        <v>7756</v>
      </c>
      <c r="C261" s="35">
        <v>6483</v>
      </c>
      <c r="D261" s="4">
        <f t="shared" si="72"/>
        <v>0.83586900464156777</v>
      </c>
      <c r="E261" s="11">
        <v>10</v>
      </c>
      <c r="F261" s="5" t="s">
        <v>362</v>
      </c>
      <c r="G261" s="5" t="s">
        <v>362</v>
      </c>
      <c r="H261" s="5" t="s">
        <v>362</v>
      </c>
      <c r="I261" s="5" t="s">
        <v>362</v>
      </c>
      <c r="J261" s="5" t="s">
        <v>362</v>
      </c>
      <c r="K261" s="5" t="s">
        <v>362</v>
      </c>
      <c r="L261" s="5" t="s">
        <v>362</v>
      </c>
      <c r="M261" s="5" t="s">
        <v>362</v>
      </c>
      <c r="N261" s="35">
        <v>1064.0999999999999</v>
      </c>
      <c r="O261" s="35">
        <v>1205.5</v>
      </c>
      <c r="P261" s="4">
        <f t="shared" si="73"/>
        <v>1.1328822479090312</v>
      </c>
      <c r="Q261" s="11">
        <v>20</v>
      </c>
      <c r="R261" s="35">
        <v>8</v>
      </c>
      <c r="S261" s="35">
        <v>8.6999999999999993</v>
      </c>
      <c r="T261" s="4">
        <f t="shared" si="74"/>
        <v>1.0874999999999999</v>
      </c>
      <c r="U261" s="11">
        <v>15</v>
      </c>
      <c r="V261" s="35">
        <v>11.5</v>
      </c>
      <c r="W261" s="35">
        <v>11.4</v>
      </c>
      <c r="X261" s="4">
        <f t="shared" si="75"/>
        <v>0.99130434782608701</v>
      </c>
      <c r="Y261" s="11">
        <v>35</v>
      </c>
      <c r="Z261" s="35">
        <v>26880</v>
      </c>
      <c r="AA261" s="35">
        <v>25781</v>
      </c>
      <c r="AB261" s="4">
        <f t="shared" si="76"/>
        <v>0.95911458333333333</v>
      </c>
      <c r="AC261" s="11">
        <v>5</v>
      </c>
      <c r="AD261" s="11">
        <v>142</v>
      </c>
      <c r="AE261" s="11">
        <v>142</v>
      </c>
      <c r="AF261" s="4">
        <f t="shared" si="77"/>
        <v>1</v>
      </c>
      <c r="AG261" s="11">
        <v>20</v>
      </c>
      <c r="AH261" s="5" t="s">
        <v>362</v>
      </c>
      <c r="AI261" s="5" t="s">
        <v>362</v>
      </c>
      <c r="AJ261" s="5" t="s">
        <v>362</v>
      </c>
      <c r="AK261" s="5" t="s">
        <v>362</v>
      </c>
      <c r="AL261" s="5" t="s">
        <v>362</v>
      </c>
      <c r="AM261" s="5" t="s">
        <v>362</v>
      </c>
      <c r="AN261" s="5" t="s">
        <v>362</v>
      </c>
      <c r="AO261" s="5" t="s">
        <v>362</v>
      </c>
      <c r="AP261" s="44">
        <f t="shared" si="86"/>
        <v>1.017333905668343</v>
      </c>
      <c r="AQ261" s="45">
        <v>375</v>
      </c>
      <c r="AR261" s="35">
        <f t="shared" si="78"/>
        <v>102.27272727272728</v>
      </c>
      <c r="AS261" s="35">
        <f t="shared" si="79"/>
        <v>104</v>
      </c>
      <c r="AT261" s="35">
        <f t="shared" si="80"/>
        <v>1.7272727272727195</v>
      </c>
      <c r="AU261" s="35">
        <v>27.5</v>
      </c>
      <c r="AV261" s="35">
        <v>33.5</v>
      </c>
      <c r="AW261" s="35">
        <f t="shared" si="81"/>
        <v>43</v>
      </c>
      <c r="AX261" s="35"/>
      <c r="AY261" s="35">
        <f t="shared" si="82"/>
        <v>43</v>
      </c>
      <c r="AZ261" s="35">
        <v>0</v>
      </c>
      <c r="BA261" s="35">
        <f t="shared" si="83"/>
        <v>43</v>
      </c>
      <c r="BB261" s="35"/>
      <c r="BC261" s="35">
        <f t="shared" si="84"/>
        <v>43</v>
      </c>
      <c r="BD261" s="35">
        <v>43.3</v>
      </c>
      <c r="BE261" s="35">
        <f t="shared" si="85"/>
        <v>-0.3</v>
      </c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9"/>
      <c r="BU261" s="9"/>
      <c r="BV261" s="9"/>
      <c r="BW261" s="9"/>
      <c r="BX261" s="9"/>
      <c r="BY261" s="9"/>
      <c r="BZ261" s="9"/>
      <c r="CA261" s="9"/>
      <c r="CB261" s="9"/>
      <c r="CC261" s="9"/>
      <c r="CD261" s="9"/>
      <c r="CE261" s="9"/>
      <c r="CF261" s="9"/>
      <c r="CG261" s="9"/>
      <c r="CH261" s="9"/>
      <c r="CI261" s="9"/>
      <c r="CJ261" s="9"/>
      <c r="CK261" s="9"/>
      <c r="CL261" s="9"/>
      <c r="CM261" s="9"/>
      <c r="CN261" s="9"/>
      <c r="CO261" s="9"/>
      <c r="CP261" s="9"/>
      <c r="CQ261" s="10"/>
      <c r="CR261" s="9"/>
      <c r="CS261" s="9"/>
      <c r="CT261" s="9"/>
      <c r="CU261" s="9"/>
      <c r="CV261" s="9"/>
      <c r="CW261" s="9"/>
      <c r="CX261" s="9"/>
      <c r="CY261" s="9"/>
      <c r="CZ261" s="9"/>
      <c r="DA261" s="9"/>
      <c r="DB261" s="9"/>
      <c r="DC261" s="9"/>
      <c r="DD261" s="9"/>
      <c r="DE261" s="9"/>
      <c r="DF261" s="9"/>
      <c r="DG261" s="9"/>
      <c r="DH261" s="9"/>
      <c r="DI261" s="9"/>
      <c r="DJ261" s="9"/>
      <c r="DK261" s="9"/>
      <c r="DL261" s="9"/>
      <c r="DM261" s="9"/>
      <c r="DN261" s="9"/>
      <c r="DO261" s="9"/>
      <c r="DP261" s="9"/>
      <c r="DQ261" s="9"/>
      <c r="DR261" s="9"/>
      <c r="DS261" s="10"/>
      <c r="DT261" s="9"/>
      <c r="DU261" s="9"/>
      <c r="DV261" s="9"/>
      <c r="DW261" s="9"/>
      <c r="DX261" s="9"/>
      <c r="DY261" s="9"/>
      <c r="DZ261" s="9"/>
      <c r="EA261" s="9"/>
      <c r="EB261" s="9"/>
      <c r="EC261" s="9"/>
      <c r="ED261" s="9"/>
      <c r="EE261" s="9"/>
      <c r="EF261" s="9"/>
      <c r="EG261" s="9"/>
      <c r="EH261" s="9"/>
      <c r="EI261" s="9"/>
      <c r="EJ261" s="9"/>
      <c r="EK261" s="9"/>
      <c r="EL261" s="9"/>
      <c r="EM261" s="9"/>
      <c r="EN261" s="9"/>
      <c r="EO261" s="9"/>
      <c r="EP261" s="9"/>
      <c r="EQ261" s="9"/>
      <c r="ER261" s="9"/>
      <c r="ES261" s="9"/>
      <c r="ET261" s="9"/>
      <c r="EU261" s="10"/>
      <c r="EV261" s="9"/>
      <c r="EW261" s="9"/>
      <c r="EX261" s="9"/>
      <c r="EY261" s="9"/>
      <c r="EZ261" s="9"/>
      <c r="FA261" s="9"/>
      <c r="FB261" s="9"/>
      <c r="FC261" s="9"/>
      <c r="FD261" s="9"/>
      <c r="FE261" s="9"/>
      <c r="FF261" s="9"/>
      <c r="FG261" s="9"/>
      <c r="FH261" s="9"/>
      <c r="FI261" s="9"/>
      <c r="FJ261" s="9"/>
      <c r="FK261" s="9"/>
      <c r="FL261" s="9"/>
      <c r="FM261" s="9"/>
      <c r="FN261" s="9"/>
      <c r="FO261" s="9"/>
      <c r="FP261" s="9"/>
      <c r="FQ261" s="9"/>
      <c r="FR261" s="9"/>
      <c r="FS261" s="9"/>
      <c r="FT261" s="9"/>
      <c r="FU261" s="9"/>
      <c r="FV261" s="9"/>
      <c r="FW261" s="10"/>
      <c r="FX261" s="9"/>
      <c r="FY261" s="9"/>
      <c r="FZ261" s="9"/>
      <c r="GA261" s="9"/>
      <c r="GB261" s="9"/>
      <c r="GC261" s="9"/>
      <c r="GD261" s="9"/>
      <c r="GE261" s="9"/>
      <c r="GF261" s="9"/>
      <c r="GG261" s="9"/>
      <c r="GH261" s="9"/>
      <c r="GI261" s="9"/>
      <c r="GJ261" s="9"/>
      <c r="GK261" s="9"/>
      <c r="GL261" s="9"/>
      <c r="GM261" s="9"/>
      <c r="GN261" s="9"/>
      <c r="GO261" s="9"/>
      <c r="GP261" s="9"/>
      <c r="GQ261" s="9"/>
      <c r="GR261" s="9"/>
      <c r="GS261" s="9"/>
      <c r="GT261" s="9"/>
      <c r="GU261" s="9"/>
      <c r="GV261" s="9"/>
      <c r="GW261" s="9"/>
      <c r="GX261" s="9"/>
      <c r="GY261" s="10"/>
      <c r="GZ261" s="9"/>
      <c r="HA261" s="9"/>
    </row>
    <row r="262" spans="1:209" s="2" customFormat="1" ht="17" customHeight="1">
      <c r="A262" s="18" t="s">
        <v>258</v>
      </c>
      <c r="B262" s="61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35"/>
      <c r="AA262" s="35"/>
      <c r="AB262" s="11"/>
      <c r="AC262" s="11"/>
      <c r="AD262" s="11"/>
      <c r="AE262" s="11"/>
      <c r="AF262" s="11"/>
      <c r="AG262" s="11"/>
      <c r="AH262" s="11"/>
      <c r="AI262" s="11"/>
      <c r="AJ262" s="11"/>
      <c r="AK262" s="11"/>
      <c r="AL262" s="11"/>
      <c r="AM262" s="11"/>
      <c r="AN262" s="11"/>
      <c r="AO262" s="11"/>
      <c r="AP262" s="11"/>
      <c r="AQ262" s="11"/>
      <c r="AR262" s="11"/>
      <c r="AS262" s="11"/>
      <c r="AT262" s="11"/>
      <c r="AU262" s="11"/>
      <c r="AV262" s="11"/>
      <c r="AW262" s="11"/>
      <c r="AX262" s="11"/>
      <c r="AY262" s="11"/>
      <c r="AZ262" s="11"/>
      <c r="BA262" s="11"/>
      <c r="BB262" s="11"/>
      <c r="BC262" s="35"/>
      <c r="BD262" s="35"/>
      <c r="BE262" s="35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9"/>
      <c r="BU262" s="9"/>
      <c r="BV262" s="9"/>
      <c r="BW262" s="9"/>
      <c r="BX262" s="9"/>
      <c r="BY262" s="9"/>
      <c r="BZ262" s="9"/>
      <c r="CA262" s="9"/>
      <c r="CB262" s="9"/>
      <c r="CC262" s="9"/>
      <c r="CD262" s="9"/>
      <c r="CE262" s="9"/>
      <c r="CF262" s="9"/>
      <c r="CG262" s="9"/>
      <c r="CH262" s="9"/>
      <c r="CI262" s="9"/>
      <c r="CJ262" s="9"/>
      <c r="CK262" s="9"/>
      <c r="CL262" s="9"/>
      <c r="CM262" s="9"/>
      <c r="CN262" s="9"/>
      <c r="CO262" s="9"/>
      <c r="CP262" s="9"/>
      <c r="CQ262" s="10"/>
      <c r="CR262" s="9"/>
      <c r="CS262" s="9"/>
      <c r="CT262" s="9"/>
      <c r="CU262" s="9"/>
      <c r="CV262" s="9"/>
      <c r="CW262" s="9"/>
      <c r="CX262" s="9"/>
      <c r="CY262" s="9"/>
      <c r="CZ262" s="9"/>
      <c r="DA262" s="9"/>
      <c r="DB262" s="9"/>
      <c r="DC262" s="9"/>
      <c r="DD262" s="9"/>
      <c r="DE262" s="9"/>
      <c r="DF262" s="9"/>
      <c r="DG262" s="9"/>
      <c r="DH262" s="9"/>
      <c r="DI262" s="9"/>
      <c r="DJ262" s="9"/>
      <c r="DK262" s="9"/>
      <c r="DL262" s="9"/>
      <c r="DM262" s="9"/>
      <c r="DN262" s="9"/>
      <c r="DO262" s="9"/>
      <c r="DP262" s="9"/>
      <c r="DQ262" s="9"/>
      <c r="DR262" s="9"/>
      <c r="DS262" s="10"/>
      <c r="DT262" s="9"/>
      <c r="DU262" s="9"/>
      <c r="DV262" s="9"/>
      <c r="DW262" s="9"/>
      <c r="DX262" s="9"/>
      <c r="DY262" s="9"/>
      <c r="DZ262" s="9"/>
      <c r="EA262" s="9"/>
      <c r="EB262" s="9"/>
      <c r="EC262" s="9"/>
      <c r="ED262" s="9"/>
      <c r="EE262" s="9"/>
      <c r="EF262" s="9"/>
      <c r="EG262" s="9"/>
      <c r="EH262" s="9"/>
      <c r="EI262" s="9"/>
      <c r="EJ262" s="9"/>
      <c r="EK262" s="9"/>
      <c r="EL262" s="9"/>
      <c r="EM262" s="9"/>
      <c r="EN262" s="9"/>
      <c r="EO262" s="9"/>
      <c r="EP262" s="9"/>
      <c r="EQ262" s="9"/>
      <c r="ER262" s="9"/>
      <c r="ES262" s="9"/>
      <c r="ET262" s="9"/>
      <c r="EU262" s="10"/>
      <c r="EV262" s="9"/>
      <c r="EW262" s="9"/>
      <c r="EX262" s="9"/>
      <c r="EY262" s="9"/>
      <c r="EZ262" s="9"/>
      <c r="FA262" s="9"/>
      <c r="FB262" s="9"/>
      <c r="FC262" s="9"/>
      <c r="FD262" s="9"/>
      <c r="FE262" s="9"/>
      <c r="FF262" s="9"/>
      <c r="FG262" s="9"/>
      <c r="FH262" s="9"/>
      <c r="FI262" s="9"/>
      <c r="FJ262" s="9"/>
      <c r="FK262" s="9"/>
      <c r="FL262" s="9"/>
      <c r="FM262" s="9"/>
      <c r="FN262" s="9"/>
      <c r="FO262" s="9"/>
      <c r="FP262" s="9"/>
      <c r="FQ262" s="9"/>
      <c r="FR262" s="9"/>
      <c r="FS262" s="9"/>
      <c r="FT262" s="9"/>
      <c r="FU262" s="9"/>
      <c r="FV262" s="9"/>
      <c r="FW262" s="10"/>
      <c r="FX262" s="9"/>
      <c r="FY262" s="9"/>
      <c r="FZ262" s="9"/>
      <c r="GA262" s="9"/>
      <c r="GB262" s="9"/>
      <c r="GC262" s="9"/>
      <c r="GD262" s="9"/>
      <c r="GE262" s="9"/>
      <c r="GF262" s="9"/>
      <c r="GG262" s="9"/>
      <c r="GH262" s="9"/>
      <c r="GI262" s="9"/>
      <c r="GJ262" s="9"/>
      <c r="GK262" s="9"/>
      <c r="GL262" s="9"/>
      <c r="GM262" s="9"/>
      <c r="GN262" s="9"/>
      <c r="GO262" s="9"/>
      <c r="GP262" s="9"/>
      <c r="GQ262" s="9"/>
      <c r="GR262" s="9"/>
      <c r="GS262" s="9"/>
      <c r="GT262" s="9"/>
      <c r="GU262" s="9"/>
      <c r="GV262" s="9"/>
      <c r="GW262" s="9"/>
      <c r="GX262" s="9"/>
      <c r="GY262" s="10"/>
      <c r="GZ262" s="9"/>
      <c r="HA262" s="9"/>
    </row>
    <row r="263" spans="1:209" s="2" customFormat="1" ht="17" customHeight="1">
      <c r="A263" s="14" t="s">
        <v>259</v>
      </c>
      <c r="B263" s="35">
        <v>0</v>
      </c>
      <c r="C263" s="35">
        <v>768.4</v>
      </c>
      <c r="D263" s="4">
        <f t="shared" si="72"/>
        <v>0</v>
      </c>
      <c r="E263" s="11">
        <v>0</v>
      </c>
      <c r="F263" s="5" t="s">
        <v>362</v>
      </c>
      <c r="G263" s="5" t="s">
        <v>362</v>
      </c>
      <c r="H263" s="5" t="s">
        <v>362</v>
      </c>
      <c r="I263" s="5" t="s">
        <v>362</v>
      </c>
      <c r="J263" s="5" t="s">
        <v>362</v>
      </c>
      <c r="K263" s="5" t="s">
        <v>362</v>
      </c>
      <c r="L263" s="5" t="s">
        <v>362</v>
      </c>
      <c r="M263" s="5" t="s">
        <v>362</v>
      </c>
      <c r="N263" s="35">
        <v>310.7</v>
      </c>
      <c r="O263" s="35">
        <v>1302.2</v>
      </c>
      <c r="P263" s="4">
        <f t="shared" si="73"/>
        <v>1.3</v>
      </c>
      <c r="Q263" s="11">
        <v>20</v>
      </c>
      <c r="R263" s="35">
        <v>0</v>
      </c>
      <c r="S263" s="35">
        <v>0</v>
      </c>
      <c r="T263" s="4">
        <f t="shared" si="74"/>
        <v>1</v>
      </c>
      <c r="U263" s="11">
        <v>10</v>
      </c>
      <c r="V263" s="35">
        <v>0.2</v>
      </c>
      <c r="W263" s="35">
        <v>0.2</v>
      </c>
      <c r="X263" s="4">
        <f t="shared" si="75"/>
        <v>1</v>
      </c>
      <c r="Y263" s="11">
        <v>40</v>
      </c>
      <c r="Z263" s="35">
        <v>2062</v>
      </c>
      <c r="AA263" s="35">
        <v>1590</v>
      </c>
      <c r="AB263" s="4">
        <f t="shared" si="76"/>
        <v>0.77109602327837057</v>
      </c>
      <c r="AC263" s="11">
        <v>5</v>
      </c>
      <c r="AD263" s="11">
        <v>3</v>
      </c>
      <c r="AE263" s="11">
        <v>5</v>
      </c>
      <c r="AF263" s="4">
        <f t="shared" si="77"/>
        <v>1.2466666666666666</v>
      </c>
      <c r="AG263" s="11">
        <v>20</v>
      </c>
      <c r="AH263" s="5" t="s">
        <v>362</v>
      </c>
      <c r="AI263" s="5" t="s">
        <v>362</v>
      </c>
      <c r="AJ263" s="5" t="s">
        <v>362</v>
      </c>
      <c r="AK263" s="5" t="s">
        <v>362</v>
      </c>
      <c r="AL263" s="5" t="s">
        <v>362</v>
      </c>
      <c r="AM263" s="5" t="s">
        <v>362</v>
      </c>
      <c r="AN263" s="5" t="s">
        <v>362</v>
      </c>
      <c r="AO263" s="5" t="s">
        <v>362</v>
      </c>
      <c r="AP263" s="44">
        <f t="shared" si="86"/>
        <v>1.1030401415760545</v>
      </c>
      <c r="AQ263" s="45">
        <v>317</v>
      </c>
      <c r="AR263" s="35">
        <f t="shared" si="78"/>
        <v>86.454545454545453</v>
      </c>
      <c r="AS263" s="35">
        <f t="shared" si="79"/>
        <v>95.4</v>
      </c>
      <c r="AT263" s="35">
        <f t="shared" si="80"/>
        <v>8.9454545454545524</v>
      </c>
      <c r="AU263" s="35">
        <v>31.3</v>
      </c>
      <c r="AV263" s="35">
        <v>31.3</v>
      </c>
      <c r="AW263" s="35">
        <f t="shared" si="81"/>
        <v>32.799999999999997</v>
      </c>
      <c r="AX263" s="35"/>
      <c r="AY263" s="35">
        <f t="shared" si="82"/>
        <v>32.799999999999997</v>
      </c>
      <c r="AZ263" s="35">
        <v>0</v>
      </c>
      <c r="BA263" s="35">
        <f t="shared" si="83"/>
        <v>32.799999999999997</v>
      </c>
      <c r="BB263" s="35">
        <f>MIN(BA263,14.4)</f>
        <v>14.4</v>
      </c>
      <c r="BC263" s="35">
        <f t="shared" si="84"/>
        <v>18.399999999999999</v>
      </c>
      <c r="BD263" s="35">
        <v>20</v>
      </c>
      <c r="BE263" s="35">
        <f t="shared" si="85"/>
        <v>-1.6</v>
      </c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9"/>
      <c r="BU263" s="9"/>
      <c r="BV263" s="9"/>
      <c r="BW263" s="9"/>
      <c r="BX263" s="9"/>
      <c r="BY263" s="9"/>
      <c r="BZ263" s="9"/>
      <c r="CA263" s="9"/>
      <c r="CB263" s="9"/>
      <c r="CC263" s="9"/>
      <c r="CD263" s="9"/>
      <c r="CE263" s="9"/>
      <c r="CF263" s="9"/>
      <c r="CG263" s="9"/>
      <c r="CH263" s="9"/>
      <c r="CI263" s="9"/>
      <c r="CJ263" s="9"/>
      <c r="CK263" s="9"/>
      <c r="CL263" s="9"/>
      <c r="CM263" s="9"/>
      <c r="CN263" s="9"/>
      <c r="CO263" s="9"/>
      <c r="CP263" s="9"/>
      <c r="CQ263" s="10"/>
      <c r="CR263" s="9"/>
      <c r="CS263" s="9"/>
      <c r="CT263" s="9"/>
      <c r="CU263" s="9"/>
      <c r="CV263" s="9"/>
      <c r="CW263" s="9"/>
      <c r="CX263" s="9"/>
      <c r="CY263" s="9"/>
      <c r="CZ263" s="9"/>
      <c r="DA263" s="9"/>
      <c r="DB263" s="9"/>
      <c r="DC263" s="9"/>
      <c r="DD263" s="9"/>
      <c r="DE263" s="9"/>
      <c r="DF263" s="9"/>
      <c r="DG263" s="9"/>
      <c r="DH263" s="9"/>
      <c r="DI263" s="9"/>
      <c r="DJ263" s="9"/>
      <c r="DK263" s="9"/>
      <c r="DL263" s="9"/>
      <c r="DM263" s="9"/>
      <c r="DN263" s="9"/>
      <c r="DO263" s="9"/>
      <c r="DP263" s="9"/>
      <c r="DQ263" s="9"/>
      <c r="DR263" s="9"/>
      <c r="DS263" s="10"/>
      <c r="DT263" s="9"/>
      <c r="DU263" s="9"/>
      <c r="DV263" s="9"/>
      <c r="DW263" s="9"/>
      <c r="DX263" s="9"/>
      <c r="DY263" s="9"/>
      <c r="DZ263" s="9"/>
      <c r="EA263" s="9"/>
      <c r="EB263" s="9"/>
      <c r="EC263" s="9"/>
      <c r="ED263" s="9"/>
      <c r="EE263" s="9"/>
      <c r="EF263" s="9"/>
      <c r="EG263" s="9"/>
      <c r="EH263" s="9"/>
      <c r="EI263" s="9"/>
      <c r="EJ263" s="9"/>
      <c r="EK263" s="9"/>
      <c r="EL263" s="9"/>
      <c r="EM263" s="9"/>
      <c r="EN263" s="9"/>
      <c r="EO263" s="9"/>
      <c r="EP263" s="9"/>
      <c r="EQ263" s="9"/>
      <c r="ER263" s="9"/>
      <c r="ES263" s="9"/>
      <c r="ET263" s="9"/>
      <c r="EU263" s="10"/>
      <c r="EV263" s="9"/>
      <c r="EW263" s="9"/>
      <c r="EX263" s="9"/>
      <c r="EY263" s="9"/>
      <c r="EZ263" s="9"/>
      <c r="FA263" s="9"/>
      <c r="FB263" s="9"/>
      <c r="FC263" s="9"/>
      <c r="FD263" s="9"/>
      <c r="FE263" s="9"/>
      <c r="FF263" s="9"/>
      <c r="FG263" s="9"/>
      <c r="FH263" s="9"/>
      <c r="FI263" s="9"/>
      <c r="FJ263" s="9"/>
      <c r="FK263" s="9"/>
      <c r="FL263" s="9"/>
      <c r="FM263" s="9"/>
      <c r="FN263" s="9"/>
      <c r="FO263" s="9"/>
      <c r="FP263" s="9"/>
      <c r="FQ263" s="9"/>
      <c r="FR263" s="9"/>
      <c r="FS263" s="9"/>
      <c r="FT263" s="9"/>
      <c r="FU263" s="9"/>
      <c r="FV263" s="9"/>
      <c r="FW263" s="10"/>
      <c r="FX263" s="9"/>
      <c r="FY263" s="9"/>
      <c r="FZ263" s="9"/>
      <c r="GA263" s="9"/>
      <c r="GB263" s="9"/>
      <c r="GC263" s="9"/>
      <c r="GD263" s="9"/>
      <c r="GE263" s="9"/>
      <c r="GF263" s="9"/>
      <c r="GG263" s="9"/>
      <c r="GH263" s="9"/>
      <c r="GI263" s="9"/>
      <c r="GJ263" s="9"/>
      <c r="GK263" s="9"/>
      <c r="GL263" s="9"/>
      <c r="GM263" s="9"/>
      <c r="GN263" s="9"/>
      <c r="GO263" s="9"/>
      <c r="GP263" s="9"/>
      <c r="GQ263" s="9"/>
      <c r="GR263" s="9"/>
      <c r="GS263" s="9"/>
      <c r="GT263" s="9"/>
      <c r="GU263" s="9"/>
      <c r="GV263" s="9"/>
      <c r="GW263" s="9"/>
      <c r="GX263" s="9"/>
      <c r="GY263" s="10"/>
      <c r="GZ263" s="9"/>
      <c r="HA263" s="9"/>
    </row>
    <row r="264" spans="1:209" s="2" customFormat="1" ht="17" customHeight="1">
      <c r="A264" s="14" t="s">
        <v>260</v>
      </c>
      <c r="B264" s="35">
        <v>0</v>
      </c>
      <c r="C264" s="35">
        <v>0</v>
      </c>
      <c r="D264" s="4">
        <f t="shared" si="72"/>
        <v>0</v>
      </c>
      <c r="E264" s="11">
        <v>0</v>
      </c>
      <c r="F264" s="5" t="s">
        <v>362</v>
      </c>
      <c r="G264" s="5" t="s">
        <v>362</v>
      </c>
      <c r="H264" s="5" t="s">
        <v>362</v>
      </c>
      <c r="I264" s="5" t="s">
        <v>362</v>
      </c>
      <c r="J264" s="5" t="s">
        <v>362</v>
      </c>
      <c r="K264" s="5" t="s">
        <v>362</v>
      </c>
      <c r="L264" s="5" t="s">
        <v>362</v>
      </c>
      <c r="M264" s="5" t="s">
        <v>362</v>
      </c>
      <c r="N264" s="35">
        <v>352.4</v>
      </c>
      <c r="O264" s="35">
        <v>411</v>
      </c>
      <c r="P264" s="4">
        <f t="shared" si="73"/>
        <v>1.1662883087400682</v>
      </c>
      <c r="Q264" s="11">
        <v>20</v>
      </c>
      <c r="R264" s="35">
        <v>0</v>
      </c>
      <c r="S264" s="35">
        <v>0</v>
      </c>
      <c r="T264" s="4">
        <f t="shared" si="74"/>
        <v>1</v>
      </c>
      <c r="U264" s="11">
        <v>20</v>
      </c>
      <c r="V264" s="35">
        <v>0.3</v>
      </c>
      <c r="W264" s="35">
        <v>0.4</v>
      </c>
      <c r="X264" s="4">
        <f t="shared" si="75"/>
        <v>1.2133333333333334</v>
      </c>
      <c r="Y264" s="11">
        <v>30</v>
      </c>
      <c r="Z264" s="35">
        <v>3315</v>
      </c>
      <c r="AA264" s="35">
        <v>3236</v>
      </c>
      <c r="AB264" s="4">
        <f t="shared" si="76"/>
        <v>0.97616892911010555</v>
      </c>
      <c r="AC264" s="11">
        <v>5</v>
      </c>
      <c r="AD264" s="11">
        <v>63</v>
      </c>
      <c r="AE264" s="11">
        <v>63</v>
      </c>
      <c r="AF264" s="4">
        <f t="shared" si="77"/>
        <v>1</v>
      </c>
      <c r="AG264" s="11">
        <v>20</v>
      </c>
      <c r="AH264" s="5" t="s">
        <v>362</v>
      </c>
      <c r="AI264" s="5" t="s">
        <v>362</v>
      </c>
      <c r="AJ264" s="5" t="s">
        <v>362</v>
      </c>
      <c r="AK264" s="5" t="s">
        <v>362</v>
      </c>
      <c r="AL264" s="5" t="s">
        <v>362</v>
      </c>
      <c r="AM264" s="5" t="s">
        <v>362</v>
      </c>
      <c r="AN264" s="5" t="s">
        <v>362</v>
      </c>
      <c r="AO264" s="5" t="s">
        <v>362</v>
      </c>
      <c r="AP264" s="44">
        <f t="shared" si="86"/>
        <v>1.1011222191615986</v>
      </c>
      <c r="AQ264" s="45">
        <v>518</v>
      </c>
      <c r="AR264" s="35">
        <f t="shared" si="78"/>
        <v>141.27272727272728</v>
      </c>
      <c r="AS264" s="35">
        <f t="shared" si="79"/>
        <v>155.6</v>
      </c>
      <c r="AT264" s="35">
        <f t="shared" si="80"/>
        <v>14.327272727272714</v>
      </c>
      <c r="AU264" s="35">
        <v>50</v>
      </c>
      <c r="AV264" s="35">
        <v>47.6</v>
      </c>
      <c r="AW264" s="35">
        <f t="shared" si="81"/>
        <v>58</v>
      </c>
      <c r="AX264" s="35"/>
      <c r="AY264" s="35">
        <f t="shared" si="82"/>
        <v>58</v>
      </c>
      <c r="AZ264" s="35">
        <v>0</v>
      </c>
      <c r="BA264" s="35">
        <f t="shared" si="83"/>
        <v>58</v>
      </c>
      <c r="BB264" s="35">
        <f>MIN(BA264,23.5)</f>
        <v>23.5</v>
      </c>
      <c r="BC264" s="35">
        <f t="shared" si="84"/>
        <v>34.5</v>
      </c>
      <c r="BD264" s="35">
        <v>35.4</v>
      </c>
      <c r="BE264" s="35">
        <f t="shared" si="85"/>
        <v>-0.9</v>
      </c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9"/>
      <c r="BU264" s="9"/>
      <c r="BV264" s="9"/>
      <c r="BW264" s="9"/>
      <c r="BX264" s="9"/>
      <c r="BY264" s="9"/>
      <c r="BZ264" s="9"/>
      <c r="CA264" s="9"/>
      <c r="CB264" s="9"/>
      <c r="CC264" s="9"/>
      <c r="CD264" s="9"/>
      <c r="CE264" s="9"/>
      <c r="CF264" s="9"/>
      <c r="CG264" s="9"/>
      <c r="CH264" s="9"/>
      <c r="CI264" s="9"/>
      <c r="CJ264" s="9"/>
      <c r="CK264" s="9"/>
      <c r="CL264" s="9"/>
      <c r="CM264" s="9"/>
      <c r="CN264" s="9"/>
      <c r="CO264" s="9"/>
      <c r="CP264" s="9"/>
      <c r="CQ264" s="10"/>
      <c r="CR264" s="9"/>
      <c r="CS264" s="9"/>
      <c r="CT264" s="9"/>
      <c r="CU264" s="9"/>
      <c r="CV264" s="9"/>
      <c r="CW264" s="9"/>
      <c r="CX264" s="9"/>
      <c r="CY264" s="9"/>
      <c r="CZ264" s="9"/>
      <c r="DA264" s="9"/>
      <c r="DB264" s="9"/>
      <c r="DC264" s="9"/>
      <c r="DD264" s="9"/>
      <c r="DE264" s="9"/>
      <c r="DF264" s="9"/>
      <c r="DG264" s="9"/>
      <c r="DH264" s="9"/>
      <c r="DI264" s="9"/>
      <c r="DJ264" s="9"/>
      <c r="DK264" s="9"/>
      <c r="DL264" s="9"/>
      <c r="DM264" s="9"/>
      <c r="DN264" s="9"/>
      <c r="DO264" s="9"/>
      <c r="DP264" s="9"/>
      <c r="DQ264" s="9"/>
      <c r="DR264" s="9"/>
      <c r="DS264" s="10"/>
      <c r="DT264" s="9"/>
      <c r="DU264" s="9"/>
      <c r="DV264" s="9"/>
      <c r="DW264" s="9"/>
      <c r="DX264" s="9"/>
      <c r="DY264" s="9"/>
      <c r="DZ264" s="9"/>
      <c r="EA264" s="9"/>
      <c r="EB264" s="9"/>
      <c r="EC264" s="9"/>
      <c r="ED264" s="9"/>
      <c r="EE264" s="9"/>
      <c r="EF264" s="9"/>
      <c r="EG264" s="9"/>
      <c r="EH264" s="9"/>
      <c r="EI264" s="9"/>
      <c r="EJ264" s="9"/>
      <c r="EK264" s="9"/>
      <c r="EL264" s="9"/>
      <c r="EM264" s="9"/>
      <c r="EN264" s="9"/>
      <c r="EO264" s="9"/>
      <c r="EP264" s="9"/>
      <c r="EQ264" s="9"/>
      <c r="ER264" s="9"/>
      <c r="ES264" s="9"/>
      <c r="ET264" s="9"/>
      <c r="EU264" s="10"/>
      <c r="EV264" s="9"/>
      <c r="EW264" s="9"/>
      <c r="EX264" s="9"/>
      <c r="EY264" s="9"/>
      <c r="EZ264" s="9"/>
      <c r="FA264" s="9"/>
      <c r="FB264" s="9"/>
      <c r="FC264" s="9"/>
      <c r="FD264" s="9"/>
      <c r="FE264" s="9"/>
      <c r="FF264" s="9"/>
      <c r="FG264" s="9"/>
      <c r="FH264" s="9"/>
      <c r="FI264" s="9"/>
      <c r="FJ264" s="9"/>
      <c r="FK264" s="9"/>
      <c r="FL264" s="9"/>
      <c r="FM264" s="9"/>
      <c r="FN264" s="9"/>
      <c r="FO264" s="9"/>
      <c r="FP264" s="9"/>
      <c r="FQ264" s="9"/>
      <c r="FR264" s="9"/>
      <c r="FS264" s="9"/>
      <c r="FT264" s="9"/>
      <c r="FU264" s="9"/>
      <c r="FV264" s="9"/>
      <c r="FW264" s="10"/>
      <c r="FX264" s="9"/>
      <c r="FY264" s="9"/>
      <c r="FZ264" s="9"/>
      <c r="GA264" s="9"/>
      <c r="GB264" s="9"/>
      <c r="GC264" s="9"/>
      <c r="GD264" s="9"/>
      <c r="GE264" s="9"/>
      <c r="GF264" s="9"/>
      <c r="GG264" s="9"/>
      <c r="GH264" s="9"/>
      <c r="GI264" s="9"/>
      <c r="GJ264" s="9"/>
      <c r="GK264" s="9"/>
      <c r="GL264" s="9"/>
      <c r="GM264" s="9"/>
      <c r="GN264" s="9"/>
      <c r="GO264" s="9"/>
      <c r="GP264" s="9"/>
      <c r="GQ264" s="9"/>
      <c r="GR264" s="9"/>
      <c r="GS264" s="9"/>
      <c r="GT264" s="9"/>
      <c r="GU264" s="9"/>
      <c r="GV264" s="9"/>
      <c r="GW264" s="9"/>
      <c r="GX264" s="9"/>
      <c r="GY264" s="10"/>
      <c r="GZ264" s="9"/>
      <c r="HA264" s="9"/>
    </row>
    <row r="265" spans="1:209" s="2" customFormat="1" ht="17" customHeight="1">
      <c r="A265" s="14" t="s">
        <v>261</v>
      </c>
      <c r="B265" s="35">
        <v>0</v>
      </c>
      <c r="C265" s="35">
        <v>0</v>
      </c>
      <c r="D265" s="4">
        <f t="shared" si="72"/>
        <v>0</v>
      </c>
      <c r="E265" s="11">
        <v>0</v>
      </c>
      <c r="F265" s="5" t="s">
        <v>362</v>
      </c>
      <c r="G265" s="5" t="s">
        <v>362</v>
      </c>
      <c r="H265" s="5" t="s">
        <v>362</v>
      </c>
      <c r="I265" s="5" t="s">
        <v>362</v>
      </c>
      <c r="J265" s="5" t="s">
        <v>362</v>
      </c>
      <c r="K265" s="5" t="s">
        <v>362</v>
      </c>
      <c r="L265" s="5" t="s">
        <v>362</v>
      </c>
      <c r="M265" s="5" t="s">
        <v>362</v>
      </c>
      <c r="N265" s="35">
        <v>1190.9000000000001</v>
      </c>
      <c r="O265" s="35">
        <v>1069.5</v>
      </c>
      <c r="P265" s="4">
        <f t="shared" si="73"/>
        <v>0.89806029053656888</v>
      </c>
      <c r="Q265" s="11">
        <v>20</v>
      </c>
      <c r="R265" s="35">
        <v>0</v>
      </c>
      <c r="S265" s="35">
        <v>0</v>
      </c>
      <c r="T265" s="4">
        <f t="shared" si="74"/>
        <v>1</v>
      </c>
      <c r="U265" s="11">
        <v>10</v>
      </c>
      <c r="V265" s="35">
        <v>8.5</v>
      </c>
      <c r="W265" s="35">
        <v>8.5</v>
      </c>
      <c r="X265" s="4">
        <f t="shared" si="75"/>
        <v>1</v>
      </c>
      <c r="Y265" s="11">
        <v>40</v>
      </c>
      <c r="Z265" s="35">
        <v>3339</v>
      </c>
      <c r="AA265" s="35">
        <v>4331</v>
      </c>
      <c r="AB265" s="4">
        <f t="shared" si="76"/>
        <v>1.2097094938604371</v>
      </c>
      <c r="AC265" s="11">
        <v>5</v>
      </c>
      <c r="AD265" s="11">
        <v>194</v>
      </c>
      <c r="AE265" s="11">
        <v>201</v>
      </c>
      <c r="AF265" s="4">
        <f t="shared" si="77"/>
        <v>1.0360824742268042</v>
      </c>
      <c r="AG265" s="11">
        <v>20</v>
      </c>
      <c r="AH265" s="5" t="s">
        <v>362</v>
      </c>
      <c r="AI265" s="5" t="s">
        <v>362</v>
      </c>
      <c r="AJ265" s="5" t="s">
        <v>362</v>
      </c>
      <c r="AK265" s="5" t="s">
        <v>362</v>
      </c>
      <c r="AL265" s="5" t="s">
        <v>362</v>
      </c>
      <c r="AM265" s="5" t="s">
        <v>362</v>
      </c>
      <c r="AN265" s="5" t="s">
        <v>362</v>
      </c>
      <c r="AO265" s="5" t="s">
        <v>362</v>
      </c>
      <c r="AP265" s="44">
        <f t="shared" si="86"/>
        <v>0.99717266067968036</v>
      </c>
      <c r="AQ265" s="45">
        <v>424</v>
      </c>
      <c r="AR265" s="35">
        <f t="shared" si="78"/>
        <v>115.63636363636364</v>
      </c>
      <c r="AS265" s="35">
        <f t="shared" si="79"/>
        <v>115.3</v>
      </c>
      <c r="AT265" s="35">
        <f t="shared" si="80"/>
        <v>-0.33636363636364308</v>
      </c>
      <c r="AU265" s="35">
        <v>41.1</v>
      </c>
      <c r="AV265" s="35">
        <v>30.6</v>
      </c>
      <c r="AW265" s="35">
        <f t="shared" si="81"/>
        <v>43.6</v>
      </c>
      <c r="AX265" s="35"/>
      <c r="AY265" s="35">
        <f t="shared" si="82"/>
        <v>43.6</v>
      </c>
      <c r="AZ265" s="35">
        <v>0</v>
      </c>
      <c r="BA265" s="35">
        <f t="shared" si="83"/>
        <v>43.6</v>
      </c>
      <c r="BB265" s="35">
        <f>MIN(BA265,19.3)</f>
        <v>19.3</v>
      </c>
      <c r="BC265" s="35">
        <f t="shared" si="84"/>
        <v>24.3</v>
      </c>
      <c r="BD265" s="35">
        <v>22.9</v>
      </c>
      <c r="BE265" s="35">
        <f t="shared" si="85"/>
        <v>1.4</v>
      </c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9"/>
      <c r="BU265" s="9"/>
      <c r="BV265" s="9"/>
      <c r="BW265" s="9"/>
      <c r="BX265" s="9"/>
      <c r="BY265" s="9"/>
      <c r="BZ265" s="9"/>
      <c r="CA265" s="9"/>
      <c r="CB265" s="9"/>
      <c r="CC265" s="9"/>
      <c r="CD265" s="9"/>
      <c r="CE265" s="9"/>
      <c r="CF265" s="9"/>
      <c r="CG265" s="9"/>
      <c r="CH265" s="9"/>
      <c r="CI265" s="9"/>
      <c r="CJ265" s="9"/>
      <c r="CK265" s="9"/>
      <c r="CL265" s="9"/>
      <c r="CM265" s="9"/>
      <c r="CN265" s="9"/>
      <c r="CO265" s="9"/>
      <c r="CP265" s="9"/>
      <c r="CQ265" s="10"/>
      <c r="CR265" s="9"/>
      <c r="CS265" s="9"/>
      <c r="CT265" s="9"/>
      <c r="CU265" s="9"/>
      <c r="CV265" s="9"/>
      <c r="CW265" s="9"/>
      <c r="CX265" s="9"/>
      <c r="CY265" s="9"/>
      <c r="CZ265" s="9"/>
      <c r="DA265" s="9"/>
      <c r="DB265" s="9"/>
      <c r="DC265" s="9"/>
      <c r="DD265" s="9"/>
      <c r="DE265" s="9"/>
      <c r="DF265" s="9"/>
      <c r="DG265" s="9"/>
      <c r="DH265" s="9"/>
      <c r="DI265" s="9"/>
      <c r="DJ265" s="9"/>
      <c r="DK265" s="9"/>
      <c r="DL265" s="9"/>
      <c r="DM265" s="9"/>
      <c r="DN265" s="9"/>
      <c r="DO265" s="9"/>
      <c r="DP265" s="9"/>
      <c r="DQ265" s="9"/>
      <c r="DR265" s="9"/>
      <c r="DS265" s="10"/>
      <c r="DT265" s="9"/>
      <c r="DU265" s="9"/>
      <c r="DV265" s="9"/>
      <c r="DW265" s="9"/>
      <c r="DX265" s="9"/>
      <c r="DY265" s="9"/>
      <c r="DZ265" s="9"/>
      <c r="EA265" s="9"/>
      <c r="EB265" s="9"/>
      <c r="EC265" s="9"/>
      <c r="ED265" s="9"/>
      <c r="EE265" s="9"/>
      <c r="EF265" s="9"/>
      <c r="EG265" s="9"/>
      <c r="EH265" s="9"/>
      <c r="EI265" s="9"/>
      <c r="EJ265" s="9"/>
      <c r="EK265" s="9"/>
      <c r="EL265" s="9"/>
      <c r="EM265" s="9"/>
      <c r="EN265" s="9"/>
      <c r="EO265" s="9"/>
      <c r="EP265" s="9"/>
      <c r="EQ265" s="9"/>
      <c r="ER265" s="9"/>
      <c r="ES265" s="9"/>
      <c r="ET265" s="9"/>
      <c r="EU265" s="10"/>
      <c r="EV265" s="9"/>
      <c r="EW265" s="9"/>
      <c r="EX265" s="9"/>
      <c r="EY265" s="9"/>
      <c r="EZ265" s="9"/>
      <c r="FA265" s="9"/>
      <c r="FB265" s="9"/>
      <c r="FC265" s="9"/>
      <c r="FD265" s="9"/>
      <c r="FE265" s="9"/>
      <c r="FF265" s="9"/>
      <c r="FG265" s="9"/>
      <c r="FH265" s="9"/>
      <c r="FI265" s="9"/>
      <c r="FJ265" s="9"/>
      <c r="FK265" s="9"/>
      <c r="FL265" s="9"/>
      <c r="FM265" s="9"/>
      <c r="FN265" s="9"/>
      <c r="FO265" s="9"/>
      <c r="FP265" s="9"/>
      <c r="FQ265" s="9"/>
      <c r="FR265" s="9"/>
      <c r="FS265" s="9"/>
      <c r="FT265" s="9"/>
      <c r="FU265" s="9"/>
      <c r="FV265" s="9"/>
      <c r="FW265" s="10"/>
      <c r="FX265" s="9"/>
      <c r="FY265" s="9"/>
      <c r="FZ265" s="9"/>
      <c r="GA265" s="9"/>
      <c r="GB265" s="9"/>
      <c r="GC265" s="9"/>
      <c r="GD265" s="9"/>
      <c r="GE265" s="9"/>
      <c r="GF265" s="9"/>
      <c r="GG265" s="9"/>
      <c r="GH265" s="9"/>
      <c r="GI265" s="9"/>
      <c r="GJ265" s="9"/>
      <c r="GK265" s="9"/>
      <c r="GL265" s="9"/>
      <c r="GM265" s="9"/>
      <c r="GN265" s="9"/>
      <c r="GO265" s="9"/>
      <c r="GP265" s="9"/>
      <c r="GQ265" s="9"/>
      <c r="GR265" s="9"/>
      <c r="GS265" s="9"/>
      <c r="GT265" s="9"/>
      <c r="GU265" s="9"/>
      <c r="GV265" s="9"/>
      <c r="GW265" s="9"/>
      <c r="GX265" s="9"/>
      <c r="GY265" s="10"/>
      <c r="GZ265" s="9"/>
      <c r="HA265" s="9"/>
    </row>
    <row r="266" spans="1:209" s="2" customFormat="1" ht="17" customHeight="1">
      <c r="A266" s="14" t="s">
        <v>262</v>
      </c>
      <c r="B266" s="35">
        <v>0</v>
      </c>
      <c r="C266" s="35">
        <v>0</v>
      </c>
      <c r="D266" s="4">
        <f t="shared" si="72"/>
        <v>0</v>
      </c>
      <c r="E266" s="11">
        <v>0</v>
      </c>
      <c r="F266" s="5" t="s">
        <v>362</v>
      </c>
      <c r="G266" s="5" t="s">
        <v>362</v>
      </c>
      <c r="H266" s="5" t="s">
        <v>362</v>
      </c>
      <c r="I266" s="5" t="s">
        <v>362</v>
      </c>
      <c r="J266" s="5" t="s">
        <v>362</v>
      </c>
      <c r="K266" s="5" t="s">
        <v>362</v>
      </c>
      <c r="L266" s="5" t="s">
        <v>362</v>
      </c>
      <c r="M266" s="5" t="s">
        <v>362</v>
      </c>
      <c r="N266" s="35">
        <v>353.6</v>
      </c>
      <c r="O266" s="35">
        <v>294.2</v>
      </c>
      <c r="P266" s="4">
        <f t="shared" si="73"/>
        <v>0.83201357466063341</v>
      </c>
      <c r="Q266" s="11">
        <v>20</v>
      </c>
      <c r="R266" s="35">
        <v>10</v>
      </c>
      <c r="S266" s="35">
        <v>10.4</v>
      </c>
      <c r="T266" s="4">
        <f t="shared" si="74"/>
        <v>1.04</v>
      </c>
      <c r="U266" s="11">
        <v>20</v>
      </c>
      <c r="V266" s="35">
        <v>3</v>
      </c>
      <c r="W266" s="35">
        <v>3</v>
      </c>
      <c r="X266" s="4">
        <f t="shared" si="75"/>
        <v>1</v>
      </c>
      <c r="Y266" s="11">
        <v>30</v>
      </c>
      <c r="Z266" s="35">
        <v>5860</v>
      </c>
      <c r="AA266" s="35">
        <v>5978</v>
      </c>
      <c r="AB266" s="4">
        <f t="shared" si="76"/>
        <v>1.0201365187713312</v>
      </c>
      <c r="AC266" s="11">
        <v>5</v>
      </c>
      <c r="AD266" s="11">
        <v>186</v>
      </c>
      <c r="AE266" s="11">
        <v>182</v>
      </c>
      <c r="AF266" s="4">
        <f t="shared" si="77"/>
        <v>0.978494623655914</v>
      </c>
      <c r="AG266" s="11">
        <v>20</v>
      </c>
      <c r="AH266" s="5" t="s">
        <v>362</v>
      </c>
      <c r="AI266" s="5" t="s">
        <v>362</v>
      </c>
      <c r="AJ266" s="5" t="s">
        <v>362</v>
      </c>
      <c r="AK266" s="5" t="s">
        <v>362</v>
      </c>
      <c r="AL266" s="5" t="s">
        <v>362</v>
      </c>
      <c r="AM266" s="5" t="s">
        <v>362</v>
      </c>
      <c r="AN266" s="5" t="s">
        <v>362</v>
      </c>
      <c r="AO266" s="5" t="s">
        <v>362</v>
      </c>
      <c r="AP266" s="44">
        <f t="shared" si="86"/>
        <v>0.96958785852829066</v>
      </c>
      <c r="AQ266" s="45">
        <v>1106</v>
      </c>
      <c r="AR266" s="35">
        <f t="shared" si="78"/>
        <v>301.63636363636363</v>
      </c>
      <c r="AS266" s="35">
        <f t="shared" si="79"/>
        <v>292.5</v>
      </c>
      <c r="AT266" s="35">
        <f t="shared" si="80"/>
        <v>-9.136363636363626</v>
      </c>
      <c r="AU266" s="35">
        <v>97.8</v>
      </c>
      <c r="AV266" s="35">
        <v>98.5</v>
      </c>
      <c r="AW266" s="35">
        <f t="shared" si="81"/>
        <v>96.2</v>
      </c>
      <c r="AX266" s="35"/>
      <c r="AY266" s="35">
        <f t="shared" si="82"/>
        <v>96.2</v>
      </c>
      <c r="AZ266" s="35">
        <v>0</v>
      </c>
      <c r="BA266" s="35">
        <f t="shared" si="83"/>
        <v>96.2</v>
      </c>
      <c r="BB266" s="35">
        <f>MIN(BA266,15.7)</f>
        <v>15.7</v>
      </c>
      <c r="BC266" s="35">
        <f t="shared" si="84"/>
        <v>80.5</v>
      </c>
      <c r="BD266" s="35">
        <v>79.599999999999994</v>
      </c>
      <c r="BE266" s="35">
        <f t="shared" si="85"/>
        <v>0.9</v>
      </c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9"/>
      <c r="BU266" s="9"/>
      <c r="BV266" s="9"/>
      <c r="BW266" s="9"/>
      <c r="BX266" s="9"/>
      <c r="BY266" s="9"/>
      <c r="BZ266" s="9"/>
      <c r="CA266" s="9"/>
      <c r="CB266" s="9"/>
      <c r="CC266" s="9"/>
      <c r="CD266" s="9"/>
      <c r="CE266" s="9"/>
      <c r="CF266" s="9"/>
      <c r="CG266" s="9"/>
      <c r="CH266" s="9"/>
      <c r="CI266" s="9"/>
      <c r="CJ266" s="9"/>
      <c r="CK266" s="9"/>
      <c r="CL266" s="9"/>
      <c r="CM266" s="9"/>
      <c r="CN266" s="9"/>
      <c r="CO266" s="9"/>
      <c r="CP266" s="9"/>
      <c r="CQ266" s="10"/>
      <c r="CR266" s="9"/>
      <c r="CS266" s="9"/>
      <c r="CT266" s="9"/>
      <c r="CU266" s="9"/>
      <c r="CV266" s="9"/>
      <c r="CW266" s="9"/>
      <c r="CX266" s="9"/>
      <c r="CY266" s="9"/>
      <c r="CZ266" s="9"/>
      <c r="DA266" s="9"/>
      <c r="DB266" s="9"/>
      <c r="DC266" s="9"/>
      <c r="DD266" s="9"/>
      <c r="DE266" s="9"/>
      <c r="DF266" s="9"/>
      <c r="DG266" s="9"/>
      <c r="DH266" s="9"/>
      <c r="DI266" s="9"/>
      <c r="DJ266" s="9"/>
      <c r="DK266" s="9"/>
      <c r="DL266" s="9"/>
      <c r="DM266" s="9"/>
      <c r="DN266" s="9"/>
      <c r="DO266" s="9"/>
      <c r="DP266" s="9"/>
      <c r="DQ266" s="9"/>
      <c r="DR266" s="9"/>
      <c r="DS266" s="10"/>
      <c r="DT266" s="9"/>
      <c r="DU266" s="9"/>
      <c r="DV266" s="9"/>
      <c r="DW266" s="9"/>
      <c r="DX266" s="9"/>
      <c r="DY266" s="9"/>
      <c r="DZ266" s="9"/>
      <c r="EA266" s="9"/>
      <c r="EB266" s="9"/>
      <c r="EC266" s="9"/>
      <c r="ED266" s="9"/>
      <c r="EE266" s="9"/>
      <c r="EF266" s="9"/>
      <c r="EG266" s="9"/>
      <c r="EH266" s="9"/>
      <c r="EI266" s="9"/>
      <c r="EJ266" s="9"/>
      <c r="EK266" s="9"/>
      <c r="EL266" s="9"/>
      <c r="EM266" s="9"/>
      <c r="EN266" s="9"/>
      <c r="EO266" s="9"/>
      <c r="EP266" s="9"/>
      <c r="EQ266" s="9"/>
      <c r="ER266" s="9"/>
      <c r="ES266" s="9"/>
      <c r="ET266" s="9"/>
      <c r="EU266" s="10"/>
      <c r="EV266" s="9"/>
      <c r="EW266" s="9"/>
      <c r="EX266" s="9"/>
      <c r="EY266" s="9"/>
      <c r="EZ266" s="9"/>
      <c r="FA266" s="9"/>
      <c r="FB266" s="9"/>
      <c r="FC266" s="9"/>
      <c r="FD266" s="9"/>
      <c r="FE266" s="9"/>
      <c r="FF266" s="9"/>
      <c r="FG266" s="9"/>
      <c r="FH266" s="9"/>
      <c r="FI266" s="9"/>
      <c r="FJ266" s="9"/>
      <c r="FK266" s="9"/>
      <c r="FL266" s="9"/>
      <c r="FM266" s="9"/>
      <c r="FN266" s="9"/>
      <c r="FO266" s="9"/>
      <c r="FP266" s="9"/>
      <c r="FQ266" s="9"/>
      <c r="FR266" s="9"/>
      <c r="FS266" s="9"/>
      <c r="FT266" s="9"/>
      <c r="FU266" s="9"/>
      <c r="FV266" s="9"/>
      <c r="FW266" s="10"/>
      <c r="FX266" s="9"/>
      <c r="FY266" s="9"/>
      <c r="FZ266" s="9"/>
      <c r="GA266" s="9"/>
      <c r="GB266" s="9"/>
      <c r="GC266" s="9"/>
      <c r="GD266" s="9"/>
      <c r="GE266" s="9"/>
      <c r="GF266" s="9"/>
      <c r="GG266" s="9"/>
      <c r="GH266" s="9"/>
      <c r="GI266" s="9"/>
      <c r="GJ266" s="9"/>
      <c r="GK266" s="9"/>
      <c r="GL266" s="9"/>
      <c r="GM266" s="9"/>
      <c r="GN266" s="9"/>
      <c r="GO266" s="9"/>
      <c r="GP266" s="9"/>
      <c r="GQ266" s="9"/>
      <c r="GR266" s="9"/>
      <c r="GS266" s="9"/>
      <c r="GT266" s="9"/>
      <c r="GU266" s="9"/>
      <c r="GV266" s="9"/>
      <c r="GW266" s="9"/>
      <c r="GX266" s="9"/>
      <c r="GY266" s="10"/>
      <c r="GZ266" s="9"/>
      <c r="HA266" s="9"/>
    </row>
    <row r="267" spans="1:209" s="2" customFormat="1" ht="17" customHeight="1">
      <c r="A267" s="14" t="s">
        <v>263</v>
      </c>
      <c r="B267" s="35">
        <v>542</v>
      </c>
      <c r="C267" s="35">
        <v>507</v>
      </c>
      <c r="D267" s="4">
        <f t="shared" si="72"/>
        <v>0.93542435424354242</v>
      </c>
      <c r="E267" s="11">
        <v>10</v>
      </c>
      <c r="F267" s="5" t="s">
        <v>362</v>
      </c>
      <c r="G267" s="5" t="s">
        <v>362</v>
      </c>
      <c r="H267" s="5" t="s">
        <v>362</v>
      </c>
      <c r="I267" s="5" t="s">
        <v>362</v>
      </c>
      <c r="J267" s="5" t="s">
        <v>362</v>
      </c>
      <c r="K267" s="5" t="s">
        <v>362</v>
      </c>
      <c r="L267" s="5" t="s">
        <v>362</v>
      </c>
      <c r="M267" s="5" t="s">
        <v>362</v>
      </c>
      <c r="N267" s="35">
        <v>587.9</v>
      </c>
      <c r="O267" s="35">
        <v>336</v>
      </c>
      <c r="P267" s="4">
        <f t="shared" si="73"/>
        <v>0.5715257696887226</v>
      </c>
      <c r="Q267" s="11">
        <v>20</v>
      </c>
      <c r="R267" s="35">
        <v>0</v>
      </c>
      <c r="S267" s="35">
        <v>0</v>
      </c>
      <c r="T267" s="4">
        <f t="shared" si="74"/>
        <v>1</v>
      </c>
      <c r="U267" s="11">
        <v>20</v>
      </c>
      <c r="V267" s="35">
        <v>1.5</v>
      </c>
      <c r="W267" s="35">
        <v>1.6</v>
      </c>
      <c r="X267" s="4">
        <f t="shared" si="75"/>
        <v>1.0666666666666667</v>
      </c>
      <c r="Y267" s="11">
        <v>30</v>
      </c>
      <c r="Z267" s="35">
        <v>686</v>
      </c>
      <c r="AA267" s="35">
        <v>1536</v>
      </c>
      <c r="AB267" s="4">
        <f t="shared" si="76"/>
        <v>1.3</v>
      </c>
      <c r="AC267" s="11">
        <v>5</v>
      </c>
      <c r="AD267" s="11">
        <v>81</v>
      </c>
      <c r="AE267" s="11">
        <v>81</v>
      </c>
      <c r="AF267" s="4">
        <f t="shared" si="77"/>
        <v>1</v>
      </c>
      <c r="AG267" s="11">
        <v>20</v>
      </c>
      <c r="AH267" s="5" t="s">
        <v>362</v>
      </c>
      <c r="AI267" s="5" t="s">
        <v>362</v>
      </c>
      <c r="AJ267" s="5" t="s">
        <v>362</v>
      </c>
      <c r="AK267" s="5" t="s">
        <v>362</v>
      </c>
      <c r="AL267" s="5" t="s">
        <v>362</v>
      </c>
      <c r="AM267" s="5" t="s">
        <v>362</v>
      </c>
      <c r="AN267" s="5" t="s">
        <v>362</v>
      </c>
      <c r="AO267" s="5" t="s">
        <v>362</v>
      </c>
      <c r="AP267" s="44">
        <f t="shared" si="86"/>
        <v>0.94556913272580823</v>
      </c>
      <c r="AQ267" s="45">
        <v>595</v>
      </c>
      <c r="AR267" s="35">
        <f t="shared" si="78"/>
        <v>162.27272727272728</v>
      </c>
      <c r="AS267" s="35">
        <f t="shared" si="79"/>
        <v>153.4</v>
      </c>
      <c r="AT267" s="35">
        <f t="shared" si="80"/>
        <v>-8.8727272727272748</v>
      </c>
      <c r="AU267" s="35">
        <v>55.5</v>
      </c>
      <c r="AV267" s="35">
        <v>50.7</v>
      </c>
      <c r="AW267" s="35">
        <f t="shared" si="81"/>
        <v>47.2</v>
      </c>
      <c r="AX267" s="35"/>
      <c r="AY267" s="35">
        <f t="shared" si="82"/>
        <v>47.2</v>
      </c>
      <c r="AZ267" s="35">
        <v>0</v>
      </c>
      <c r="BA267" s="35">
        <f t="shared" si="83"/>
        <v>47.2</v>
      </c>
      <c r="BB267" s="35">
        <f>MIN(BA267,1.3)</f>
        <v>1.3</v>
      </c>
      <c r="BC267" s="35">
        <f t="shared" si="84"/>
        <v>45.9</v>
      </c>
      <c r="BD267" s="35">
        <v>43.1</v>
      </c>
      <c r="BE267" s="35">
        <f t="shared" si="85"/>
        <v>2.8</v>
      </c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9"/>
      <c r="BU267" s="9"/>
      <c r="BV267" s="9"/>
      <c r="BW267" s="9"/>
      <c r="BX267" s="9"/>
      <c r="BY267" s="9"/>
      <c r="BZ267" s="9"/>
      <c r="CA267" s="9"/>
      <c r="CB267" s="9"/>
      <c r="CC267" s="9"/>
      <c r="CD267" s="9"/>
      <c r="CE267" s="9"/>
      <c r="CF267" s="9"/>
      <c r="CG267" s="9"/>
      <c r="CH267" s="9"/>
      <c r="CI267" s="9"/>
      <c r="CJ267" s="9"/>
      <c r="CK267" s="9"/>
      <c r="CL267" s="9"/>
      <c r="CM267" s="9"/>
      <c r="CN267" s="9"/>
      <c r="CO267" s="9"/>
      <c r="CP267" s="9"/>
      <c r="CQ267" s="10"/>
      <c r="CR267" s="9"/>
      <c r="CS267" s="9"/>
      <c r="CT267" s="9"/>
      <c r="CU267" s="9"/>
      <c r="CV267" s="9"/>
      <c r="CW267" s="9"/>
      <c r="CX267" s="9"/>
      <c r="CY267" s="9"/>
      <c r="CZ267" s="9"/>
      <c r="DA267" s="9"/>
      <c r="DB267" s="9"/>
      <c r="DC267" s="9"/>
      <c r="DD267" s="9"/>
      <c r="DE267" s="9"/>
      <c r="DF267" s="9"/>
      <c r="DG267" s="9"/>
      <c r="DH267" s="9"/>
      <c r="DI267" s="9"/>
      <c r="DJ267" s="9"/>
      <c r="DK267" s="9"/>
      <c r="DL267" s="9"/>
      <c r="DM267" s="9"/>
      <c r="DN267" s="9"/>
      <c r="DO267" s="9"/>
      <c r="DP267" s="9"/>
      <c r="DQ267" s="9"/>
      <c r="DR267" s="9"/>
      <c r="DS267" s="10"/>
      <c r="DT267" s="9"/>
      <c r="DU267" s="9"/>
      <c r="DV267" s="9"/>
      <c r="DW267" s="9"/>
      <c r="DX267" s="9"/>
      <c r="DY267" s="9"/>
      <c r="DZ267" s="9"/>
      <c r="EA267" s="9"/>
      <c r="EB267" s="9"/>
      <c r="EC267" s="9"/>
      <c r="ED267" s="9"/>
      <c r="EE267" s="9"/>
      <c r="EF267" s="9"/>
      <c r="EG267" s="9"/>
      <c r="EH267" s="9"/>
      <c r="EI267" s="9"/>
      <c r="EJ267" s="9"/>
      <c r="EK267" s="9"/>
      <c r="EL267" s="9"/>
      <c r="EM267" s="9"/>
      <c r="EN267" s="9"/>
      <c r="EO267" s="9"/>
      <c r="EP267" s="9"/>
      <c r="EQ267" s="9"/>
      <c r="ER267" s="9"/>
      <c r="ES267" s="9"/>
      <c r="ET267" s="9"/>
      <c r="EU267" s="10"/>
      <c r="EV267" s="9"/>
      <c r="EW267" s="9"/>
      <c r="EX267" s="9"/>
      <c r="EY267" s="9"/>
      <c r="EZ267" s="9"/>
      <c r="FA267" s="9"/>
      <c r="FB267" s="9"/>
      <c r="FC267" s="9"/>
      <c r="FD267" s="9"/>
      <c r="FE267" s="9"/>
      <c r="FF267" s="9"/>
      <c r="FG267" s="9"/>
      <c r="FH267" s="9"/>
      <c r="FI267" s="9"/>
      <c r="FJ267" s="9"/>
      <c r="FK267" s="9"/>
      <c r="FL267" s="9"/>
      <c r="FM267" s="9"/>
      <c r="FN267" s="9"/>
      <c r="FO267" s="9"/>
      <c r="FP267" s="9"/>
      <c r="FQ267" s="9"/>
      <c r="FR267" s="9"/>
      <c r="FS267" s="9"/>
      <c r="FT267" s="9"/>
      <c r="FU267" s="9"/>
      <c r="FV267" s="9"/>
      <c r="FW267" s="10"/>
      <c r="FX267" s="9"/>
      <c r="FY267" s="9"/>
      <c r="FZ267" s="9"/>
      <c r="GA267" s="9"/>
      <c r="GB267" s="9"/>
      <c r="GC267" s="9"/>
      <c r="GD267" s="9"/>
      <c r="GE267" s="9"/>
      <c r="GF267" s="9"/>
      <c r="GG267" s="9"/>
      <c r="GH267" s="9"/>
      <c r="GI267" s="9"/>
      <c r="GJ267" s="9"/>
      <c r="GK267" s="9"/>
      <c r="GL267" s="9"/>
      <c r="GM267" s="9"/>
      <c r="GN267" s="9"/>
      <c r="GO267" s="9"/>
      <c r="GP267" s="9"/>
      <c r="GQ267" s="9"/>
      <c r="GR267" s="9"/>
      <c r="GS267" s="9"/>
      <c r="GT267" s="9"/>
      <c r="GU267" s="9"/>
      <c r="GV267" s="9"/>
      <c r="GW267" s="9"/>
      <c r="GX267" s="9"/>
      <c r="GY267" s="10"/>
      <c r="GZ267" s="9"/>
      <c r="HA267" s="9"/>
    </row>
    <row r="268" spans="1:209" s="2" customFormat="1" ht="17" customHeight="1">
      <c r="A268" s="14" t="s">
        <v>264</v>
      </c>
      <c r="B268" s="35">
        <v>0</v>
      </c>
      <c r="C268" s="35">
        <v>0</v>
      </c>
      <c r="D268" s="4">
        <f t="shared" si="72"/>
        <v>0</v>
      </c>
      <c r="E268" s="11">
        <v>0</v>
      </c>
      <c r="F268" s="5" t="s">
        <v>362</v>
      </c>
      <c r="G268" s="5" t="s">
        <v>362</v>
      </c>
      <c r="H268" s="5" t="s">
        <v>362</v>
      </c>
      <c r="I268" s="5" t="s">
        <v>362</v>
      </c>
      <c r="J268" s="5" t="s">
        <v>362</v>
      </c>
      <c r="K268" s="5" t="s">
        <v>362</v>
      </c>
      <c r="L268" s="5" t="s">
        <v>362</v>
      </c>
      <c r="M268" s="5" t="s">
        <v>362</v>
      </c>
      <c r="N268" s="35">
        <v>510.5</v>
      </c>
      <c r="O268" s="35">
        <v>448.5</v>
      </c>
      <c r="P268" s="4">
        <f t="shared" si="73"/>
        <v>0.87855044074436828</v>
      </c>
      <c r="Q268" s="11">
        <v>20</v>
      </c>
      <c r="R268" s="35">
        <v>6</v>
      </c>
      <c r="S268" s="35">
        <v>6.3</v>
      </c>
      <c r="T268" s="4">
        <f t="shared" si="74"/>
        <v>1.05</v>
      </c>
      <c r="U268" s="11">
        <v>15</v>
      </c>
      <c r="V268" s="35">
        <v>6</v>
      </c>
      <c r="W268" s="35">
        <v>7.8</v>
      </c>
      <c r="X268" s="4">
        <f t="shared" si="75"/>
        <v>1.21</v>
      </c>
      <c r="Y268" s="11">
        <v>35</v>
      </c>
      <c r="Z268" s="35">
        <v>3518</v>
      </c>
      <c r="AA268" s="35">
        <v>2907</v>
      </c>
      <c r="AB268" s="4">
        <f t="shared" si="76"/>
        <v>0.82632177373507676</v>
      </c>
      <c r="AC268" s="11">
        <v>5</v>
      </c>
      <c r="AD268" s="11">
        <v>111</v>
      </c>
      <c r="AE268" s="11">
        <v>112</v>
      </c>
      <c r="AF268" s="4">
        <f t="shared" si="77"/>
        <v>1.0090090090090089</v>
      </c>
      <c r="AG268" s="11">
        <v>20</v>
      </c>
      <c r="AH268" s="5" t="s">
        <v>362</v>
      </c>
      <c r="AI268" s="5" t="s">
        <v>362</v>
      </c>
      <c r="AJ268" s="5" t="s">
        <v>362</v>
      </c>
      <c r="AK268" s="5" t="s">
        <v>362</v>
      </c>
      <c r="AL268" s="5" t="s">
        <v>362</v>
      </c>
      <c r="AM268" s="5" t="s">
        <v>362</v>
      </c>
      <c r="AN268" s="5" t="s">
        <v>362</v>
      </c>
      <c r="AO268" s="5" t="s">
        <v>362</v>
      </c>
      <c r="AP268" s="44">
        <f t="shared" si="86"/>
        <v>1.0524505038288727</v>
      </c>
      <c r="AQ268" s="45">
        <v>684</v>
      </c>
      <c r="AR268" s="35">
        <f t="shared" si="78"/>
        <v>186.54545454545453</v>
      </c>
      <c r="AS268" s="35">
        <f t="shared" si="79"/>
        <v>196.3</v>
      </c>
      <c r="AT268" s="35">
        <f t="shared" si="80"/>
        <v>9.7545454545454788</v>
      </c>
      <c r="AU268" s="35">
        <v>59.2</v>
      </c>
      <c r="AV268" s="35">
        <v>75.5</v>
      </c>
      <c r="AW268" s="35">
        <f t="shared" si="81"/>
        <v>61.6</v>
      </c>
      <c r="AX268" s="35"/>
      <c r="AY268" s="35">
        <f t="shared" si="82"/>
        <v>61.6</v>
      </c>
      <c r="AZ268" s="35">
        <v>0</v>
      </c>
      <c r="BA268" s="35">
        <f t="shared" si="83"/>
        <v>61.6</v>
      </c>
      <c r="BB268" s="35"/>
      <c r="BC268" s="35">
        <f t="shared" si="84"/>
        <v>61.6</v>
      </c>
      <c r="BD268" s="35">
        <v>64</v>
      </c>
      <c r="BE268" s="35">
        <f t="shared" si="85"/>
        <v>-2.4</v>
      </c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9"/>
      <c r="BU268" s="9"/>
      <c r="BV268" s="9"/>
      <c r="BW268" s="9"/>
      <c r="BX268" s="9"/>
      <c r="BY268" s="9"/>
      <c r="BZ268" s="9"/>
      <c r="CA268" s="9"/>
      <c r="CB268" s="9"/>
      <c r="CC268" s="9"/>
      <c r="CD268" s="9"/>
      <c r="CE268" s="9"/>
      <c r="CF268" s="9"/>
      <c r="CG268" s="9"/>
      <c r="CH268" s="9"/>
      <c r="CI268" s="9"/>
      <c r="CJ268" s="9"/>
      <c r="CK268" s="9"/>
      <c r="CL268" s="9"/>
      <c r="CM268" s="9"/>
      <c r="CN268" s="9"/>
      <c r="CO268" s="9"/>
      <c r="CP268" s="9"/>
      <c r="CQ268" s="10"/>
      <c r="CR268" s="9"/>
      <c r="CS268" s="9"/>
      <c r="CT268" s="9"/>
      <c r="CU268" s="9"/>
      <c r="CV268" s="9"/>
      <c r="CW268" s="9"/>
      <c r="CX268" s="9"/>
      <c r="CY268" s="9"/>
      <c r="CZ268" s="9"/>
      <c r="DA268" s="9"/>
      <c r="DB268" s="9"/>
      <c r="DC268" s="9"/>
      <c r="DD268" s="9"/>
      <c r="DE268" s="9"/>
      <c r="DF268" s="9"/>
      <c r="DG268" s="9"/>
      <c r="DH268" s="9"/>
      <c r="DI268" s="9"/>
      <c r="DJ268" s="9"/>
      <c r="DK268" s="9"/>
      <c r="DL268" s="9"/>
      <c r="DM268" s="9"/>
      <c r="DN268" s="9"/>
      <c r="DO268" s="9"/>
      <c r="DP268" s="9"/>
      <c r="DQ268" s="9"/>
      <c r="DR268" s="9"/>
      <c r="DS268" s="10"/>
      <c r="DT268" s="9"/>
      <c r="DU268" s="9"/>
      <c r="DV268" s="9"/>
      <c r="DW268" s="9"/>
      <c r="DX268" s="9"/>
      <c r="DY268" s="9"/>
      <c r="DZ268" s="9"/>
      <c r="EA268" s="9"/>
      <c r="EB268" s="9"/>
      <c r="EC268" s="9"/>
      <c r="ED268" s="9"/>
      <c r="EE268" s="9"/>
      <c r="EF268" s="9"/>
      <c r="EG268" s="9"/>
      <c r="EH268" s="9"/>
      <c r="EI268" s="9"/>
      <c r="EJ268" s="9"/>
      <c r="EK268" s="9"/>
      <c r="EL268" s="9"/>
      <c r="EM268" s="9"/>
      <c r="EN268" s="9"/>
      <c r="EO268" s="9"/>
      <c r="EP268" s="9"/>
      <c r="EQ268" s="9"/>
      <c r="ER268" s="9"/>
      <c r="ES268" s="9"/>
      <c r="ET268" s="9"/>
      <c r="EU268" s="10"/>
      <c r="EV268" s="9"/>
      <c r="EW268" s="9"/>
      <c r="EX268" s="9"/>
      <c r="EY268" s="9"/>
      <c r="EZ268" s="9"/>
      <c r="FA268" s="9"/>
      <c r="FB268" s="9"/>
      <c r="FC268" s="9"/>
      <c r="FD268" s="9"/>
      <c r="FE268" s="9"/>
      <c r="FF268" s="9"/>
      <c r="FG268" s="9"/>
      <c r="FH268" s="9"/>
      <c r="FI268" s="9"/>
      <c r="FJ268" s="9"/>
      <c r="FK268" s="9"/>
      <c r="FL268" s="9"/>
      <c r="FM268" s="9"/>
      <c r="FN268" s="9"/>
      <c r="FO268" s="9"/>
      <c r="FP268" s="9"/>
      <c r="FQ268" s="9"/>
      <c r="FR268" s="9"/>
      <c r="FS268" s="9"/>
      <c r="FT268" s="9"/>
      <c r="FU268" s="9"/>
      <c r="FV268" s="9"/>
      <c r="FW268" s="10"/>
      <c r="FX268" s="9"/>
      <c r="FY268" s="9"/>
      <c r="FZ268" s="9"/>
      <c r="GA268" s="9"/>
      <c r="GB268" s="9"/>
      <c r="GC268" s="9"/>
      <c r="GD268" s="9"/>
      <c r="GE268" s="9"/>
      <c r="GF268" s="9"/>
      <c r="GG268" s="9"/>
      <c r="GH268" s="9"/>
      <c r="GI268" s="9"/>
      <c r="GJ268" s="9"/>
      <c r="GK268" s="9"/>
      <c r="GL268" s="9"/>
      <c r="GM268" s="9"/>
      <c r="GN268" s="9"/>
      <c r="GO268" s="9"/>
      <c r="GP268" s="9"/>
      <c r="GQ268" s="9"/>
      <c r="GR268" s="9"/>
      <c r="GS268" s="9"/>
      <c r="GT268" s="9"/>
      <c r="GU268" s="9"/>
      <c r="GV268" s="9"/>
      <c r="GW268" s="9"/>
      <c r="GX268" s="9"/>
      <c r="GY268" s="10"/>
      <c r="GZ268" s="9"/>
      <c r="HA268" s="9"/>
    </row>
    <row r="269" spans="1:209" s="2" customFormat="1" ht="17" customHeight="1">
      <c r="A269" s="14" t="s">
        <v>265</v>
      </c>
      <c r="B269" s="35">
        <v>0</v>
      </c>
      <c r="C269" s="35">
        <v>0</v>
      </c>
      <c r="D269" s="4">
        <f t="shared" si="72"/>
        <v>0</v>
      </c>
      <c r="E269" s="11">
        <v>0</v>
      </c>
      <c r="F269" s="5" t="s">
        <v>362</v>
      </c>
      <c r="G269" s="5" t="s">
        <v>362</v>
      </c>
      <c r="H269" s="5" t="s">
        <v>362</v>
      </c>
      <c r="I269" s="5" t="s">
        <v>362</v>
      </c>
      <c r="J269" s="5" t="s">
        <v>362</v>
      </c>
      <c r="K269" s="5" t="s">
        <v>362</v>
      </c>
      <c r="L269" s="5" t="s">
        <v>362</v>
      </c>
      <c r="M269" s="5" t="s">
        <v>362</v>
      </c>
      <c r="N269" s="35">
        <v>296.89999999999998</v>
      </c>
      <c r="O269" s="35">
        <v>253.1</v>
      </c>
      <c r="P269" s="4">
        <f t="shared" si="73"/>
        <v>0.85247558100370502</v>
      </c>
      <c r="Q269" s="11">
        <v>20</v>
      </c>
      <c r="R269" s="35">
        <v>5</v>
      </c>
      <c r="S269" s="35">
        <v>6.7</v>
      </c>
      <c r="T269" s="4">
        <f t="shared" si="74"/>
        <v>1.214</v>
      </c>
      <c r="U269" s="11">
        <v>20</v>
      </c>
      <c r="V269" s="35">
        <v>3.6</v>
      </c>
      <c r="W269" s="35">
        <v>3.6</v>
      </c>
      <c r="X269" s="4">
        <f t="shared" si="75"/>
        <v>1</v>
      </c>
      <c r="Y269" s="11">
        <v>30</v>
      </c>
      <c r="Z269" s="35">
        <v>2652</v>
      </c>
      <c r="AA269" s="35">
        <v>2687</v>
      </c>
      <c r="AB269" s="4">
        <f t="shared" si="76"/>
        <v>1.0131975867269984</v>
      </c>
      <c r="AC269" s="11">
        <v>5</v>
      </c>
      <c r="AD269" s="11">
        <v>155</v>
      </c>
      <c r="AE269" s="11">
        <v>159</v>
      </c>
      <c r="AF269" s="4">
        <f t="shared" si="77"/>
        <v>1.0258064516129033</v>
      </c>
      <c r="AG269" s="11">
        <v>20</v>
      </c>
      <c r="AH269" s="5" t="s">
        <v>362</v>
      </c>
      <c r="AI269" s="5" t="s">
        <v>362</v>
      </c>
      <c r="AJ269" s="5" t="s">
        <v>362</v>
      </c>
      <c r="AK269" s="5" t="s">
        <v>362</v>
      </c>
      <c r="AL269" s="5" t="s">
        <v>362</v>
      </c>
      <c r="AM269" s="5" t="s">
        <v>362</v>
      </c>
      <c r="AN269" s="5" t="s">
        <v>362</v>
      </c>
      <c r="AO269" s="5" t="s">
        <v>362</v>
      </c>
      <c r="AP269" s="44">
        <f t="shared" si="86"/>
        <v>1.0201224061680754</v>
      </c>
      <c r="AQ269" s="45">
        <v>799</v>
      </c>
      <c r="AR269" s="35">
        <f t="shared" si="78"/>
        <v>217.90909090909093</v>
      </c>
      <c r="AS269" s="35">
        <f t="shared" si="79"/>
        <v>222.3</v>
      </c>
      <c r="AT269" s="35">
        <f t="shared" si="80"/>
        <v>4.3909090909090764</v>
      </c>
      <c r="AU269" s="35">
        <v>71.099999999999994</v>
      </c>
      <c r="AV269" s="35">
        <v>64</v>
      </c>
      <c r="AW269" s="35">
        <f t="shared" si="81"/>
        <v>87.2</v>
      </c>
      <c r="AX269" s="35"/>
      <c r="AY269" s="35">
        <f t="shared" si="82"/>
        <v>87.2</v>
      </c>
      <c r="AZ269" s="35">
        <v>0</v>
      </c>
      <c r="BA269" s="35">
        <f t="shared" si="83"/>
        <v>87.2</v>
      </c>
      <c r="BB269" s="35">
        <f>MIN(BA269,10.9)</f>
        <v>10.9</v>
      </c>
      <c r="BC269" s="35">
        <f t="shared" si="84"/>
        <v>76.3</v>
      </c>
      <c r="BD269" s="35">
        <v>76.400000000000006</v>
      </c>
      <c r="BE269" s="35">
        <f t="shared" si="85"/>
        <v>-0.1</v>
      </c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9"/>
      <c r="BU269" s="9"/>
      <c r="BV269" s="9"/>
      <c r="BW269" s="9"/>
      <c r="BX269" s="9"/>
      <c r="BY269" s="9"/>
      <c r="BZ269" s="9"/>
      <c r="CA269" s="9"/>
      <c r="CB269" s="9"/>
      <c r="CC269" s="9"/>
      <c r="CD269" s="9"/>
      <c r="CE269" s="9"/>
      <c r="CF269" s="9"/>
      <c r="CG269" s="9"/>
      <c r="CH269" s="9"/>
      <c r="CI269" s="9"/>
      <c r="CJ269" s="9"/>
      <c r="CK269" s="9"/>
      <c r="CL269" s="9"/>
      <c r="CM269" s="9"/>
      <c r="CN269" s="9"/>
      <c r="CO269" s="9"/>
      <c r="CP269" s="9"/>
      <c r="CQ269" s="10"/>
      <c r="CR269" s="9"/>
      <c r="CS269" s="9"/>
      <c r="CT269" s="9"/>
      <c r="CU269" s="9"/>
      <c r="CV269" s="9"/>
      <c r="CW269" s="9"/>
      <c r="CX269" s="9"/>
      <c r="CY269" s="9"/>
      <c r="CZ269" s="9"/>
      <c r="DA269" s="9"/>
      <c r="DB269" s="9"/>
      <c r="DC269" s="9"/>
      <c r="DD269" s="9"/>
      <c r="DE269" s="9"/>
      <c r="DF269" s="9"/>
      <c r="DG269" s="9"/>
      <c r="DH269" s="9"/>
      <c r="DI269" s="9"/>
      <c r="DJ269" s="9"/>
      <c r="DK269" s="9"/>
      <c r="DL269" s="9"/>
      <c r="DM269" s="9"/>
      <c r="DN269" s="9"/>
      <c r="DO269" s="9"/>
      <c r="DP269" s="9"/>
      <c r="DQ269" s="9"/>
      <c r="DR269" s="9"/>
      <c r="DS269" s="10"/>
      <c r="DT269" s="9"/>
      <c r="DU269" s="9"/>
      <c r="DV269" s="9"/>
      <c r="DW269" s="9"/>
      <c r="DX269" s="9"/>
      <c r="DY269" s="9"/>
      <c r="DZ269" s="9"/>
      <c r="EA269" s="9"/>
      <c r="EB269" s="9"/>
      <c r="EC269" s="9"/>
      <c r="ED269" s="9"/>
      <c r="EE269" s="9"/>
      <c r="EF269" s="9"/>
      <c r="EG269" s="9"/>
      <c r="EH269" s="9"/>
      <c r="EI269" s="9"/>
      <c r="EJ269" s="9"/>
      <c r="EK269" s="9"/>
      <c r="EL269" s="9"/>
      <c r="EM269" s="9"/>
      <c r="EN269" s="9"/>
      <c r="EO269" s="9"/>
      <c r="EP269" s="9"/>
      <c r="EQ269" s="9"/>
      <c r="ER269" s="9"/>
      <c r="ES269" s="9"/>
      <c r="ET269" s="9"/>
      <c r="EU269" s="10"/>
      <c r="EV269" s="9"/>
      <c r="EW269" s="9"/>
      <c r="EX269" s="9"/>
      <c r="EY269" s="9"/>
      <c r="EZ269" s="9"/>
      <c r="FA269" s="9"/>
      <c r="FB269" s="9"/>
      <c r="FC269" s="9"/>
      <c r="FD269" s="9"/>
      <c r="FE269" s="9"/>
      <c r="FF269" s="9"/>
      <c r="FG269" s="9"/>
      <c r="FH269" s="9"/>
      <c r="FI269" s="9"/>
      <c r="FJ269" s="9"/>
      <c r="FK269" s="9"/>
      <c r="FL269" s="9"/>
      <c r="FM269" s="9"/>
      <c r="FN269" s="9"/>
      <c r="FO269" s="9"/>
      <c r="FP269" s="9"/>
      <c r="FQ269" s="9"/>
      <c r="FR269" s="9"/>
      <c r="FS269" s="9"/>
      <c r="FT269" s="9"/>
      <c r="FU269" s="9"/>
      <c r="FV269" s="9"/>
      <c r="FW269" s="10"/>
      <c r="FX269" s="9"/>
      <c r="FY269" s="9"/>
      <c r="FZ269" s="9"/>
      <c r="GA269" s="9"/>
      <c r="GB269" s="9"/>
      <c r="GC269" s="9"/>
      <c r="GD269" s="9"/>
      <c r="GE269" s="9"/>
      <c r="GF269" s="9"/>
      <c r="GG269" s="9"/>
      <c r="GH269" s="9"/>
      <c r="GI269" s="9"/>
      <c r="GJ269" s="9"/>
      <c r="GK269" s="9"/>
      <c r="GL269" s="9"/>
      <c r="GM269" s="9"/>
      <c r="GN269" s="9"/>
      <c r="GO269" s="9"/>
      <c r="GP269" s="9"/>
      <c r="GQ269" s="9"/>
      <c r="GR269" s="9"/>
      <c r="GS269" s="9"/>
      <c r="GT269" s="9"/>
      <c r="GU269" s="9"/>
      <c r="GV269" s="9"/>
      <c r="GW269" s="9"/>
      <c r="GX269" s="9"/>
      <c r="GY269" s="10"/>
      <c r="GZ269" s="9"/>
      <c r="HA269" s="9"/>
    </row>
    <row r="270" spans="1:209" s="2" customFormat="1" ht="17" customHeight="1">
      <c r="A270" s="14" t="s">
        <v>266</v>
      </c>
      <c r="B270" s="35">
        <v>0</v>
      </c>
      <c r="C270" s="35">
        <v>0</v>
      </c>
      <c r="D270" s="4">
        <f t="shared" si="72"/>
        <v>0</v>
      </c>
      <c r="E270" s="11">
        <v>0</v>
      </c>
      <c r="F270" s="5" t="s">
        <v>362</v>
      </c>
      <c r="G270" s="5" t="s">
        <v>362</v>
      </c>
      <c r="H270" s="5" t="s">
        <v>362</v>
      </c>
      <c r="I270" s="5" t="s">
        <v>362</v>
      </c>
      <c r="J270" s="5" t="s">
        <v>362</v>
      </c>
      <c r="K270" s="5" t="s">
        <v>362</v>
      </c>
      <c r="L270" s="5" t="s">
        <v>362</v>
      </c>
      <c r="M270" s="5" t="s">
        <v>362</v>
      </c>
      <c r="N270" s="35">
        <v>226.5</v>
      </c>
      <c r="O270" s="35">
        <v>121.7</v>
      </c>
      <c r="P270" s="4">
        <f t="shared" si="73"/>
        <v>0.5373068432671082</v>
      </c>
      <c r="Q270" s="11">
        <v>20</v>
      </c>
      <c r="R270" s="35">
        <v>0</v>
      </c>
      <c r="S270" s="35">
        <v>0</v>
      </c>
      <c r="T270" s="4">
        <f t="shared" si="74"/>
        <v>1</v>
      </c>
      <c r="U270" s="11">
        <v>30</v>
      </c>
      <c r="V270" s="35">
        <v>3</v>
      </c>
      <c r="W270" s="35">
        <v>3.1</v>
      </c>
      <c r="X270" s="4">
        <f t="shared" si="75"/>
        <v>1.0333333333333334</v>
      </c>
      <c r="Y270" s="11">
        <v>20</v>
      </c>
      <c r="Z270" s="35">
        <v>4589</v>
      </c>
      <c r="AA270" s="35">
        <v>4223</v>
      </c>
      <c r="AB270" s="4">
        <f t="shared" si="76"/>
        <v>0.92024406188712138</v>
      </c>
      <c r="AC270" s="11">
        <v>5</v>
      </c>
      <c r="AD270" s="11">
        <v>250</v>
      </c>
      <c r="AE270" s="11">
        <v>250</v>
      </c>
      <c r="AF270" s="4">
        <f t="shared" si="77"/>
        <v>1</v>
      </c>
      <c r="AG270" s="11">
        <v>20</v>
      </c>
      <c r="AH270" s="5" t="s">
        <v>362</v>
      </c>
      <c r="AI270" s="5" t="s">
        <v>362</v>
      </c>
      <c r="AJ270" s="5" t="s">
        <v>362</v>
      </c>
      <c r="AK270" s="5" t="s">
        <v>362</v>
      </c>
      <c r="AL270" s="5" t="s">
        <v>362</v>
      </c>
      <c r="AM270" s="5" t="s">
        <v>362</v>
      </c>
      <c r="AN270" s="5" t="s">
        <v>362</v>
      </c>
      <c r="AO270" s="5" t="s">
        <v>362</v>
      </c>
      <c r="AP270" s="44">
        <f t="shared" si="86"/>
        <v>0.9054107772783625</v>
      </c>
      <c r="AQ270" s="45">
        <v>836</v>
      </c>
      <c r="AR270" s="35">
        <f t="shared" si="78"/>
        <v>228</v>
      </c>
      <c r="AS270" s="35">
        <f t="shared" si="79"/>
        <v>206.4</v>
      </c>
      <c r="AT270" s="35">
        <f t="shared" si="80"/>
        <v>-21.599999999999994</v>
      </c>
      <c r="AU270" s="35">
        <v>71.5</v>
      </c>
      <c r="AV270" s="35">
        <v>61</v>
      </c>
      <c r="AW270" s="35">
        <f t="shared" si="81"/>
        <v>73.900000000000006</v>
      </c>
      <c r="AX270" s="35"/>
      <c r="AY270" s="35">
        <f t="shared" si="82"/>
        <v>73.900000000000006</v>
      </c>
      <c r="AZ270" s="35">
        <v>0</v>
      </c>
      <c r="BA270" s="35">
        <f t="shared" si="83"/>
        <v>73.900000000000006</v>
      </c>
      <c r="BB270" s="35">
        <f>MIN(BA270,16.8)</f>
        <v>16.8</v>
      </c>
      <c r="BC270" s="35">
        <f t="shared" si="84"/>
        <v>57.1</v>
      </c>
      <c r="BD270" s="35">
        <v>56.9</v>
      </c>
      <c r="BE270" s="35">
        <f t="shared" si="85"/>
        <v>0.2</v>
      </c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9"/>
      <c r="BU270" s="9"/>
      <c r="BV270" s="9"/>
      <c r="BW270" s="9"/>
      <c r="BX270" s="9"/>
      <c r="BY270" s="9"/>
      <c r="BZ270" s="9"/>
      <c r="CA270" s="9"/>
      <c r="CB270" s="9"/>
      <c r="CC270" s="9"/>
      <c r="CD270" s="9"/>
      <c r="CE270" s="9"/>
      <c r="CF270" s="9"/>
      <c r="CG270" s="9"/>
      <c r="CH270" s="9"/>
      <c r="CI270" s="9"/>
      <c r="CJ270" s="9"/>
      <c r="CK270" s="9"/>
      <c r="CL270" s="9"/>
      <c r="CM270" s="9"/>
      <c r="CN270" s="9"/>
      <c r="CO270" s="9"/>
      <c r="CP270" s="9"/>
      <c r="CQ270" s="10"/>
      <c r="CR270" s="9"/>
      <c r="CS270" s="9"/>
      <c r="CT270" s="9"/>
      <c r="CU270" s="9"/>
      <c r="CV270" s="9"/>
      <c r="CW270" s="9"/>
      <c r="CX270" s="9"/>
      <c r="CY270" s="9"/>
      <c r="CZ270" s="9"/>
      <c r="DA270" s="9"/>
      <c r="DB270" s="9"/>
      <c r="DC270" s="9"/>
      <c r="DD270" s="9"/>
      <c r="DE270" s="9"/>
      <c r="DF270" s="9"/>
      <c r="DG270" s="9"/>
      <c r="DH270" s="9"/>
      <c r="DI270" s="9"/>
      <c r="DJ270" s="9"/>
      <c r="DK270" s="9"/>
      <c r="DL270" s="9"/>
      <c r="DM270" s="9"/>
      <c r="DN270" s="9"/>
      <c r="DO270" s="9"/>
      <c r="DP270" s="9"/>
      <c r="DQ270" s="9"/>
      <c r="DR270" s="9"/>
      <c r="DS270" s="10"/>
      <c r="DT270" s="9"/>
      <c r="DU270" s="9"/>
      <c r="DV270" s="9"/>
      <c r="DW270" s="9"/>
      <c r="DX270" s="9"/>
      <c r="DY270" s="9"/>
      <c r="DZ270" s="9"/>
      <c r="EA270" s="9"/>
      <c r="EB270" s="9"/>
      <c r="EC270" s="9"/>
      <c r="ED270" s="9"/>
      <c r="EE270" s="9"/>
      <c r="EF270" s="9"/>
      <c r="EG270" s="9"/>
      <c r="EH270" s="9"/>
      <c r="EI270" s="9"/>
      <c r="EJ270" s="9"/>
      <c r="EK270" s="9"/>
      <c r="EL270" s="9"/>
      <c r="EM270" s="9"/>
      <c r="EN270" s="9"/>
      <c r="EO270" s="9"/>
      <c r="EP270" s="9"/>
      <c r="EQ270" s="9"/>
      <c r="ER270" s="9"/>
      <c r="ES270" s="9"/>
      <c r="ET270" s="9"/>
      <c r="EU270" s="10"/>
      <c r="EV270" s="9"/>
      <c r="EW270" s="9"/>
      <c r="EX270" s="9"/>
      <c r="EY270" s="9"/>
      <c r="EZ270" s="9"/>
      <c r="FA270" s="9"/>
      <c r="FB270" s="9"/>
      <c r="FC270" s="9"/>
      <c r="FD270" s="9"/>
      <c r="FE270" s="9"/>
      <c r="FF270" s="9"/>
      <c r="FG270" s="9"/>
      <c r="FH270" s="9"/>
      <c r="FI270" s="9"/>
      <c r="FJ270" s="9"/>
      <c r="FK270" s="9"/>
      <c r="FL270" s="9"/>
      <c r="FM270" s="9"/>
      <c r="FN270" s="9"/>
      <c r="FO270" s="9"/>
      <c r="FP270" s="9"/>
      <c r="FQ270" s="9"/>
      <c r="FR270" s="9"/>
      <c r="FS270" s="9"/>
      <c r="FT270" s="9"/>
      <c r="FU270" s="9"/>
      <c r="FV270" s="9"/>
      <c r="FW270" s="10"/>
      <c r="FX270" s="9"/>
      <c r="FY270" s="9"/>
      <c r="FZ270" s="9"/>
      <c r="GA270" s="9"/>
      <c r="GB270" s="9"/>
      <c r="GC270" s="9"/>
      <c r="GD270" s="9"/>
      <c r="GE270" s="9"/>
      <c r="GF270" s="9"/>
      <c r="GG270" s="9"/>
      <c r="GH270" s="9"/>
      <c r="GI270" s="9"/>
      <c r="GJ270" s="9"/>
      <c r="GK270" s="9"/>
      <c r="GL270" s="9"/>
      <c r="GM270" s="9"/>
      <c r="GN270" s="9"/>
      <c r="GO270" s="9"/>
      <c r="GP270" s="9"/>
      <c r="GQ270" s="9"/>
      <c r="GR270" s="9"/>
      <c r="GS270" s="9"/>
      <c r="GT270" s="9"/>
      <c r="GU270" s="9"/>
      <c r="GV270" s="9"/>
      <c r="GW270" s="9"/>
      <c r="GX270" s="9"/>
      <c r="GY270" s="10"/>
      <c r="GZ270" s="9"/>
      <c r="HA270" s="9"/>
    </row>
    <row r="271" spans="1:209" s="2" customFormat="1" ht="17" customHeight="1">
      <c r="A271" s="14" t="s">
        <v>267</v>
      </c>
      <c r="B271" s="35">
        <v>0</v>
      </c>
      <c r="C271" s="35">
        <v>0</v>
      </c>
      <c r="D271" s="4">
        <f t="shared" si="72"/>
        <v>0</v>
      </c>
      <c r="E271" s="11">
        <v>0</v>
      </c>
      <c r="F271" s="5" t="s">
        <v>362</v>
      </c>
      <c r="G271" s="5" t="s">
        <v>362</v>
      </c>
      <c r="H271" s="5" t="s">
        <v>362</v>
      </c>
      <c r="I271" s="5" t="s">
        <v>362</v>
      </c>
      <c r="J271" s="5" t="s">
        <v>362</v>
      </c>
      <c r="K271" s="5" t="s">
        <v>362</v>
      </c>
      <c r="L271" s="5" t="s">
        <v>362</v>
      </c>
      <c r="M271" s="5" t="s">
        <v>362</v>
      </c>
      <c r="N271" s="35">
        <v>196</v>
      </c>
      <c r="O271" s="35">
        <v>172.1</v>
      </c>
      <c r="P271" s="4">
        <f t="shared" si="73"/>
        <v>0.87806122448979584</v>
      </c>
      <c r="Q271" s="11">
        <v>20</v>
      </c>
      <c r="R271" s="35">
        <v>0</v>
      </c>
      <c r="S271" s="35">
        <v>1.7</v>
      </c>
      <c r="T271" s="4">
        <f t="shared" si="74"/>
        <v>1</v>
      </c>
      <c r="U271" s="11">
        <v>20</v>
      </c>
      <c r="V271" s="35">
        <v>3</v>
      </c>
      <c r="W271" s="35">
        <v>0</v>
      </c>
      <c r="X271" s="4">
        <f t="shared" si="75"/>
        <v>0</v>
      </c>
      <c r="Y271" s="11">
        <v>30</v>
      </c>
      <c r="Z271" s="35">
        <v>1961</v>
      </c>
      <c r="AA271" s="35">
        <v>2523</v>
      </c>
      <c r="AB271" s="4">
        <f t="shared" si="76"/>
        <v>1.2086588475267721</v>
      </c>
      <c r="AC271" s="11">
        <v>5</v>
      </c>
      <c r="AD271" s="11">
        <v>94</v>
      </c>
      <c r="AE271" s="11">
        <v>94</v>
      </c>
      <c r="AF271" s="4">
        <f t="shared" si="77"/>
        <v>1</v>
      </c>
      <c r="AG271" s="11">
        <v>20</v>
      </c>
      <c r="AH271" s="5" t="s">
        <v>362</v>
      </c>
      <c r="AI271" s="5" t="s">
        <v>362</v>
      </c>
      <c r="AJ271" s="5" t="s">
        <v>362</v>
      </c>
      <c r="AK271" s="5" t="s">
        <v>362</v>
      </c>
      <c r="AL271" s="5" t="s">
        <v>362</v>
      </c>
      <c r="AM271" s="5" t="s">
        <v>362</v>
      </c>
      <c r="AN271" s="5" t="s">
        <v>362</v>
      </c>
      <c r="AO271" s="5" t="s">
        <v>362</v>
      </c>
      <c r="AP271" s="44">
        <f t="shared" si="86"/>
        <v>0.66952124976241867</v>
      </c>
      <c r="AQ271" s="45">
        <v>627</v>
      </c>
      <c r="AR271" s="35">
        <f t="shared" si="78"/>
        <v>171</v>
      </c>
      <c r="AS271" s="35">
        <f t="shared" si="79"/>
        <v>114.5</v>
      </c>
      <c r="AT271" s="35">
        <f t="shared" si="80"/>
        <v>-56.5</v>
      </c>
      <c r="AU271" s="35">
        <v>32.200000000000003</v>
      </c>
      <c r="AV271" s="35">
        <v>27.9</v>
      </c>
      <c r="AW271" s="35">
        <f t="shared" si="81"/>
        <v>54.4</v>
      </c>
      <c r="AX271" s="35"/>
      <c r="AY271" s="35">
        <f t="shared" si="82"/>
        <v>54.4</v>
      </c>
      <c r="AZ271" s="35">
        <v>0</v>
      </c>
      <c r="BA271" s="35">
        <f t="shared" si="83"/>
        <v>54.4</v>
      </c>
      <c r="BB271" s="35"/>
      <c r="BC271" s="35">
        <f t="shared" si="84"/>
        <v>54.4</v>
      </c>
      <c r="BD271" s="35">
        <v>49.3</v>
      </c>
      <c r="BE271" s="35">
        <f t="shared" si="85"/>
        <v>5.0999999999999996</v>
      </c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9"/>
      <c r="BU271" s="9"/>
      <c r="BV271" s="9"/>
      <c r="BW271" s="9"/>
      <c r="BX271" s="9"/>
      <c r="BY271" s="9"/>
      <c r="BZ271" s="9"/>
      <c r="CA271" s="9"/>
      <c r="CB271" s="9"/>
      <c r="CC271" s="9"/>
      <c r="CD271" s="9"/>
      <c r="CE271" s="9"/>
      <c r="CF271" s="9"/>
      <c r="CG271" s="9"/>
      <c r="CH271" s="9"/>
      <c r="CI271" s="9"/>
      <c r="CJ271" s="9"/>
      <c r="CK271" s="9"/>
      <c r="CL271" s="9"/>
      <c r="CM271" s="9"/>
      <c r="CN271" s="9"/>
      <c r="CO271" s="9"/>
      <c r="CP271" s="9"/>
      <c r="CQ271" s="10"/>
      <c r="CR271" s="9"/>
      <c r="CS271" s="9"/>
      <c r="CT271" s="9"/>
      <c r="CU271" s="9"/>
      <c r="CV271" s="9"/>
      <c r="CW271" s="9"/>
      <c r="CX271" s="9"/>
      <c r="CY271" s="9"/>
      <c r="CZ271" s="9"/>
      <c r="DA271" s="9"/>
      <c r="DB271" s="9"/>
      <c r="DC271" s="9"/>
      <c r="DD271" s="9"/>
      <c r="DE271" s="9"/>
      <c r="DF271" s="9"/>
      <c r="DG271" s="9"/>
      <c r="DH271" s="9"/>
      <c r="DI271" s="9"/>
      <c r="DJ271" s="9"/>
      <c r="DK271" s="9"/>
      <c r="DL271" s="9"/>
      <c r="DM271" s="9"/>
      <c r="DN271" s="9"/>
      <c r="DO271" s="9"/>
      <c r="DP271" s="9"/>
      <c r="DQ271" s="9"/>
      <c r="DR271" s="9"/>
      <c r="DS271" s="10"/>
      <c r="DT271" s="9"/>
      <c r="DU271" s="9"/>
      <c r="DV271" s="9"/>
      <c r="DW271" s="9"/>
      <c r="DX271" s="9"/>
      <c r="DY271" s="9"/>
      <c r="DZ271" s="9"/>
      <c r="EA271" s="9"/>
      <c r="EB271" s="9"/>
      <c r="EC271" s="9"/>
      <c r="ED271" s="9"/>
      <c r="EE271" s="9"/>
      <c r="EF271" s="9"/>
      <c r="EG271" s="9"/>
      <c r="EH271" s="9"/>
      <c r="EI271" s="9"/>
      <c r="EJ271" s="9"/>
      <c r="EK271" s="9"/>
      <c r="EL271" s="9"/>
      <c r="EM271" s="9"/>
      <c r="EN271" s="9"/>
      <c r="EO271" s="9"/>
      <c r="EP271" s="9"/>
      <c r="EQ271" s="9"/>
      <c r="ER271" s="9"/>
      <c r="ES271" s="9"/>
      <c r="ET271" s="9"/>
      <c r="EU271" s="10"/>
      <c r="EV271" s="9"/>
      <c r="EW271" s="9"/>
      <c r="EX271" s="9"/>
      <c r="EY271" s="9"/>
      <c r="EZ271" s="9"/>
      <c r="FA271" s="9"/>
      <c r="FB271" s="9"/>
      <c r="FC271" s="9"/>
      <c r="FD271" s="9"/>
      <c r="FE271" s="9"/>
      <c r="FF271" s="9"/>
      <c r="FG271" s="9"/>
      <c r="FH271" s="9"/>
      <c r="FI271" s="9"/>
      <c r="FJ271" s="9"/>
      <c r="FK271" s="9"/>
      <c r="FL271" s="9"/>
      <c r="FM271" s="9"/>
      <c r="FN271" s="9"/>
      <c r="FO271" s="9"/>
      <c r="FP271" s="9"/>
      <c r="FQ271" s="9"/>
      <c r="FR271" s="9"/>
      <c r="FS271" s="9"/>
      <c r="FT271" s="9"/>
      <c r="FU271" s="9"/>
      <c r="FV271" s="9"/>
      <c r="FW271" s="10"/>
      <c r="FX271" s="9"/>
      <c r="FY271" s="9"/>
      <c r="FZ271" s="9"/>
      <c r="GA271" s="9"/>
      <c r="GB271" s="9"/>
      <c r="GC271" s="9"/>
      <c r="GD271" s="9"/>
      <c r="GE271" s="9"/>
      <c r="GF271" s="9"/>
      <c r="GG271" s="9"/>
      <c r="GH271" s="9"/>
      <c r="GI271" s="9"/>
      <c r="GJ271" s="9"/>
      <c r="GK271" s="9"/>
      <c r="GL271" s="9"/>
      <c r="GM271" s="9"/>
      <c r="GN271" s="9"/>
      <c r="GO271" s="9"/>
      <c r="GP271" s="9"/>
      <c r="GQ271" s="9"/>
      <c r="GR271" s="9"/>
      <c r="GS271" s="9"/>
      <c r="GT271" s="9"/>
      <c r="GU271" s="9"/>
      <c r="GV271" s="9"/>
      <c r="GW271" s="9"/>
      <c r="GX271" s="9"/>
      <c r="GY271" s="10"/>
      <c r="GZ271" s="9"/>
      <c r="HA271" s="9"/>
    </row>
    <row r="272" spans="1:209" s="2" customFormat="1" ht="17" customHeight="1">
      <c r="A272" s="14" t="s">
        <v>268</v>
      </c>
      <c r="B272" s="35">
        <v>0</v>
      </c>
      <c r="C272" s="35">
        <v>0</v>
      </c>
      <c r="D272" s="4">
        <f t="shared" si="72"/>
        <v>0</v>
      </c>
      <c r="E272" s="11">
        <v>0</v>
      </c>
      <c r="F272" s="5" t="s">
        <v>362</v>
      </c>
      <c r="G272" s="5" t="s">
        <v>362</v>
      </c>
      <c r="H272" s="5" t="s">
        <v>362</v>
      </c>
      <c r="I272" s="5" t="s">
        <v>362</v>
      </c>
      <c r="J272" s="5" t="s">
        <v>362</v>
      </c>
      <c r="K272" s="5" t="s">
        <v>362</v>
      </c>
      <c r="L272" s="5" t="s">
        <v>362</v>
      </c>
      <c r="M272" s="5" t="s">
        <v>362</v>
      </c>
      <c r="N272" s="35">
        <v>388.7</v>
      </c>
      <c r="O272" s="35">
        <v>379.8</v>
      </c>
      <c r="P272" s="4">
        <f t="shared" si="73"/>
        <v>0.97710316439413436</v>
      </c>
      <c r="Q272" s="11">
        <v>20</v>
      </c>
      <c r="R272" s="35">
        <v>6</v>
      </c>
      <c r="S272" s="35">
        <v>6.1</v>
      </c>
      <c r="T272" s="4">
        <f t="shared" si="74"/>
        <v>1.0166666666666666</v>
      </c>
      <c r="U272" s="11">
        <v>15</v>
      </c>
      <c r="V272" s="35">
        <v>4</v>
      </c>
      <c r="W272" s="35">
        <v>4.3</v>
      </c>
      <c r="X272" s="4">
        <f t="shared" si="75"/>
        <v>1.075</v>
      </c>
      <c r="Y272" s="11">
        <v>35</v>
      </c>
      <c r="Z272" s="35">
        <v>2315</v>
      </c>
      <c r="AA272" s="35">
        <v>2139</v>
      </c>
      <c r="AB272" s="4">
        <f t="shared" si="76"/>
        <v>0.92397408207343412</v>
      </c>
      <c r="AC272" s="11">
        <v>5</v>
      </c>
      <c r="AD272" s="11">
        <v>196</v>
      </c>
      <c r="AE272" s="11">
        <v>270</v>
      </c>
      <c r="AF272" s="4">
        <f t="shared" si="77"/>
        <v>1.2177551020408164</v>
      </c>
      <c r="AG272" s="11">
        <v>20</v>
      </c>
      <c r="AH272" s="5" t="s">
        <v>362</v>
      </c>
      <c r="AI272" s="5" t="s">
        <v>362</v>
      </c>
      <c r="AJ272" s="5" t="s">
        <v>362</v>
      </c>
      <c r="AK272" s="5" t="s">
        <v>362</v>
      </c>
      <c r="AL272" s="5" t="s">
        <v>362</v>
      </c>
      <c r="AM272" s="5" t="s">
        <v>362</v>
      </c>
      <c r="AN272" s="5" t="s">
        <v>362</v>
      </c>
      <c r="AO272" s="5" t="s">
        <v>362</v>
      </c>
      <c r="AP272" s="44">
        <f t="shared" si="86"/>
        <v>1.0672845867270124</v>
      </c>
      <c r="AQ272" s="45">
        <v>743</v>
      </c>
      <c r="AR272" s="35">
        <f t="shared" si="78"/>
        <v>202.63636363636363</v>
      </c>
      <c r="AS272" s="35">
        <f t="shared" si="79"/>
        <v>216.3</v>
      </c>
      <c r="AT272" s="35">
        <f t="shared" si="80"/>
        <v>13.663636363636385</v>
      </c>
      <c r="AU272" s="35">
        <v>63</v>
      </c>
      <c r="AV272" s="35">
        <v>74.3</v>
      </c>
      <c r="AW272" s="35">
        <f t="shared" si="81"/>
        <v>79</v>
      </c>
      <c r="AX272" s="35"/>
      <c r="AY272" s="35">
        <f t="shared" si="82"/>
        <v>79</v>
      </c>
      <c r="AZ272" s="35">
        <v>0</v>
      </c>
      <c r="BA272" s="35">
        <f t="shared" si="83"/>
        <v>79</v>
      </c>
      <c r="BB272" s="35"/>
      <c r="BC272" s="35">
        <f t="shared" si="84"/>
        <v>79</v>
      </c>
      <c r="BD272" s="35">
        <v>80.599999999999994</v>
      </c>
      <c r="BE272" s="35">
        <f t="shared" si="85"/>
        <v>-1.6</v>
      </c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9"/>
      <c r="BU272" s="9"/>
      <c r="BV272" s="9"/>
      <c r="BW272" s="9"/>
      <c r="BX272" s="9"/>
      <c r="BY272" s="9"/>
      <c r="BZ272" s="9"/>
      <c r="CA272" s="9"/>
      <c r="CB272" s="9"/>
      <c r="CC272" s="9"/>
      <c r="CD272" s="9"/>
      <c r="CE272" s="9"/>
      <c r="CF272" s="9"/>
      <c r="CG272" s="9"/>
      <c r="CH272" s="9"/>
      <c r="CI272" s="9"/>
      <c r="CJ272" s="9"/>
      <c r="CK272" s="9"/>
      <c r="CL272" s="9"/>
      <c r="CM272" s="9"/>
      <c r="CN272" s="9"/>
      <c r="CO272" s="9"/>
      <c r="CP272" s="9"/>
      <c r="CQ272" s="10"/>
      <c r="CR272" s="9"/>
      <c r="CS272" s="9"/>
      <c r="CT272" s="9"/>
      <c r="CU272" s="9"/>
      <c r="CV272" s="9"/>
      <c r="CW272" s="9"/>
      <c r="CX272" s="9"/>
      <c r="CY272" s="9"/>
      <c r="CZ272" s="9"/>
      <c r="DA272" s="9"/>
      <c r="DB272" s="9"/>
      <c r="DC272" s="9"/>
      <c r="DD272" s="9"/>
      <c r="DE272" s="9"/>
      <c r="DF272" s="9"/>
      <c r="DG272" s="9"/>
      <c r="DH272" s="9"/>
      <c r="DI272" s="9"/>
      <c r="DJ272" s="9"/>
      <c r="DK272" s="9"/>
      <c r="DL272" s="9"/>
      <c r="DM272" s="9"/>
      <c r="DN272" s="9"/>
      <c r="DO272" s="9"/>
      <c r="DP272" s="9"/>
      <c r="DQ272" s="9"/>
      <c r="DR272" s="9"/>
      <c r="DS272" s="10"/>
      <c r="DT272" s="9"/>
      <c r="DU272" s="9"/>
      <c r="DV272" s="9"/>
      <c r="DW272" s="9"/>
      <c r="DX272" s="9"/>
      <c r="DY272" s="9"/>
      <c r="DZ272" s="9"/>
      <c r="EA272" s="9"/>
      <c r="EB272" s="9"/>
      <c r="EC272" s="9"/>
      <c r="ED272" s="9"/>
      <c r="EE272" s="9"/>
      <c r="EF272" s="9"/>
      <c r="EG272" s="9"/>
      <c r="EH272" s="9"/>
      <c r="EI272" s="9"/>
      <c r="EJ272" s="9"/>
      <c r="EK272" s="9"/>
      <c r="EL272" s="9"/>
      <c r="EM272" s="9"/>
      <c r="EN272" s="9"/>
      <c r="EO272" s="9"/>
      <c r="EP272" s="9"/>
      <c r="EQ272" s="9"/>
      <c r="ER272" s="9"/>
      <c r="ES272" s="9"/>
      <c r="ET272" s="9"/>
      <c r="EU272" s="10"/>
      <c r="EV272" s="9"/>
      <c r="EW272" s="9"/>
      <c r="EX272" s="9"/>
      <c r="EY272" s="9"/>
      <c r="EZ272" s="9"/>
      <c r="FA272" s="9"/>
      <c r="FB272" s="9"/>
      <c r="FC272" s="9"/>
      <c r="FD272" s="9"/>
      <c r="FE272" s="9"/>
      <c r="FF272" s="9"/>
      <c r="FG272" s="9"/>
      <c r="FH272" s="9"/>
      <c r="FI272" s="9"/>
      <c r="FJ272" s="9"/>
      <c r="FK272" s="9"/>
      <c r="FL272" s="9"/>
      <c r="FM272" s="9"/>
      <c r="FN272" s="9"/>
      <c r="FO272" s="9"/>
      <c r="FP272" s="9"/>
      <c r="FQ272" s="9"/>
      <c r="FR272" s="9"/>
      <c r="FS272" s="9"/>
      <c r="FT272" s="9"/>
      <c r="FU272" s="9"/>
      <c r="FV272" s="9"/>
      <c r="FW272" s="10"/>
      <c r="FX272" s="9"/>
      <c r="FY272" s="9"/>
      <c r="FZ272" s="9"/>
      <c r="GA272" s="9"/>
      <c r="GB272" s="9"/>
      <c r="GC272" s="9"/>
      <c r="GD272" s="9"/>
      <c r="GE272" s="9"/>
      <c r="GF272" s="9"/>
      <c r="GG272" s="9"/>
      <c r="GH272" s="9"/>
      <c r="GI272" s="9"/>
      <c r="GJ272" s="9"/>
      <c r="GK272" s="9"/>
      <c r="GL272" s="9"/>
      <c r="GM272" s="9"/>
      <c r="GN272" s="9"/>
      <c r="GO272" s="9"/>
      <c r="GP272" s="9"/>
      <c r="GQ272" s="9"/>
      <c r="GR272" s="9"/>
      <c r="GS272" s="9"/>
      <c r="GT272" s="9"/>
      <c r="GU272" s="9"/>
      <c r="GV272" s="9"/>
      <c r="GW272" s="9"/>
      <c r="GX272" s="9"/>
      <c r="GY272" s="10"/>
      <c r="GZ272" s="9"/>
      <c r="HA272" s="9"/>
    </row>
    <row r="273" spans="1:209" s="2" customFormat="1" ht="17" customHeight="1">
      <c r="A273" s="14" t="s">
        <v>269</v>
      </c>
      <c r="B273" s="35">
        <v>0</v>
      </c>
      <c r="C273" s="35">
        <v>0</v>
      </c>
      <c r="D273" s="4">
        <f t="shared" si="72"/>
        <v>0</v>
      </c>
      <c r="E273" s="11">
        <v>0</v>
      </c>
      <c r="F273" s="5" t="s">
        <v>362</v>
      </c>
      <c r="G273" s="5" t="s">
        <v>362</v>
      </c>
      <c r="H273" s="5" t="s">
        <v>362</v>
      </c>
      <c r="I273" s="5" t="s">
        <v>362</v>
      </c>
      <c r="J273" s="5" t="s">
        <v>362</v>
      </c>
      <c r="K273" s="5" t="s">
        <v>362</v>
      </c>
      <c r="L273" s="5" t="s">
        <v>362</v>
      </c>
      <c r="M273" s="5" t="s">
        <v>362</v>
      </c>
      <c r="N273" s="35">
        <v>177.9</v>
      </c>
      <c r="O273" s="35">
        <v>103.8</v>
      </c>
      <c r="P273" s="4">
        <f t="shared" si="73"/>
        <v>0.58347386172006743</v>
      </c>
      <c r="Q273" s="11">
        <v>20</v>
      </c>
      <c r="R273" s="35">
        <v>28</v>
      </c>
      <c r="S273" s="35">
        <v>28.4</v>
      </c>
      <c r="T273" s="4">
        <f t="shared" si="74"/>
        <v>1.0142857142857142</v>
      </c>
      <c r="U273" s="11">
        <v>25</v>
      </c>
      <c r="V273" s="35">
        <v>3.6</v>
      </c>
      <c r="W273" s="35">
        <v>3.7</v>
      </c>
      <c r="X273" s="4">
        <f t="shared" si="75"/>
        <v>1.0277777777777779</v>
      </c>
      <c r="Y273" s="11">
        <v>25</v>
      </c>
      <c r="Z273" s="35">
        <v>1769</v>
      </c>
      <c r="AA273" s="35">
        <v>1755</v>
      </c>
      <c r="AB273" s="4">
        <f t="shared" si="76"/>
        <v>0.99208592425098929</v>
      </c>
      <c r="AC273" s="11">
        <v>5</v>
      </c>
      <c r="AD273" s="11">
        <v>244</v>
      </c>
      <c r="AE273" s="11">
        <v>245</v>
      </c>
      <c r="AF273" s="4">
        <f t="shared" si="77"/>
        <v>1.0040983606557377</v>
      </c>
      <c r="AG273" s="11">
        <v>20</v>
      </c>
      <c r="AH273" s="5" t="s">
        <v>362</v>
      </c>
      <c r="AI273" s="5" t="s">
        <v>362</v>
      </c>
      <c r="AJ273" s="5" t="s">
        <v>362</v>
      </c>
      <c r="AK273" s="5" t="s">
        <v>362</v>
      </c>
      <c r="AL273" s="5" t="s">
        <v>362</v>
      </c>
      <c r="AM273" s="5" t="s">
        <v>362</v>
      </c>
      <c r="AN273" s="5" t="s">
        <v>362</v>
      </c>
      <c r="AO273" s="5" t="s">
        <v>362</v>
      </c>
      <c r="AP273" s="44">
        <f t="shared" si="86"/>
        <v>0.92382590916166674</v>
      </c>
      <c r="AQ273" s="45">
        <v>740</v>
      </c>
      <c r="AR273" s="35">
        <f t="shared" si="78"/>
        <v>201.81818181818181</v>
      </c>
      <c r="AS273" s="35">
        <f t="shared" si="79"/>
        <v>186.4</v>
      </c>
      <c r="AT273" s="35">
        <f t="shared" si="80"/>
        <v>-15.418181818181807</v>
      </c>
      <c r="AU273" s="35">
        <v>55.6</v>
      </c>
      <c r="AV273" s="35">
        <v>71.599999999999994</v>
      </c>
      <c r="AW273" s="35">
        <f t="shared" si="81"/>
        <v>59.2</v>
      </c>
      <c r="AX273" s="35"/>
      <c r="AY273" s="35">
        <f t="shared" si="82"/>
        <v>59.2</v>
      </c>
      <c r="AZ273" s="35">
        <v>0</v>
      </c>
      <c r="BA273" s="35">
        <f t="shared" si="83"/>
        <v>59.2</v>
      </c>
      <c r="BB273" s="35"/>
      <c r="BC273" s="35">
        <f t="shared" si="84"/>
        <v>59.2</v>
      </c>
      <c r="BD273" s="35">
        <v>58.5</v>
      </c>
      <c r="BE273" s="35">
        <f t="shared" si="85"/>
        <v>0.7</v>
      </c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9"/>
      <c r="BU273" s="9"/>
      <c r="BV273" s="9"/>
      <c r="BW273" s="9"/>
      <c r="BX273" s="9"/>
      <c r="BY273" s="9"/>
      <c r="BZ273" s="9"/>
      <c r="CA273" s="9"/>
      <c r="CB273" s="9"/>
      <c r="CC273" s="9"/>
      <c r="CD273" s="9"/>
      <c r="CE273" s="9"/>
      <c r="CF273" s="9"/>
      <c r="CG273" s="9"/>
      <c r="CH273" s="9"/>
      <c r="CI273" s="9"/>
      <c r="CJ273" s="9"/>
      <c r="CK273" s="9"/>
      <c r="CL273" s="9"/>
      <c r="CM273" s="9"/>
      <c r="CN273" s="9"/>
      <c r="CO273" s="9"/>
      <c r="CP273" s="9"/>
      <c r="CQ273" s="10"/>
      <c r="CR273" s="9"/>
      <c r="CS273" s="9"/>
      <c r="CT273" s="9"/>
      <c r="CU273" s="9"/>
      <c r="CV273" s="9"/>
      <c r="CW273" s="9"/>
      <c r="CX273" s="9"/>
      <c r="CY273" s="9"/>
      <c r="CZ273" s="9"/>
      <c r="DA273" s="9"/>
      <c r="DB273" s="9"/>
      <c r="DC273" s="9"/>
      <c r="DD273" s="9"/>
      <c r="DE273" s="9"/>
      <c r="DF273" s="9"/>
      <c r="DG273" s="9"/>
      <c r="DH273" s="9"/>
      <c r="DI273" s="9"/>
      <c r="DJ273" s="9"/>
      <c r="DK273" s="9"/>
      <c r="DL273" s="9"/>
      <c r="DM273" s="9"/>
      <c r="DN273" s="9"/>
      <c r="DO273" s="9"/>
      <c r="DP273" s="9"/>
      <c r="DQ273" s="9"/>
      <c r="DR273" s="9"/>
      <c r="DS273" s="10"/>
      <c r="DT273" s="9"/>
      <c r="DU273" s="9"/>
      <c r="DV273" s="9"/>
      <c r="DW273" s="9"/>
      <c r="DX273" s="9"/>
      <c r="DY273" s="9"/>
      <c r="DZ273" s="9"/>
      <c r="EA273" s="9"/>
      <c r="EB273" s="9"/>
      <c r="EC273" s="9"/>
      <c r="ED273" s="9"/>
      <c r="EE273" s="9"/>
      <c r="EF273" s="9"/>
      <c r="EG273" s="9"/>
      <c r="EH273" s="9"/>
      <c r="EI273" s="9"/>
      <c r="EJ273" s="9"/>
      <c r="EK273" s="9"/>
      <c r="EL273" s="9"/>
      <c r="EM273" s="9"/>
      <c r="EN273" s="9"/>
      <c r="EO273" s="9"/>
      <c r="EP273" s="9"/>
      <c r="EQ273" s="9"/>
      <c r="ER273" s="9"/>
      <c r="ES273" s="9"/>
      <c r="ET273" s="9"/>
      <c r="EU273" s="10"/>
      <c r="EV273" s="9"/>
      <c r="EW273" s="9"/>
      <c r="EX273" s="9"/>
      <c r="EY273" s="9"/>
      <c r="EZ273" s="9"/>
      <c r="FA273" s="9"/>
      <c r="FB273" s="9"/>
      <c r="FC273" s="9"/>
      <c r="FD273" s="9"/>
      <c r="FE273" s="9"/>
      <c r="FF273" s="9"/>
      <c r="FG273" s="9"/>
      <c r="FH273" s="9"/>
      <c r="FI273" s="9"/>
      <c r="FJ273" s="9"/>
      <c r="FK273" s="9"/>
      <c r="FL273" s="9"/>
      <c r="FM273" s="9"/>
      <c r="FN273" s="9"/>
      <c r="FO273" s="9"/>
      <c r="FP273" s="9"/>
      <c r="FQ273" s="9"/>
      <c r="FR273" s="9"/>
      <c r="FS273" s="9"/>
      <c r="FT273" s="9"/>
      <c r="FU273" s="9"/>
      <c r="FV273" s="9"/>
      <c r="FW273" s="10"/>
      <c r="FX273" s="9"/>
      <c r="FY273" s="9"/>
      <c r="FZ273" s="9"/>
      <c r="GA273" s="9"/>
      <c r="GB273" s="9"/>
      <c r="GC273" s="9"/>
      <c r="GD273" s="9"/>
      <c r="GE273" s="9"/>
      <c r="GF273" s="9"/>
      <c r="GG273" s="9"/>
      <c r="GH273" s="9"/>
      <c r="GI273" s="9"/>
      <c r="GJ273" s="9"/>
      <c r="GK273" s="9"/>
      <c r="GL273" s="9"/>
      <c r="GM273" s="9"/>
      <c r="GN273" s="9"/>
      <c r="GO273" s="9"/>
      <c r="GP273" s="9"/>
      <c r="GQ273" s="9"/>
      <c r="GR273" s="9"/>
      <c r="GS273" s="9"/>
      <c r="GT273" s="9"/>
      <c r="GU273" s="9"/>
      <c r="GV273" s="9"/>
      <c r="GW273" s="9"/>
      <c r="GX273" s="9"/>
      <c r="GY273" s="10"/>
      <c r="GZ273" s="9"/>
      <c r="HA273" s="9"/>
    </row>
    <row r="274" spans="1:209" s="2" customFormat="1" ht="17" customHeight="1">
      <c r="A274" s="14" t="s">
        <v>270</v>
      </c>
      <c r="B274" s="35">
        <v>0</v>
      </c>
      <c r="C274" s="35">
        <v>0</v>
      </c>
      <c r="D274" s="4">
        <f t="shared" si="72"/>
        <v>0</v>
      </c>
      <c r="E274" s="11">
        <v>0</v>
      </c>
      <c r="F274" s="5" t="s">
        <v>362</v>
      </c>
      <c r="G274" s="5" t="s">
        <v>362</v>
      </c>
      <c r="H274" s="5" t="s">
        <v>362</v>
      </c>
      <c r="I274" s="5" t="s">
        <v>362</v>
      </c>
      <c r="J274" s="5" t="s">
        <v>362</v>
      </c>
      <c r="K274" s="5" t="s">
        <v>362</v>
      </c>
      <c r="L274" s="5" t="s">
        <v>362</v>
      </c>
      <c r="M274" s="5" t="s">
        <v>362</v>
      </c>
      <c r="N274" s="35">
        <v>728.5</v>
      </c>
      <c r="O274" s="35">
        <v>318.7</v>
      </c>
      <c r="P274" s="4">
        <f t="shared" si="73"/>
        <v>0.43747426218256691</v>
      </c>
      <c r="Q274" s="11">
        <v>20</v>
      </c>
      <c r="R274" s="35">
        <v>12</v>
      </c>
      <c r="S274" s="35">
        <v>12</v>
      </c>
      <c r="T274" s="4">
        <f t="shared" si="74"/>
        <v>1</v>
      </c>
      <c r="U274" s="11">
        <v>20</v>
      </c>
      <c r="V274" s="35">
        <v>5.5</v>
      </c>
      <c r="W274" s="35">
        <v>5.9</v>
      </c>
      <c r="X274" s="4">
        <f t="shared" si="75"/>
        <v>1.0727272727272728</v>
      </c>
      <c r="Y274" s="11">
        <v>30</v>
      </c>
      <c r="Z274" s="35">
        <v>4418</v>
      </c>
      <c r="AA274" s="35">
        <v>4387</v>
      </c>
      <c r="AB274" s="4">
        <f t="shared" si="76"/>
        <v>0.99298325033952017</v>
      </c>
      <c r="AC274" s="11">
        <v>5</v>
      </c>
      <c r="AD274" s="11">
        <v>104</v>
      </c>
      <c r="AE274" s="11">
        <v>104</v>
      </c>
      <c r="AF274" s="4">
        <f t="shared" si="77"/>
        <v>1</v>
      </c>
      <c r="AG274" s="11">
        <v>20</v>
      </c>
      <c r="AH274" s="5" t="s">
        <v>362</v>
      </c>
      <c r="AI274" s="5" t="s">
        <v>362</v>
      </c>
      <c r="AJ274" s="5" t="s">
        <v>362</v>
      </c>
      <c r="AK274" s="5" t="s">
        <v>362</v>
      </c>
      <c r="AL274" s="5" t="s">
        <v>362</v>
      </c>
      <c r="AM274" s="5" t="s">
        <v>362</v>
      </c>
      <c r="AN274" s="5" t="s">
        <v>362</v>
      </c>
      <c r="AO274" s="5" t="s">
        <v>362</v>
      </c>
      <c r="AP274" s="44">
        <f t="shared" si="86"/>
        <v>0.90417073344386445</v>
      </c>
      <c r="AQ274" s="45">
        <v>891</v>
      </c>
      <c r="AR274" s="35">
        <f t="shared" si="78"/>
        <v>243</v>
      </c>
      <c r="AS274" s="35">
        <f t="shared" si="79"/>
        <v>219.7</v>
      </c>
      <c r="AT274" s="35">
        <f t="shared" si="80"/>
        <v>-23.300000000000011</v>
      </c>
      <c r="AU274" s="35">
        <v>72.3</v>
      </c>
      <c r="AV274" s="35">
        <v>71.8</v>
      </c>
      <c r="AW274" s="35">
        <f t="shared" si="81"/>
        <v>75.599999999999994</v>
      </c>
      <c r="AX274" s="35"/>
      <c r="AY274" s="35">
        <f t="shared" si="82"/>
        <v>75.599999999999994</v>
      </c>
      <c r="AZ274" s="35">
        <v>0</v>
      </c>
      <c r="BA274" s="35">
        <f t="shared" si="83"/>
        <v>75.599999999999994</v>
      </c>
      <c r="BB274" s="35"/>
      <c r="BC274" s="35">
        <f t="shared" si="84"/>
        <v>75.599999999999994</v>
      </c>
      <c r="BD274" s="35">
        <v>74.400000000000006</v>
      </c>
      <c r="BE274" s="35">
        <f t="shared" si="85"/>
        <v>1.2</v>
      </c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9"/>
      <c r="BU274" s="9"/>
      <c r="BV274" s="9"/>
      <c r="BW274" s="9"/>
      <c r="BX274" s="9"/>
      <c r="BY274" s="9"/>
      <c r="BZ274" s="9"/>
      <c r="CA274" s="9"/>
      <c r="CB274" s="9"/>
      <c r="CC274" s="9"/>
      <c r="CD274" s="9"/>
      <c r="CE274" s="9"/>
      <c r="CF274" s="9"/>
      <c r="CG274" s="9"/>
      <c r="CH274" s="9"/>
      <c r="CI274" s="9"/>
      <c r="CJ274" s="9"/>
      <c r="CK274" s="9"/>
      <c r="CL274" s="9"/>
      <c r="CM274" s="9"/>
      <c r="CN274" s="9"/>
      <c r="CO274" s="9"/>
      <c r="CP274" s="9"/>
      <c r="CQ274" s="10"/>
      <c r="CR274" s="9"/>
      <c r="CS274" s="9"/>
      <c r="CT274" s="9"/>
      <c r="CU274" s="9"/>
      <c r="CV274" s="9"/>
      <c r="CW274" s="9"/>
      <c r="CX274" s="9"/>
      <c r="CY274" s="9"/>
      <c r="CZ274" s="9"/>
      <c r="DA274" s="9"/>
      <c r="DB274" s="9"/>
      <c r="DC274" s="9"/>
      <c r="DD274" s="9"/>
      <c r="DE274" s="9"/>
      <c r="DF274" s="9"/>
      <c r="DG274" s="9"/>
      <c r="DH274" s="9"/>
      <c r="DI274" s="9"/>
      <c r="DJ274" s="9"/>
      <c r="DK274" s="9"/>
      <c r="DL274" s="9"/>
      <c r="DM274" s="9"/>
      <c r="DN274" s="9"/>
      <c r="DO274" s="9"/>
      <c r="DP274" s="9"/>
      <c r="DQ274" s="9"/>
      <c r="DR274" s="9"/>
      <c r="DS274" s="10"/>
      <c r="DT274" s="9"/>
      <c r="DU274" s="9"/>
      <c r="DV274" s="9"/>
      <c r="DW274" s="9"/>
      <c r="DX274" s="9"/>
      <c r="DY274" s="9"/>
      <c r="DZ274" s="9"/>
      <c r="EA274" s="9"/>
      <c r="EB274" s="9"/>
      <c r="EC274" s="9"/>
      <c r="ED274" s="9"/>
      <c r="EE274" s="9"/>
      <c r="EF274" s="9"/>
      <c r="EG274" s="9"/>
      <c r="EH274" s="9"/>
      <c r="EI274" s="9"/>
      <c r="EJ274" s="9"/>
      <c r="EK274" s="9"/>
      <c r="EL274" s="9"/>
      <c r="EM274" s="9"/>
      <c r="EN274" s="9"/>
      <c r="EO274" s="9"/>
      <c r="EP274" s="9"/>
      <c r="EQ274" s="9"/>
      <c r="ER274" s="9"/>
      <c r="ES274" s="9"/>
      <c r="ET274" s="9"/>
      <c r="EU274" s="10"/>
      <c r="EV274" s="9"/>
      <c r="EW274" s="9"/>
      <c r="EX274" s="9"/>
      <c r="EY274" s="9"/>
      <c r="EZ274" s="9"/>
      <c r="FA274" s="9"/>
      <c r="FB274" s="9"/>
      <c r="FC274" s="9"/>
      <c r="FD274" s="9"/>
      <c r="FE274" s="9"/>
      <c r="FF274" s="9"/>
      <c r="FG274" s="9"/>
      <c r="FH274" s="9"/>
      <c r="FI274" s="9"/>
      <c r="FJ274" s="9"/>
      <c r="FK274" s="9"/>
      <c r="FL274" s="9"/>
      <c r="FM274" s="9"/>
      <c r="FN274" s="9"/>
      <c r="FO274" s="9"/>
      <c r="FP274" s="9"/>
      <c r="FQ274" s="9"/>
      <c r="FR274" s="9"/>
      <c r="FS274" s="9"/>
      <c r="FT274" s="9"/>
      <c r="FU274" s="9"/>
      <c r="FV274" s="9"/>
      <c r="FW274" s="10"/>
      <c r="FX274" s="9"/>
      <c r="FY274" s="9"/>
      <c r="FZ274" s="9"/>
      <c r="GA274" s="9"/>
      <c r="GB274" s="9"/>
      <c r="GC274" s="9"/>
      <c r="GD274" s="9"/>
      <c r="GE274" s="9"/>
      <c r="GF274" s="9"/>
      <c r="GG274" s="9"/>
      <c r="GH274" s="9"/>
      <c r="GI274" s="9"/>
      <c r="GJ274" s="9"/>
      <c r="GK274" s="9"/>
      <c r="GL274" s="9"/>
      <c r="GM274" s="9"/>
      <c r="GN274" s="9"/>
      <c r="GO274" s="9"/>
      <c r="GP274" s="9"/>
      <c r="GQ274" s="9"/>
      <c r="GR274" s="9"/>
      <c r="GS274" s="9"/>
      <c r="GT274" s="9"/>
      <c r="GU274" s="9"/>
      <c r="GV274" s="9"/>
      <c r="GW274" s="9"/>
      <c r="GX274" s="9"/>
      <c r="GY274" s="10"/>
      <c r="GZ274" s="9"/>
      <c r="HA274" s="9"/>
    </row>
    <row r="275" spans="1:209" s="2" customFormat="1" ht="17" customHeight="1">
      <c r="A275" s="14" t="s">
        <v>271</v>
      </c>
      <c r="B275" s="35">
        <v>24283</v>
      </c>
      <c r="C275" s="35">
        <v>26544.1</v>
      </c>
      <c r="D275" s="4">
        <f t="shared" si="72"/>
        <v>1.0931145245645102</v>
      </c>
      <c r="E275" s="11">
        <v>10</v>
      </c>
      <c r="F275" s="5" t="s">
        <v>362</v>
      </c>
      <c r="G275" s="5" t="s">
        <v>362</v>
      </c>
      <c r="H275" s="5" t="s">
        <v>362</v>
      </c>
      <c r="I275" s="5" t="s">
        <v>362</v>
      </c>
      <c r="J275" s="5" t="s">
        <v>362</v>
      </c>
      <c r="K275" s="5" t="s">
        <v>362</v>
      </c>
      <c r="L275" s="5" t="s">
        <v>362</v>
      </c>
      <c r="M275" s="5" t="s">
        <v>362</v>
      </c>
      <c r="N275" s="35">
        <v>4387.8999999999996</v>
      </c>
      <c r="O275" s="35">
        <v>4611.3</v>
      </c>
      <c r="P275" s="4">
        <f t="shared" si="73"/>
        <v>1.0509127373003033</v>
      </c>
      <c r="Q275" s="11">
        <v>20</v>
      </c>
      <c r="R275" s="35">
        <v>6</v>
      </c>
      <c r="S275" s="35">
        <v>6.2</v>
      </c>
      <c r="T275" s="4">
        <f t="shared" si="74"/>
        <v>1.0333333333333334</v>
      </c>
      <c r="U275" s="11">
        <v>15</v>
      </c>
      <c r="V275" s="35">
        <v>1.5</v>
      </c>
      <c r="W275" s="35">
        <v>1.6</v>
      </c>
      <c r="X275" s="4">
        <f t="shared" si="75"/>
        <v>1.0666666666666667</v>
      </c>
      <c r="Y275" s="11">
        <v>35</v>
      </c>
      <c r="Z275" s="35">
        <v>101394</v>
      </c>
      <c r="AA275" s="35">
        <v>110725</v>
      </c>
      <c r="AB275" s="4">
        <f t="shared" si="76"/>
        <v>1.0920271416454623</v>
      </c>
      <c r="AC275" s="11">
        <v>5</v>
      </c>
      <c r="AD275" s="11">
        <v>135</v>
      </c>
      <c r="AE275" s="11">
        <v>134</v>
      </c>
      <c r="AF275" s="4">
        <f t="shared" si="77"/>
        <v>0.99259259259259258</v>
      </c>
      <c r="AG275" s="11">
        <v>20</v>
      </c>
      <c r="AH275" s="5" t="s">
        <v>362</v>
      </c>
      <c r="AI275" s="5" t="s">
        <v>362</v>
      </c>
      <c r="AJ275" s="5" t="s">
        <v>362</v>
      </c>
      <c r="AK275" s="5" t="s">
        <v>362</v>
      </c>
      <c r="AL275" s="5" t="s">
        <v>362</v>
      </c>
      <c r="AM275" s="5" t="s">
        <v>362</v>
      </c>
      <c r="AN275" s="5" t="s">
        <v>362</v>
      </c>
      <c r="AO275" s="5" t="s">
        <v>362</v>
      </c>
      <c r="AP275" s="44">
        <f t="shared" si="86"/>
        <v>1.0485211512863206</v>
      </c>
      <c r="AQ275" s="45">
        <v>947</v>
      </c>
      <c r="AR275" s="35">
        <f t="shared" si="78"/>
        <v>258.27272727272725</v>
      </c>
      <c r="AS275" s="35">
        <f t="shared" si="79"/>
        <v>270.8</v>
      </c>
      <c r="AT275" s="35">
        <f t="shared" si="80"/>
        <v>12.527272727272759</v>
      </c>
      <c r="AU275" s="35">
        <v>83</v>
      </c>
      <c r="AV275" s="35">
        <v>93.1</v>
      </c>
      <c r="AW275" s="35">
        <f t="shared" si="81"/>
        <v>94.7</v>
      </c>
      <c r="AX275" s="35"/>
      <c r="AY275" s="35">
        <f t="shared" si="82"/>
        <v>94.7</v>
      </c>
      <c r="AZ275" s="35">
        <v>0</v>
      </c>
      <c r="BA275" s="35">
        <f t="shared" si="83"/>
        <v>94.7</v>
      </c>
      <c r="BB275" s="35">
        <f>MIN(BA275,43)</f>
        <v>43</v>
      </c>
      <c r="BC275" s="35">
        <f t="shared" si="84"/>
        <v>51.7</v>
      </c>
      <c r="BD275" s="35">
        <v>51.1</v>
      </c>
      <c r="BE275" s="35">
        <f t="shared" si="85"/>
        <v>0.6</v>
      </c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9"/>
      <c r="BU275" s="9"/>
      <c r="BV275" s="9"/>
      <c r="BW275" s="9"/>
      <c r="BX275" s="9"/>
      <c r="BY275" s="9"/>
      <c r="BZ275" s="9"/>
      <c r="CA275" s="9"/>
      <c r="CB275" s="9"/>
      <c r="CC275" s="9"/>
      <c r="CD275" s="9"/>
      <c r="CE275" s="9"/>
      <c r="CF275" s="9"/>
      <c r="CG275" s="9"/>
      <c r="CH275" s="9"/>
      <c r="CI275" s="9"/>
      <c r="CJ275" s="9"/>
      <c r="CK275" s="9"/>
      <c r="CL275" s="9"/>
      <c r="CM275" s="9"/>
      <c r="CN275" s="9"/>
      <c r="CO275" s="9"/>
      <c r="CP275" s="9"/>
      <c r="CQ275" s="10"/>
      <c r="CR275" s="9"/>
      <c r="CS275" s="9"/>
      <c r="CT275" s="9"/>
      <c r="CU275" s="9"/>
      <c r="CV275" s="9"/>
      <c r="CW275" s="9"/>
      <c r="CX275" s="9"/>
      <c r="CY275" s="9"/>
      <c r="CZ275" s="9"/>
      <c r="DA275" s="9"/>
      <c r="DB275" s="9"/>
      <c r="DC275" s="9"/>
      <c r="DD275" s="9"/>
      <c r="DE275" s="9"/>
      <c r="DF275" s="9"/>
      <c r="DG275" s="9"/>
      <c r="DH275" s="9"/>
      <c r="DI275" s="9"/>
      <c r="DJ275" s="9"/>
      <c r="DK275" s="9"/>
      <c r="DL275" s="9"/>
      <c r="DM275" s="9"/>
      <c r="DN275" s="9"/>
      <c r="DO275" s="9"/>
      <c r="DP275" s="9"/>
      <c r="DQ275" s="9"/>
      <c r="DR275" s="9"/>
      <c r="DS275" s="10"/>
      <c r="DT275" s="9"/>
      <c r="DU275" s="9"/>
      <c r="DV275" s="9"/>
      <c r="DW275" s="9"/>
      <c r="DX275" s="9"/>
      <c r="DY275" s="9"/>
      <c r="DZ275" s="9"/>
      <c r="EA275" s="9"/>
      <c r="EB275" s="9"/>
      <c r="EC275" s="9"/>
      <c r="ED275" s="9"/>
      <c r="EE275" s="9"/>
      <c r="EF275" s="9"/>
      <c r="EG275" s="9"/>
      <c r="EH275" s="9"/>
      <c r="EI275" s="9"/>
      <c r="EJ275" s="9"/>
      <c r="EK275" s="9"/>
      <c r="EL275" s="9"/>
      <c r="EM275" s="9"/>
      <c r="EN275" s="9"/>
      <c r="EO275" s="9"/>
      <c r="EP275" s="9"/>
      <c r="EQ275" s="9"/>
      <c r="ER275" s="9"/>
      <c r="ES275" s="9"/>
      <c r="ET275" s="9"/>
      <c r="EU275" s="10"/>
      <c r="EV275" s="9"/>
      <c r="EW275" s="9"/>
      <c r="EX275" s="9"/>
      <c r="EY275" s="9"/>
      <c r="EZ275" s="9"/>
      <c r="FA275" s="9"/>
      <c r="FB275" s="9"/>
      <c r="FC275" s="9"/>
      <c r="FD275" s="9"/>
      <c r="FE275" s="9"/>
      <c r="FF275" s="9"/>
      <c r="FG275" s="9"/>
      <c r="FH275" s="9"/>
      <c r="FI275" s="9"/>
      <c r="FJ275" s="9"/>
      <c r="FK275" s="9"/>
      <c r="FL275" s="9"/>
      <c r="FM275" s="9"/>
      <c r="FN275" s="9"/>
      <c r="FO275" s="9"/>
      <c r="FP275" s="9"/>
      <c r="FQ275" s="9"/>
      <c r="FR275" s="9"/>
      <c r="FS275" s="9"/>
      <c r="FT275" s="9"/>
      <c r="FU275" s="9"/>
      <c r="FV275" s="9"/>
      <c r="FW275" s="10"/>
      <c r="FX275" s="9"/>
      <c r="FY275" s="9"/>
      <c r="FZ275" s="9"/>
      <c r="GA275" s="9"/>
      <c r="GB275" s="9"/>
      <c r="GC275" s="9"/>
      <c r="GD275" s="9"/>
      <c r="GE275" s="9"/>
      <c r="GF275" s="9"/>
      <c r="GG275" s="9"/>
      <c r="GH275" s="9"/>
      <c r="GI275" s="9"/>
      <c r="GJ275" s="9"/>
      <c r="GK275" s="9"/>
      <c r="GL275" s="9"/>
      <c r="GM275" s="9"/>
      <c r="GN275" s="9"/>
      <c r="GO275" s="9"/>
      <c r="GP275" s="9"/>
      <c r="GQ275" s="9"/>
      <c r="GR275" s="9"/>
      <c r="GS275" s="9"/>
      <c r="GT275" s="9"/>
      <c r="GU275" s="9"/>
      <c r="GV275" s="9"/>
      <c r="GW275" s="9"/>
      <c r="GX275" s="9"/>
      <c r="GY275" s="10"/>
      <c r="GZ275" s="9"/>
      <c r="HA275" s="9"/>
    </row>
    <row r="276" spans="1:209" s="2" customFormat="1" ht="17" customHeight="1">
      <c r="A276" s="14" t="s">
        <v>272</v>
      </c>
      <c r="B276" s="35">
        <v>10625</v>
      </c>
      <c r="C276" s="35">
        <v>6687</v>
      </c>
      <c r="D276" s="4">
        <f t="shared" si="72"/>
        <v>0.62936470588235294</v>
      </c>
      <c r="E276" s="11">
        <v>10</v>
      </c>
      <c r="F276" s="5" t="s">
        <v>362</v>
      </c>
      <c r="G276" s="5" t="s">
        <v>362</v>
      </c>
      <c r="H276" s="5" t="s">
        <v>362</v>
      </c>
      <c r="I276" s="5" t="s">
        <v>362</v>
      </c>
      <c r="J276" s="5" t="s">
        <v>362</v>
      </c>
      <c r="K276" s="5" t="s">
        <v>362</v>
      </c>
      <c r="L276" s="5" t="s">
        <v>362</v>
      </c>
      <c r="M276" s="5" t="s">
        <v>362</v>
      </c>
      <c r="N276" s="35">
        <v>647.9</v>
      </c>
      <c r="O276" s="35">
        <v>576</v>
      </c>
      <c r="P276" s="4">
        <f t="shared" si="73"/>
        <v>0.88902608427226426</v>
      </c>
      <c r="Q276" s="11">
        <v>20</v>
      </c>
      <c r="R276" s="35">
        <v>0</v>
      </c>
      <c r="S276" s="35">
        <v>0</v>
      </c>
      <c r="T276" s="4">
        <f t="shared" si="74"/>
        <v>1</v>
      </c>
      <c r="U276" s="11">
        <v>25</v>
      </c>
      <c r="V276" s="35">
        <v>0.3</v>
      </c>
      <c r="W276" s="35">
        <v>0.3</v>
      </c>
      <c r="X276" s="4">
        <f t="shared" si="75"/>
        <v>1</v>
      </c>
      <c r="Y276" s="11">
        <v>25</v>
      </c>
      <c r="Z276" s="35">
        <v>23016</v>
      </c>
      <c r="AA276" s="35">
        <v>18591</v>
      </c>
      <c r="AB276" s="4">
        <f t="shared" si="76"/>
        <v>0.80774244004171014</v>
      </c>
      <c r="AC276" s="11">
        <v>5</v>
      </c>
      <c r="AD276" s="11">
        <v>45</v>
      </c>
      <c r="AE276" s="11">
        <v>45</v>
      </c>
      <c r="AF276" s="4">
        <f t="shared" si="77"/>
        <v>1</v>
      </c>
      <c r="AG276" s="11">
        <v>20</v>
      </c>
      <c r="AH276" s="5" t="s">
        <v>362</v>
      </c>
      <c r="AI276" s="5" t="s">
        <v>362</v>
      </c>
      <c r="AJ276" s="5" t="s">
        <v>362</v>
      </c>
      <c r="AK276" s="5" t="s">
        <v>362</v>
      </c>
      <c r="AL276" s="5" t="s">
        <v>362</v>
      </c>
      <c r="AM276" s="5" t="s">
        <v>362</v>
      </c>
      <c r="AN276" s="5" t="s">
        <v>362</v>
      </c>
      <c r="AO276" s="5" t="s">
        <v>362</v>
      </c>
      <c r="AP276" s="44">
        <f t="shared" si="86"/>
        <v>0.93440838994740349</v>
      </c>
      <c r="AQ276" s="45">
        <v>570</v>
      </c>
      <c r="AR276" s="35">
        <f t="shared" si="78"/>
        <v>155.45454545454547</v>
      </c>
      <c r="AS276" s="35">
        <f t="shared" si="79"/>
        <v>145.30000000000001</v>
      </c>
      <c r="AT276" s="35">
        <f t="shared" si="80"/>
        <v>-10.154545454545456</v>
      </c>
      <c r="AU276" s="35">
        <v>38.1</v>
      </c>
      <c r="AV276" s="35">
        <v>30.8</v>
      </c>
      <c r="AW276" s="35">
        <f t="shared" si="81"/>
        <v>76.400000000000006</v>
      </c>
      <c r="AX276" s="35"/>
      <c r="AY276" s="35">
        <f t="shared" si="82"/>
        <v>76.400000000000006</v>
      </c>
      <c r="AZ276" s="35">
        <v>0</v>
      </c>
      <c r="BA276" s="35">
        <f t="shared" si="83"/>
        <v>76.400000000000006</v>
      </c>
      <c r="BB276" s="35">
        <f>MIN(BA276,25.9)</f>
        <v>25.9</v>
      </c>
      <c r="BC276" s="35">
        <f t="shared" si="84"/>
        <v>50.5</v>
      </c>
      <c r="BD276" s="35">
        <v>51.4</v>
      </c>
      <c r="BE276" s="35">
        <f t="shared" si="85"/>
        <v>-0.9</v>
      </c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9"/>
      <c r="BU276" s="9"/>
      <c r="BV276" s="9"/>
      <c r="BW276" s="9"/>
      <c r="BX276" s="9"/>
      <c r="BY276" s="9"/>
      <c r="BZ276" s="9"/>
      <c r="CA276" s="9"/>
      <c r="CB276" s="9"/>
      <c r="CC276" s="9"/>
      <c r="CD276" s="9"/>
      <c r="CE276" s="9"/>
      <c r="CF276" s="9"/>
      <c r="CG276" s="9"/>
      <c r="CH276" s="9"/>
      <c r="CI276" s="9"/>
      <c r="CJ276" s="9"/>
      <c r="CK276" s="9"/>
      <c r="CL276" s="9"/>
      <c r="CM276" s="9"/>
      <c r="CN276" s="9"/>
      <c r="CO276" s="9"/>
      <c r="CP276" s="9"/>
      <c r="CQ276" s="10"/>
      <c r="CR276" s="9"/>
      <c r="CS276" s="9"/>
      <c r="CT276" s="9"/>
      <c r="CU276" s="9"/>
      <c r="CV276" s="9"/>
      <c r="CW276" s="9"/>
      <c r="CX276" s="9"/>
      <c r="CY276" s="9"/>
      <c r="CZ276" s="9"/>
      <c r="DA276" s="9"/>
      <c r="DB276" s="9"/>
      <c r="DC276" s="9"/>
      <c r="DD276" s="9"/>
      <c r="DE276" s="9"/>
      <c r="DF276" s="9"/>
      <c r="DG276" s="9"/>
      <c r="DH276" s="9"/>
      <c r="DI276" s="9"/>
      <c r="DJ276" s="9"/>
      <c r="DK276" s="9"/>
      <c r="DL276" s="9"/>
      <c r="DM276" s="9"/>
      <c r="DN276" s="9"/>
      <c r="DO276" s="9"/>
      <c r="DP276" s="9"/>
      <c r="DQ276" s="9"/>
      <c r="DR276" s="9"/>
      <c r="DS276" s="10"/>
      <c r="DT276" s="9"/>
      <c r="DU276" s="9"/>
      <c r="DV276" s="9"/>
      <c r="DW276" s="9"/>
      <c r="DX276" s="9"/>
      <c r="DY276" s="9"/>
      <c r="DZ276" s="9"/>
      <c r="EA276" s="9"/>
      <c r="EB276" s="9"/>
      <c r="EC276" s="9"/>
      <c r="ED276" s="9"/>
      <c r="EE276" s="9"/>
      <c r="EF276" s="9"/>
      <c r="EG276" s="9"/>
      <c r="EH276" s="9"/>
      <c r="EI276" s="9"/>
      <c r="EJ276" s="9"/>
      <c r="EK276" s="9"/>
      <c r="EL276" s="9"/>
      <c r="EM276" s="9"/>
      <c r="EN276" s="9"/>
      <c r="EO276" s="9"/>
      <c r="EP276" s="9"/>
      <c r="EQ276" s="9"/>
      <c r="ER276" s="9"/>
      <c r="ES276" s="9"/>
      <c r="ET276" s="9"/>
      <c r="EU276" s="10"/>
      <c r="EV276" s="9"/>
      <c r="EW276" s="9"/>
      <c r="EX276" s="9"/>
      <c r="EY276" s="9"/>
      <c r="EZ276" s="9"/>
      <c r="FA276" s="9"/>
      <c r="FB276" s="9"/>
      <c r="FC276" s="9"/>
      <c r="FD276" s="9"/>
      <c r="FE276" s="9"/>
      <c r="FF276" s="9"/>
      <c r="FG276" s="9"/>
      <c r="FH276" s="9"/>
      <c r="FI276" s="9"/>
      <c r="FJ276" s="9"/>
      <c r="FK276" s="9"/>
      <c r="FL276" s="9"/>
      <c r="FM276" s="9"/>
      <c r="FN276" s="9"/>
      <c r="FO276" s="9"/>
      <c r="FP276" s="9"/>
      <c r="FQ276" s="9"/>
      <c r="FR276" s="9"/>
      <c r="FS276" s="9"/>
      <c r="FT276" s="9"/>
      <c r="FU276" s="9"/>
      <c r="FV276" s="9"/>
      <c r="FW276" s="10"/>
      <c r="FX276" s="9"/>
      <c r="FY276" s="9"/>
      <c r="FZ276" s="9"/>
      <c r="GA276" s="9"/>
      <c r="GB276" s="9"/>
      <c r="GC276" s="9"/>
      <c r="GD276" s="9"/>
      <c r="GE276" s="9"/>
      <c r="GF276" s="9"/>
      <c r="GG276" s="9"/>
      <c r="GH276" s="9"/>
      <c r="GI276" s="9"/>
      <c r="GJ276" s="9"/>
      <c r="GK276" s="9"/>
      <c r="GL276" s="9"/>
      <c r="GM276" s="9"/>
      <c r="GN276" s="9"/>
      <c r="GO276" s="9"/>
      <c r="GP276" s="9"/>
      <c r="GQ276" s="9"/>
      <c r="GR276" s="9"/>
      <c r="GS276" s="9"/>
      <c r="GT276" s="9"/>
      <c r="GU276" s="9"/>
      <c r="GV276" s="9"/>
      <c r="GW276" s="9"/>
      <c r="GX276" s="9"/>
      <c r="GY276" s="10"/>
      <c r="GZ276" s="9"/>
      <c r="HA276" s="9"/>
    </row>
    <row r="277" spans="1:209" s="2" customFormat="1" ht="17" customHeight="1">
      <c r="A277" s="14" t="s">
        <v>273</v>
      </c>
      <c r="B277" s="35">
        <v>139059</v>
      </c>
      <c r="C277" s="35">
        <v>132713.9</v>
      </c>
      <c r="D277" s="4">
        <f t="shared" si="72"/>
        <v>0.95437116619564355</v>
      </c>
      <c r="E277" s="11">
        <v>10</v>
      </c>
      <c r="F277" s="5" t="s">
        <v>362</v>
      </c>
      <c r="G277" s="5" t="s">
        <v>362</v>
      </c>
      <c r="H277" s="5" t="s">
        <v>362</v>
      </c>
      <c r="I277" s="5" t="s">
        <v>362</v>
      </c>
      <c r="J277" s="5" t="s">
        <v>362</v>
      </c>
      <c r="K277" s="5" t="s">
        <v>362</v>
      </c>
      <c r="L277" s="5" t="s">
        <v>362</v>
      </c>
      <c r="M277" s="5" t="s">
        <v>362</v>
      </c>
      <c r="N277" s="35">
        <v>2135.6</v>
      </c>
      <c r="O277" s="35">
        <v>1743</v>
      </c>
      <c r="P277" s="4">
        <f t="shared" si="73"/>
        <v>0.81616407566960103</v>
      </c>
      <c r="Q277" s="11">
        <v>20</v>
      </c>
      <c r="R277" s="35">
        <v>10</v>
      </c>
      <c r="S277" s="35">
        <v>9.8000000000000007</v>
      </c>
      <c r="T277" s="4">
        <f t="shared" si="74"/>
        <v>0.98000000000000009</v>
      </c>
      <c r="U277" s="11">
        <v>5</v>
      </c>
      <c r="V277" s="35">
        <v>4.5</v>
      </c>
      <c r="W277" s="35">
        <v>5.8</v>
      </c>
      <c r="X277" s="4">
        <f t="shared" si="75"/>
        <v>1.2088888888888889</v>
      </c>
      <c r="Y277" s="11">
        <v>45</v>
      </c>
      <c r="Z277" s="35">
        <v>116318</v>
      </c>
      <c r="AA277" s="35">
        <v>110560</v>
      </c>
      <c r="AB277" s="4">
        <f t="shared" si="76"/>
        <v>0.95049777334548391</v>
      </c>
      <c r="AC277" s="11">
        <v>5</v>
      </c>
      <c r="AD277" s="11">
        <v>287</v>
      </c>
      <c r="AE277" s="11">
        <v>233</v>
      </c>
      <c r="AF277" s="4">
        <f t="shared" si="77"/>
        <v>0.81184668989547037</v>
      </c>
      <c r="AG277" s="11">
        <v>20</v>
      </c>
      <c r="AH277" s="5" t="s">
        <v>362</v>
      </c>
      <c r="AI277" s="5" t="s">
        <v>362</v>
      </c>
      <c r="AJ277" s="5" t="s">
        <v>362</v>
      </c>
      <c r="AK277" s="5" t="s">
        <v>362</v>
      </c>
      <c r="AL277" s="5" t="s">
        <v>362</v>
      </c>
      <c r="AM277" s="5" t="s">
        <v>362</v>
      </c>
      <c r="AN277" s="5" t="s">
        <v>362</v>
      </c>
      <c r="AO277" s="5" t="s">
        <v>362</v>
      </c>
      <c r="AP277" s="44">
        <f t="shared" si="86"/>
        <v>1.0110134841903362</v>
      </c>
      <c r="AQ277" s="45">
        <v>878</v>
      </c>
      <c r="AR277" s="35">
        <f t="shared" si="78"/>
        <v>239.45454545454544</v>
      </c>
      <c r="AS277" s="35">
        <f t="shared" si="79"/>
        <v>242.1</v>
      </c>
      <c r="AT277" s="35">
        <f t="shared" si="80"/>
        <v>2.6454545454545553</v>
      </c>
      <c r="AU277" s="35">
        <v>91.2</v>
      </c>
      <c r="AV277" s="35">
        <v>81.2</v>
      </c>
      <c r="AW277" s="35">
        <f t="shared" si="81"/>
        <v>69.7</v>
      </c>
      <c r="AX277" s="35"/>
      <c r="AY277" s="35">
        <f t="shared" si="82"/>
        <v>69.7</v>
      </c>
      <c r="AZ277" s="35">
        <v>0</v>
      </c>
      <c r="BA277" s="35">
        <f t="shared" si="83"/>
        <v>69.7</v>
      </c>
      <c r="BB277" s="35">
        <f>MIN(BA277,39.9)</f>
        <v>39.9</v>
      </c>
      <c r="BC277" s="35">
        <f t="shared" si="84"/>
        <v>29.8</v>
      </c>
      <c r="BD277" s="35">
        <v>30.5</v>
      </c>
      <c r="BE277" s="35">
        <f t="shared" si="85"/>
        <v>-0.7</v>
      </c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9"/>
      <c r="BU277" s="9"/>
      <c r="BV277" s="9"/>
      <c r="BW277" s="9"/>
      <c r="BX277" s="9"/>
      <c r="BY277" s="9"/>
      <c r="BZ277" s="9"/>
      <c r="CA277" s="9"/>
      <c r="CB277" s="9"/>
      <c r="CC277" s="9"/>
      <c r="CD277" s="9"/>
      <c r="CE277" s="9"/>
      <c r="CF277" s="9"/>
      <c r="CG277" s="9"/>
      <c r="CH277" s="9"/>
      <c r="CI277" s="9"/>
      <c r="CJ277" s="9"/>
      <c r="CK277" s="9"/>
      <c r="CL277" s="9"/>
      <c r="CM277" s="9"/>
      <c r="CN277" s="9"/>
      <c r="CO277" s="9"/>
      <c r="CP277" s="9"/>
      <c r="CQ277" s="10"/>
      <c r="CR277" s="9"/>
      <c r="CS277" s="9"/>
      <c r="CT277" s="9"/>
      <c r="CU277" s="9"/>
      <c r="CV277" s="9"/>
      <c r="CW277" s="9"/>
      <c r="CX277" s="9"/>
      <c r="CY277" s="9"/>
      <c r="CZ277" s="9"/>
      <c r="DA277" s="9"/>
      <c r="DB277" s="9"/>
      <c r="DC277" s="9"/>
      <c r="DD277" s="9"/>
      <c r="DE277" s="9"/>
      <c r="DF277" s="9"/>
      <c r="DG277" s="9"/>
      <c r="DH277" s="9"/>
      <c r="DI277" s="9"/>
      <c r="DJ277" s="9"/>
      <c r="DK277" s="9"/>
      <c r="DL277" s="9"/>
      <c r="DM277" s="9"/>
      <c r="DN277" s="9"/>
      <c r="DO277" s="9"/>
      <c r="DP277" s="9"/>
      <c r="DQ277" s="9"/>
      <c r="DR277" s="9"/>
      <c r="DS277" s="10"/>
      <c r="DT277" s="9"/>
      <c r="DU277" s="9"/>
      <c r="DV277" s="9"/>
      <c r="DW277" s="9"/>
      <c r="DX277" s="9"/>
      <c r="DY277" s="9"/>
      <c r="DZ277" s="9"/>
      <c r="EA277" s="9"/>
      <c r="EB277" s="9"/>
      <c r="EC277" s="9"/>
      <c r="ED277" s="9"/>
      <c r="EE277" s="9"/>
      <c r="EF277" s="9"/>
      <c r="EG277" s="9"/>
      <c r="EH277" s="9"/>
      <c r="EI277" s="9"/>
      <c r="EJ277" s="9"/>
      <c r="EK277" s="9"/>
      <c r="EL277" s="9"/>
      <c r="EM277" s="9"/>
      <c r="EN277" s="9"/>
      <c r="EO277" s="9"/>
      <c r="EP277" s="9"/>
      <c r="EQ277" s="9"/>
      <c r="ER277" s="9"/>
      <c r="ES277" s="9"/>
      <c r="ET277" s="9"/>
      <c r="EU277" s="10"/>
      <c r="EV277" s="9"/>
      <c r="EW277" s="9"/>
      <c r="EX277" s="9"/>
      <c r="EY277" s="9"/>
      <c r="EZ277" s="9"/>
      <c r="FA277" s="9"/>
      <c r="FB277" s="9"/>
      <c r="FC277" s="9"/>
      <c r="FD277" s="9"/>
      <c r="FE277" s="9"/>
      <c r="FF277" s="9"/>
      <c r="FG277" s="9"/>
      <c r="FH277" s="9"/>
      <c r="FI277" s="9"/>
      <c r="FJ277" s="9"/>
      <c r="FK277" s="9"/>
      <c r="FL277" s="9"/>
      <c r="FM277" s="9"/>
      <c r="FN277" s="9"/>
      <c r="FO277" s="9"/>
      <c r="FP277" s="9"/>
      <c r="FQ277" s="9"/>
      <c r="FR277" s="9"/>
      <c r="FS277" s="9"/>
      <c r="FT277" s="9"/>
      <c r="FU277" s="9"/>
      <c r="FV277" s="9"/>
      <c r="FW277" s="10"/>
      <c r="FX277" s="9"/>
      <c r="FY277" s="9"/>
      <c r="FZ277" s="9"/>
      <c r="GA277" s="9"/>
      <c r="GB277" s="9"/>
      <c r="GC277" s="9"/>
      <c r="GD277" s="9"/>
      <c r="GE277" s="9"/>
      <c r="GF277" s="9"/>
      <c r="GG277" s="9"/>
      <c r="GH277" s="9"/>
      <c r="GI277" s="9"/>
      <c r="GJ277" s="9"/>
      <c r="GK277" s="9"/>
      <c r="GL277" s="9"/>
      <c r="GM277" s="9"/>
      <c r="GN277" s="9"/>
      <c r="GO277" s="9"/>
      <c r="GP277" s="9"/>
      <c r="GQ277" s="9"/>
      <c r="GR277" s="9"/>
      <c r="GS277" s="9"/>
      <c r="GT277" s="9"/>
      <c r="GU277" s="9"/>
      <c r="GV277" s="9"/>
      <c r="GW277" s="9"/>
      <c r="GX277" s="9"/>
      <c r="GY277" s="10"/>
      <c r="GZ277" s="9"/>
      <c r="HA277" s="9"/>
    </row>
    <row r="278" spans="1:209" s="2" customFormat="1" ht="17" customHeight="1">
      <c r="A278" s="14" t="s">
        <v>274</v>
      </c>
      <c r="B278" s="35">
        <v>171941</v>
      </c>
      <c r="C278" s="35">
        <v>176588.7</v>
      </c>
      <c r="D278" s="4">
        <f t="shared" si="72"/>
        <v>1.0270307838153785</v>
      </c>
      <c r="E278" s="11">
        <v>10</v>
      </c>
      <c r="F278" s="5" t="s">
        <v>362</v>
      </c>
      <c r="G278" s="5" t="s">
        <v>362</v>
      </c>
      <c r="H278" s="5" t="s">
        <v>362</v>
      </c>
      <c r="I278" s="5" t="s">
        <v>362</v>
      </c>
      <c r="J278" s="5" t="s">
        <v>362</v>
      </c>
      <c r="K278" s="5" t="s">
        <v>362</v>
      </c>
      <c r="L278" s="5" t="s">
        <v>362</v>
      </c>
      <c r="M278" s="5" t="s">
        <v>362</v>
      </c>
      <c r="N278" s="35">
        <v>8671.1</v>
      </c>
      <c r="O278" s="35">
        <v>10604.6</v>
      </c>
      <c r="P278" s="4">
        <f t="shared" si="73"/>
        <v>1.202298208993092</v>
      </c>
      <c r="Q278" s="11">
        <v>20</v>
      </c>
      <c r="R278" s="35">
        <v>0</v>
      </c>
      <c r="S278" s="35">
        <v>0</v>
      </c>
      <c r="T278" s="4">
        <f t="shared" si="74"/>
        <v>1</v>
      </c>
      <c r="U278" s="11">
        <v>10</v>
      </c>
      <c r="V278" s="35">
        <v>0.3</v>
      </c>
      <c r="W278" s="35">
        <v>0.4</v>
      </c>
      <c r="X278" s="4">
        <f t="shared" si="75"/>
        <v>1.2133333333333334</v>
      </c>
      <c r="Y278" s="11">
        <v>40</v>
      </c>
      <c r="Z278" s="35">
        <v>249706</v>
      </c>
      <c r="AA278" s="35">
        <v>265816</v>
      </c>
      <c r="AB278" s="4">
        <f t="shared" si="76"/>
        <v>1.0645158706639009</v>
      </c>
      <c r="AC278" s="11">
        <v>5</v>
      </c>
      <c r="AD278" s="11">
        <v>31</v>
      </c>
      <c r="AE278" s="11">
        <v>25</v>
      </c>
      <c r="AF278" s="4">
        <f t="shared" si="77"/>
        <v>0.80645161290322576</v>
      </c>
      <c r="AG278" s="11">
        <v>20</v>
      </c>
      <c r="AH278" s="5" t="s">
        <v>362</v>
      </c>
      <c r="AI278" s="5" t="s">
        <v>362</v>
      </c>
      <c r="AJ278" s="5" t="s">
        <v>362</v>
      </c>
      <c r="AK278" s="5" t="s">
        <v>362</v>
      </c>
      <c r="AL278" s="5" t="s">
        <v>362</v>
      </c>
      <c r="AM278" s="5" t="s">
        <v>362</v>
      </c>
      <c r="AN278" s="5" t="s">
        <v>362</v>
      </c>
      <c r="AO278" s="5" t="s">
        <v>362</v>
      </c>
      <c r="AP278" s="44">
        <f t="shared" si="86"/>
        <v>1.088583018692695</v>
      </c>
      <c r="AQ278" s="45">
        <v>0</v>
      </c>
      <c r="AR278" s="35">
        <f t="shared" si="78"/>
        <v>0</v>
      </c>
      <c r="AS278" s="35">
        <f t="shared" si="79"/>
        <v>0</v>
      </c>
      <c r="AT278" s="35">
        <f t="shared" si="80"/>
        <v>0</v>
      </c>
      <c r="AU278" s="35">
        <v>0</v>
      </c>
      <c r="AV278" s="35">
        <v>0</v>
      </c>
      <c r="AW278" s="35">
        <f t="shared" si="81"/>
        <v>0</v>
      </c>
      <c r="AX278" s="35"/>
      <c r="AY278" s="35">
        <f t="shared" si="82"/>
        <v>0</v>
      </c>
      <c r="AZ278" s="35">
        <v>0</v>
      </c>
      <c r="BA278" s="35">
        <f t="shared" si="83"/>
        <v>0</v>
      </c>
      <c r="BB278" s="35"/>
      <c r="BC278" s="35">
        <f t="shared" si="84"/>
        <v>0</v>
      </c>
      <c r="BD278" s="35">
        <v>0</v>
      </c>
      <c r="BE278" s="35">
        <f t="shared" si="85"/>
        <v>0</v>
      </c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9"/>
      <c r="BU278" s="9"/>
      <c r="BV278" s="9"/>
      <c r="BW278" s="9"/>
      <c r="BX278" s="9"/>
      <c r="BY278" s="9"/>
      <c r="BZ278" s="9"/>
      <c r="CA278" s="9"/>
      <c r="CB278" s="9"/>
      <c r="CC278" s="9"/>
      <c r="CD278" s="9"/>
      <c r="CE278" s="9"/>
      <c r="CF278" s="9"/>
      <c r="CG278" s="9"/>
      <c r="CH278" s="9"/>
      <c r="CI278" s="9"/>
      <c r="CJ278" s="9"/>
      <c r="CK278" s="9"/>
      <c r="CL278" s="9"/>
      <c r="CM278" s="9"/>
      <c r="CN278" s="9"/>
      <c r="CO278" s="9"/>
      <c r="CP278" s="9"/>
      <c r="CQ278" s="10"/>
      <c r="CR278" s="9"/>
      <c r="CS278" s="9"/>
      <c r="CT278" s="9"/>
      <c r="CU278" s="9"/>
      <c r="CV278" s="9"/>
      <c r="CW278" s="9"/>
      <c r="CX278" s="9"/>
      <c r="CY278" s="9"/>
      <c r="CZ278" s="9"/>
      <c r="DA278" s="9"/>
      <c r="DB278" s="9"/>
      <c r="DC278" s="9"/>
      <c r="DD278" s="9"/>
      <c r="DE278" s="9"/>
      <c r="DF278" s="9"/>
      <c r="DG278" s="9"/>
      <c r="DH278" s="9"/>
      <c r="DI278" s="9"/>
      <c r="DJ278" s="9"/>
      <c r="DK278" s="9"/>
      <c r="DL278" s="9"/>
      <c r="DM278" s="9"/>
      <c r="DN278" s="9"/>
      <c r="DO278" s="9"/>
      <c r="DP278" s="9"/>
      <c r="DQ278" s="9"/>
      <c r="DR278" s="9"/>
      <c r="DS278" s="10"/>
      <c r="DT278" s="9"/>
      <c r="DU278" s="9"/>
      <c r="DV278" s="9"/>
      <c r="DW278" s="9"/>
      <c r="DX278" s="9"/>
      <c r="DY278" s="9"/>
      <c r="DZ278" s="9"/>
      <c r="EA278" s="9"/>
      <c r="EB278" s="9"/>
      <c r="EC278" s="9"/>
      <c r="ED278" s="9"/>
      <c r="EE278" s="9"/>
      <c r="EF278" s="9"/>
      <c r="EG278" s="9"/>
      <c r="EH278" s="9"/>
      <c r="EI278" s="9"/>
      <c r="EJ278" s="9"/>
      <c r="EK278" s="9"/>
      <c r="EL278" s="9"/>
      <c r="EM278" s="9"/>
      <c r="EN278" s="9"/>
      <c r="EO278" s="9"/>
      <c r="EP278" s="9"/>
      <c r="EQ278" s="9"/>
      <c r="ER278" s="9"/>
      <c r="ES278" s="9"/>
      <c r="ET278" s="9"/>
      <c r="EU278" s="10"/>
      <c r="EV278" s="9"/>
      <c r="EW278" s="9"/>
      <c r="EX278" s="9"/>
      <c r="EY278" s="9"/>
      <c r="EZ278" s="9"/>
      <c r="FA278" s="9"/>
      <c r="FB278" s="9"/>
      <c r="FC278" s="9"/>
      <c r="FD278" s="9"/>
      <c r="FE278" s="9"/>
      <c r="FF278" s="9"/>
      <c r="FG278" s="9"/>
      <c r="FH278" s="9"/>
      <c r="FI278" s="9"/>
      <c r="FJ278" s="9"/>
      <c r="FK278" s="9"/>
      <c r="FL278" s="9"/>
      <c r="FM278" s="9"/>
      <c r="FN278" s="9"/>
      <c r="FO278" s="9"/>
      <c r="FP278" s="9"/>
      <c r="FQ278" s="9"/>
      <c r="FR278" s="9"/>
      <c r="FS278" s="9"/>
      <c r="FT278" s="9"/>
      <c r="FU278" s="9"/>
      <c r="FV278" s="9"/>
      <c r="FW278" s="10"/>
      <c r="FX278" s="9"/>
      <c r="FY278" s="9"/>
      <c r="FZ278" s="9"/>
      <c r="GA278" s="9"/>
      <c r="GB278" s="9"/>
      <c r="GC278" s="9"/>
      <c r="GD278" s="9"/>
      <c r="GE278" s="9"/>
      <c r="GF278" s="9"/>
      <c r="GG278" s="9"/>
      <c r="GH278" s="9"/>
      <c r="GI278" s="9"/>
      <c r="GJ278" s="9"/>
      <c r="GK278" s="9"/>
      <c r="GL278" s="9"/>
      <c r="GM278" s="9"/>
      <c r="GN278" s="9"/>
      <c r="GO278" s="9"/>
      <c r="GP278" s="9"/>
      <c r="GQ278" s="9"/>
      <c r="GR278" s="9"/>
      <c r="GS278" s="9"/>
      <c r="GT278" s="9"/>
      <c r="GU278" s="9"/>
      <c r="GV278" s="9"/>
      <c r="GW278" s="9"/>
      <c r="GX278" s="9"/>
      <c r="GY278" s="10"/>
      <c r="GZ278" s="9"/>
      <c r="HA278" s="9"/>
    </row>
    <row r="279" spans="1:209" s="2" customFormat="1" ht="17" customHeight="1">
      <c r="A279" s="14" t="s">
        <v>167</v>
      </c>
      <c r="B279" s="35">
        <v>0</v>
      </c>
      <c r="C279" s="35">
        <v>0</v>
      </c>
      <c r="D279" s="4">
        <f t="shared" si="72"/>
        <v>0</v>
      </c>
      <c r="E279" s="11">
        <v>0</v>
      </c>
      <c r="F279" s="5" t="s">
        <v>362</v>
      </c>
      <c r="G279" s="5" t="s">
        <v>362</v>
      </c>
      <c r="H279" s="5" t="s">
        <v>362</v>
      </c>
      <c r="I279" s="5" t="s">
        <v>362</v>
      </c>
      <c r="J279" s="5" t="s">
        <v>362</v>
      </c>
      <c r="K279" s="5" t="s">
        <v>362</v>
      </c>
      <c r="L279" s="5" t="s">
        <v>362</v>
      </c>
      <c r="M279" s="5" t="s">
        <v>362</v>
      </c>
      <c r="N279" s="35">
        <v>376</v>
      </c>
      <c r="O279" s="35">
        <v>543</v>
      </c>
      <c r="P279" s="4">
        <f t="shared" si="73"/>
        <v>1.2244148936170212</v>
      </c>
      <c r="Q279" s="11">
        <v>20</v>
      </c>
      <c r="R279" s="35">
        <v>218</v>
      </c>
      <c r="S279" s="35">
        <v>221.3</v>
      </c>
      <c r="T279" s="4">
        <f t="shared" si="74"/>
        <v>1.0151376146788991</v>
      </c>
      <c r="U279" s="11">
        <v>25</v>
      </c>
      <c r="V279" s="35">
        <v>10</v>
      </c>
      <c r="W279" s="35">
        <v>10.1</v>
      </c>
      <c r="X279" s="4">
        <f t="shared" si="75"/>
        <v>1.01</v>
      </c>
      <c r="Y279" s="11">
        <v>25</v>
      </c>
      <c r="Z279" s="35">
        <v>5770</v>
      </c>
      <c r="AA279" s="35">
        <v>5429</v>
      </c>
      <c r="AB279" s="4">
        <f t="shared" si="76"/>
        <v>0.94090121317157716</v>
      </c>
      <c r="AC279" s="11">
        <v>5</v>
      </c>
      <c r="AD279" s="11">
        <v>510</v>
      </c>
      <c r="AE279" s="11">
        <v>526</v>
      </c>
      <c r="AF279" s="4">
        <f t="shared" si="77"/>
        <v>1.031372549019608</v>
      </c>
      <c r="AG279" s="11">
        <v>20</v>
      </c>
      <c r="AH279" s="5" t="s">
        <v>362</v>
      </c>
      <c r="AI279" s="5" t="s">
        <v>362</v>
      </c>
      <c r="AJ279" s="5" t="s">
        <v>362</v>
      </c>
      <c r="AK279" s="5" t="s">
        <v>362</v>
      </c>
      <c r="AL279" s="5" t="s">
        <v>362</v>
      </c>
      <c r="AM279" s="5" t="s">
        <v>362</v>
      </c>
      <c r="AN279" s="5" t="s">
        <v>362</v>
      </c>
      <c r="AO279" s="5" t="s">
        <v>362</v>
      </c>
      <c r="AP279" s="44">
        <f t="shared" si="86"/>
        <v>1.0573546872164519</v>
      </c>
      <c r="AQ279" s="45">
        <v>857</v>
      </c>
      <c r="AR279" s="35">
        <f t="shared" si="78"/>
        <v>233.72727272727272</v>
      </c>
      <c r="AS279" s="35">
        <f t="shared" si="79"/>
        <v>247.1</v>
      </c>
      <c r="AT279" s="35">
        <f t="shared" si="80"/>
        <v>13.372727272727275</v>
      </c>
      <c r="AU279" s="35">
        <v>85.7</v>
      </c>
      <c r="AV279" s="35">
        <v>62.6</v>
      </c>
      <c r="AW279" s="35">
        <f t="shared" si="81"/>
        <v>98.8</v>
      </c>
      <c r="AX279" s="35"/>
      <c r="AY279" s="35">
        <f t="shared" si="82"/>
        <v>98.8</v>
      </c>
      <c r="AZ279" s="35">
        <v>0</v>
      </c>
      <c r="BA279" s="35">
        <f t="shared" si="83"/>
        <v>98.8</v>
      </c>
      <c r="BB279" s="35">
        <f>MIN(BA279,3.5)</f>
        <v>3.5</v>
      </c>
      <c r="BC279" s="35">
        <f t="shared" si="84"/>
        <v>95.3</v>
      </c>
      <c r="BD279" s="35">
        <v>96.8</v>
      </c>
      <c r="BE279" s="35">
        <f t="shared" si="85"/>
        <v>-1.5</v>
      </c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9"/>
      <c r="BU279" s="9"/>
      <c r="BV279" s="9"/>
      <c r="BW279" s="9"/>
      <c r="BX279" s="9"/>
      <c r="BY279" s="9"/>
      <c r="BZ279" s="9"/>
      <c r="CA279" s="9"/>
      <c r="CB279" s="9"/>
      <c r="CC279" s="9"/>
      <c r="CD279" s="9"/>
      <c r="CE279" s="9"/>
      <c r="CF279" s="9"/>
      <c r="CG279" s="9"/>
      <c r="CH279" s="9"/>
      <c r="CI279" s="9"/>
      <c r="CJ279" s="9"/>
      <c r="CK279" s="9"/>
      <c r="CL279" s="9"/>
      <c r="CM279" s="9"/>
      <c r="CN279" s="9"/>
      <c r="CO279" s="9"/>
      <c r="CP279" s="9"/>
      <c r="CQ279" s="10"/>
      <c r="CR279" s="9"/>
      <c r="CS279" s="9"/>
      <c r="CT279" s="9"/>
      <c r="CU279" s="9"/>
      <c r="CV279" s="9"/>
      <c r="CW279" s="9"/>
      <c r="CX279" s="9"/>
      <c r="CY279" s="9"/>
      <c r="CZ279" s="9"/>
      <c r="DA279" s="9"/>
      <c r="DB279" s="9"/>
      <c r="DC279" s="9"/>
      <c r="DD279" s="9"/>
      <c r="DE279" s="9"/>
      <c r="DF279" s="9"/>
      <c r="DG279" s="9"/>
      <c r="DH279" s="9"/>
      <c r="DI279" s="9"/>
      <c r="DJ279" s="9"/>
      <c r="DK279" s="9"/>
      <c r="DL279" s="9"/>
      <c r="DM279" s="9"/>
      <c r="DN279" s="9"/>
      <c r="DO279" s="9"/>
      <c r="DP279" s="9"/>
      <c r="DQ279" s="9"/>
      <c r="DR279" s="9"/>
      <c r="DS279" s="10"/>
      <c r="DT279" s="9"/>
      <c r="DU279" s="9"/>
      <c r="DV279" s="9"/>
      <c r="DW279" s="9"/>
      <c r="DX279" s="9"/>
      <c r="DY279" s="9"/>
      <c r="DZ279" s="9"/>
      <c r="EA279" s="9"/>
      <c r="EB279" s="9"/>
      <c r="EC279" s="9"/>
      <c r="ED279" s="9"/>
      <c r="EE279" s="9"/>
      <c r="EF279" s="9"/>
      <c r="EG279" s="9"/>
      <c r="EH279" s="9"/>
      <c r="EI279" s="9"/>
      <c r="EJ279" s="9"/>
      <c r="EK279" s="9"/>
      <c r="EL279" s="9"/>
      <c r="EM279" s="9"/>
      <c r="EN279" s="9"/>
      <c r="EO279" s="9"/>
      <c r="EP279" s="9"/>
      <c r="EQ279" s="9"/>
      <c r="ER279" s="9"/>
      <c r="ES279" s="9"/>
      <c r="ET279" s="9"/>
      <c r="EU279" s="10"/>
      <c r="EV279" s="9"/>
      <c r="EW279" s="9"/>
      <c r="EX279" s="9"/>
      <c r="EY279" s="9"/>
      <c r="EZ279" s="9"/>
      <c r="FA279" s="9"/>
      <c r="FB279" s="9"/>
      <c r="FC279" s="9"/>
      <c r="FD279" s="9"/>
      <c r="FE279" s="9"/>
      <c r="FF279" s="9"/>
      <c r="FG279" s="9"/>
      <c r="FH279" s="9"/>
      <c r="FI279" s="9"/>
      <c r="FJ279" s="9"/>
      <c r="FK279" s="9"/>
      <c r="FL279" s="9"/>
      <c r="FM279" s="9"/>
      <c r="FN279" s="9"/>
      <c r="FO279" s="9"/>
      <c r="FP279" s="9"/>
      <c r="FQ279" s="9"/>
      <c r="FR279" s="9"/>
      <c r="FS279" s="9"/>
      <c r="FT279" s="9"/>
      <c r="FU279" s="9"/>
      <c r="FV279" s="9"/>
      <c r="FW279" s="10"/>
      <c r="FX279" s="9"/>
      <c r="FY279" s="9"/>
      <c r="FZ279" s="9"/>
      <c r="GA279" s="9"/>
      <c r="GB279" s="9"/>
      <c r="GC279" s="9"/>
      <c r="GD279" s="9"/>
      <c r="GE279" s="9"/>
      <c r="GF279" s="9"/>
      <c r="GG279" s="9"/>
      <c r="GH279" s="9"/>
      <c r="GI279" s="9"/>
      <c r="GJ279" s="9"/>
      <c r="GK279" s="9"/>
      <c r="GL279" s="9"/>
      <c r="GM279" s="9"/>
      <c r="GN279" s="9"/>
      <c r="GO279" s="9"/>
      <c r="GP279" s="9"/>
      <c r="GQ279" s="9"/>
      <c r="GR279" s="9"/>
      <c r="GS279" s="9"/>
      <c r="GT279" s="9"/>
      <c r="GU279" s="9"/>
      <c r="GV279" s="9"/>
      <c r="GW279" s="9"/>
      <c r="GX279" s="9"/>
      <c r="GY279" s="10"/>
      <c r="GZ279" s="9"/>
      <c r="HA279" s="9"/>
    </row>
    <row r="280" spans="1:209" s="2" customFormat="1" ht="17" customHeight="1">
      <c r="A280" s="18" t="s">
        <v>275</v>
      </c>
      <c r="B280" s="61"/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35"/>
      <c r="AA280" s="35"/>
      <c r="AB280" s="11"/>
      <c r="AC280" s="11"/>
      <c r="AD280" s="11"/>
      <c r="AE280" s="11"/>
      <c r="AF280" s="11"/>
      <c r="AG280" s="11"/>
      <c r="AH280" s="11"/>
      <c r="AI280" s="11"/>
      <c r="AJ280" s="11"/>
      <c r="AK280" s="11"/>
      <c r="AL280" s="11"/>
      <c r="AM280" s="11"/>
      <c r="AN280" s="11"/>
      <c r="AO280" s="11"/>
      <c r="AP280" s="11"/>
      <c r="AQ280" s="11"/>
      <c r="AR280" s="11"/>
      <c r="AS280" s="11"/>
      <c r="AT280" s="11"/>
      <c r="AU280" s="11"/>
      <c r="AV280" s="11"/>
      <c r="AW280" s="11"/>
      <c r="AX280" s="11"/>
      <c r="AY280" s="11"/>
      <c r="AZ280" s="11"/>
      <c r="BA280" s="11"/>
      <c r="BB280" s="11"/>
      <c r="BC280" s="35"/>
      <c r="BD280" s="35"/>
      <c r="BE280" s="35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9"/>
      <c r="BU280" s="9"/>
      <c r="BV280" s="9"/>
      <c r="BW280" s="9"/>
      <c r="BX280" s="9"/>
      <c r="BY280" s="9"/>
      <c r="BZ280" s="9"/>
      <c r="CA280" s="9"/>
      <c r="CB280" s="9"/>
      <c r="CC280" s="9"/>
      <c r="CD280" s="9"/>
      <c r="CE280" s="9"/>
      <c r="CF280" s="9"/>
      <c r="CG280" s="9"/>
      <c r="CH280" s="9"/>
      <c r="CI280" s="9"/>
      <c r="CJ280" s="9"/>
      <c r="CK280" s="9"/>
      <c r="CL280" s="9"/>
      <c r="CM280" s="9"/>
      <c r="CN280" s="9"/>
      <c r="CO280" s="9"/>
      <c r="CP280" s="9"/>
      <c r="CQ280" s="10"/>
      <c r="CR280" s="9"/>
      <c r="CS280" s="9"/>
      <c r="CT280" s="9"/>
      <c r="CU280" s="9"/>
      <c r="CV280" s="9"/>
      <c r="CW280" s="9"/>
      <c r="CX280" s="9"/>
      <c r="CY280" s="9"/>
      <c r="CZ280" s="9"/>
      <c r="DA280" s="9"/>
      <c r="DB280" s="9"/>
      <c r="DC280" s="9"/>
      <c r="DD280" s="9"/>
      <c r="DE280" s="9"/>
      <c r="DF280" s="9"/>
      <c r="DG280" s="9"/>
      <c r="DH280" s="9"/>
      <c r="DI280" s="9"/>
      <c r="DJ280" s="9"/>
      <c r="DK280" s="9"/>
      <c r="DL280" s="9"/>
      <c r="DM280" s="9"/>
      <c r="DN280" s="9"/>
      <c r="DO280" s="9"/>
      <c r="DP280" s="9"/>
      <c r="DQ280" s="9"/>
      <c r="DR280" s="9"/>
      <c r="DS280" s="10"/>
      <c r="DT280" s="9"/>
      <c r="DU280" s="9"/>
      <c r="DV280" s="9"/>
      <c r="DW280" s="9"/>
      <c r="DX280" s="9"/>
      <c r="DY280" s="9"/>
      <c r="DZ280" s="9"/>
      <c r="EA280" s="9"/>
      <c r="EB280" s="9"/>
      <c r="EC280" s="9"/>
      <c r="ED280" s="9"/>
      <c r="EE280" s="9"/>
      <c r="EF280" s="9"/>
      <c r="EG280" s="9"/>
      <c r="EH280" s="9"/>
      <c r="EI280" s="9"/>
      <c r="EJ280" s="9"/>
      <c r="EK280" s="9"/>
      <c r="EL280" s="9"/>
      <c r="EM280" s="9"/>
      <c r="EN280" s="9"/>
      <c r="EO280" s="9"/>
      <c r="EP280" s="9"/>
      <c r="EQ280" s="9"/>
      <c r="ER280" s="9"/>
      <c r="ES280" s="9"/>
      <c r="ET280" s="9"/>
      <c r="EU280" s="10"/>
      <c r="EV280" s="9"/>
      <c r="EW280" s="9"/>
      <c r="EX280" s="9"/>
      <c r="EY280" s="9"/>
      <c r="EZ280" s="9"/>
      <c r="FA280" s="9"/>
      <c r="FB280" s="9"/>
      <c r="FC280" s="9"/>
      <c r="FD280" s="9"/>
      <c r="FE280" s="9"/>
      <c r="FF280" s="9"/>
      <c r="FG280" s="9"/>
      <c r="FH280" s="9"/>
      <c r="FI280" s="9"/>
      <c r="FJ280" s="9"/>
      <c r="FK280" s="9"/>
      <c r="FL280" s="9"/>
      <c r="FM280" s="9"/>
      <c r="FN280" s="9"/>
      <c r="FO280" s="9"/>
      <c r="FP280" s="9"/>
      <c r="FQ280" s="9"/>
      <c r="FR280" s="9"/>
      <c r="FS280" s="9"/>
      <c r="FT280" s="9"/>
      <c r="FU280" s="9"/>
      <c r="FV280" s="9"/>
      <c r="FW280" s="10"/>
      <c r="FX280" s="9"/>
      <c r="FY280" s="9"/>
      <c r="FZ280" s="9"/>
      <c r="GA280" s="9"/>
      <c r="GB280" s="9"/>
      <c r="GC280" s="9"/>
      <c r="GD280" s="9"/>
      <c r="GE280" s="9"/>
      <c r="GF280" s="9"/>
      <c r="GG280" s="9"/>
      <c r="GH280" s="9"/>
      <c r="GI280" s="9"/>
      <c r="GJ280" s="9"/>
      <c r="GK280" s="9"/>
      <c r="GL280" s="9"/>
      <c r="GM280" s="9"/>
      <c r="GN280" s="9"/>
      <c r="GO280" s="9"/>
      <c r="GP280" s="9"/>
      <c r="GQ280" s="9"/>
      <c r="GR280" s="9"/>
      <c r="GS280" s="9"/>
      <c r="GT280" s="9"/>
      <c r="GU280" s="9"/>
      <c r="GV280" s="9"/>
      <c r="GW280" s="9"/>
      <c r="GX280" s="9"/>
      <c r="GY280" s="10"/>
      <c r="GZ280" s="9"/>
      <c r="HA280" s="9"/>
    </row>
    <row r="281" spans="1:209" s="2" customFormat="1" ht="17" customHeight="1">
      <c r="A281" s="46" t="s">
        <v>71</v>
      </c>
      <c r="B281" s="35">
        <v>286134</v>
      </c>
      <c r="C281" s="35">
        <v>255562</v>
      </c>
      <c r="D281" s="4">
        <f t="shared" si="72"/>
        <v>0.89315495537056067</v>
      </c>
      <c r="E281" s="11">
        <v>10</v>
      </c>
      <c r="F281" s="5" t="s">
        <v>362</v>
      </c>
      <c r="G281" s="5" t="s">
        <v>362</v>
      </c>
      <c r="H281" s="5" t="s">
        <v>362</v>
      </c>
      <c r="I281" s="5" t="s">
        <v>362</v>
      </c>
      <c r="J281" s="5" t="s">
        <v>362</v>
      </c>
      <c r="K281" s="5" t="s">
        <v>362</v>
      </c>
      <c r="L281" s="5" t="s">
        <v>362</v>
      </c>
      <c r="M281" s="5" t="s">
        <v>362</v>
      </c>
      <c r="N281" s="35">
        <v>953.5</v>
      </c>
      <c r="O281" s="35">
        <v>592.5</v>
      </c>
      <c r="P281" s="4">
        <f t="shared" si="73"/>
        <v>0.62139486103828001</v>
      </c>
      <c r="Q281" s="11">
        <v>20</v>
      </c>
      <c r="R281" s="35">
        <v>0</v>
      </c>
      <c r="S281" s="35">
        <v>0</v>
      </c>
      <c r="T281" s="4">
        <f t="shared" si="74"/>
        <v>1</v>
      </c>
      <c r="U281" s="11">
        <v>5</v>
      </c>
      <c r="V281" s="35">
        <v>3150</v>
      </c>
      <c r="W281" s="35">
        <v>3458.3</v>
      </c>
      <c r="X281" s="4">
        <f t="shared" si="75"/>
        <v>1.0978730158730159</v>
      </c>
      <c r="Y281" s="11">
        <v>45</v>
      </c>
      <c r="Z281" s="35">
        <v>216189</v>
      </c>
      <c r="AA281" s="35">
        <v>166863</v>
      </c>
      <c r="AB281" s="4">
        <f t="shared" si="76"/>
        <v>0.77183853017498583</v>
      </c>
      <c r="AC281" s="11">
        <v>10</v>
      </c>
      <c r="AD281" s="11">
        <v>51</v>
      </c>
      <c r="AE281" s="11">
        <v>26</v>
      </c>
      <c r="AF281" s="4">
        <f t="shared" si="77"/>
        <v>0.50980392156862742</v>
      </c>
      <c r="AG281" s="11">
        <v>20</v>
      </c>
      <c r="AH281" s="5" t="s">
        <v>362</v>
      </c>
      <c r="AI281" s="5" t="s">
        <v>362</v>
      </c>
      <c r="AJ281" s="5" t="s">
        <v>362</v>
      </c>
      <c r="AK281" s="5" t="s">
        <v>362</v>
      </c>
      <c r="AL281" s="5" t="s">
        <v>362</v>
      </c>
      <c r="AM281" s="5" t="s">
        <v>362</v>
      </c>
      <c r="AN281" s="5" t="s">
        <v>362</v>
      </c>
      <c r="AO281" s="5" t="s">
        <v>362</v>
      </c>
      <c r="AP281" s="44">
        <f t="shared" si="86"/>
        <v>0.85161996565344833</v>
      </c>
      <c r="AQ281" s="45">
        <v>579</v>
      </c>
      <c r="AR281" s="35">
        <f t="shared" si="78"/>
        <v>157.90909090909091</v>
      </c>
      <c r="AS281" s="35">
        <f t="shared" si="79"/>
        <v>134.5</v>
      </c>
      <c r="AT281" s="35">
        <f t="shared" si="80"/>
        <v>-23.409090909090907</v>
      </c>
      <c r="AU281" s="35">
        <v>53.4</v>
      </c>
      <c r="AV281" s="35">
        <v>56.7</v>
      </c>
      <c r="AW281" s="35">
        <f t="shared" si="81"/>
        <v>24.4</v>
      </c>
      <c r="AX281" s="35"/>
      <c r="AY281" s="35">
        <f t="shared" si="82"/>
        <v>24.4</v>
      </c>
      <c r="AZ281" s="35">
        <v>0</v>
      </c>
      <c r="BA281" s="35">
        <f t="shared" si="83"/>
        <v>24.4</v>
      </c>
      <c r="BB281" s="35">
        <f>MIN(BA281,2.3)</f>
        <v>2.2999999999999998</v>
      </c>
      <c r="BC281" s="35">
        <f t="shared" si="84"/>
        <v>22.1</v>
      </c>
      <c r="BD281" s="35">
        <v>23.3</v>
      </c>
      <c r="BE281" s="35">
        <f t="shared" si="85"/>
        <v>-1.2</v>
      </c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9"/>
      <c r="BU281" s="9"/>
      <c r="BV281" s="9"/>
      <c r="BW281" s="9"/>
      <c r="BX281" s="9"/>
      <c r="BY281" s="9"/>
      <c r="BZ281" s="9"/>
      <c r="CA281" s="9"/>
      <c r="CB281" s="9"/>
      <c r="CC281" s="9"/>
      <c r="CD281" s="9"/>
      <c r="CE281" s="9"/>
      <c r="CF281" s="9"/>
      <c r="CG281" s="9"/>
      <c r="CH281" s="9"/>
      <c r="CI281" s="9"/>
      <c r="CJ281" s="9"/>
      <c r="CK281" s="9"/>
      <c r="CL281" s="9"/>
      <c r="CM281" s="9"/>
      <c r="CN281" s="9"/>
      <c r="CO281" s="9"/>
      <c r="CP281" s="9"/>
      <c r="CQ281" s="10"/>
      <c r="CR281" s="9"/>
      <c r="CS281" s="9"/>
      <c r="CT281" s="9"/>
      <c r="CU281" s="9"/>
      <c r="CV281" s="9"/>
      <c r="CW281" s="9"/>
      <c r="CX281" s="9"/>
      <c r="CY281" s="9"/>
      <c r="CZ281" s="9"/>
      <c r="DA281" s="9"/>
      <c r="DB281" s="9"/>
      <c r="DC281" s="9"/>
      <c r="DD281" s="9"/>
      <c r="DE281" s="9"/>
      <c r="DF281" s="9"/>
      <c r="DG281" s="9"/>
      <c r="DH281" s="9"/>
      <c r="DI281" s="9"/>
      <c r="DJ281" s="9"/>
      <c r="DK281" s="9"/>
      <c r="DL281" s="9"/>
      <c r="DM281" s="9"/>
      <c r="DN281" s="9"/>
      <c r="DO281" s="9"/>
      <c r="DP281" s="9"/>
      <c r="DQ281" s="9"/>
      <c r="DR281" s="9"/>
      <c r="DS281" s="10"/>
      <c r="DT281" s="9"/>
      <c r="DU281" s="9"/>
      <c r="DV281" s="9"/>
      <c r="DW281" s="9"/>
      <c r="DX281" s="9"/>
      <c r="DY281" s="9"/>
      <c r="DZ281" s="9"/>
      <c r="EA281" s="9"/>
      <c r="EB281" s="9"/>
      <c r="EC281" s="9"/>
      <c r="ED281" s="9"/>
      <c r="EE281" s="9"/>
      <c r="EF281" s="9"/>
      <c r="EG281" s="9"/>
      <c r="EH281" s="9"/>
      <c r="EI281" s="9"/>
      <c r="EJ281" s="9"/>
      <c r="EK281" s="9"/>
      <c r="EL281" s="9"/>
      <c r="EM281" s="9"/>
      <c r="EN281" s="9"/>
      <c r="EO281" s="9"/>
      <c r="EP281" s="9"/>
      <c r="EQ281" s="9"/>
      <c r="ER281" s="9"/>
      <c r="ES281" s="9"/>
      <c r="ET281" s="9"/>
      <c r="EU281" s="10"/>
      <c r="EV281" s="9"/>
      <c r="EW281" s="9"/>
      <c r="EX281" s="9"/>
      <c r="EY281" s="9"/>
      <c r="EZ281" s="9"/>
      <c r="FA281" s="9"/>
      <c r="FB281" s="9"/>
      <c r="FC281" s="9"/>
      <c r="FD281" s="9"/>
      <c r="FE281" s="9"/>
      <c r="FF281" s="9"/>
      <c r="FG281" s="9"/>
      <c r="FH281" s="9"/>
      <c r="FI281" s="9"/>
      <c r="FJ281" s="9"/>
      <c r="FK281" s="9"/>
      <c r="FL281" s="9"/>
      <c r="FM281" s="9"/>
      <c r="FN281" s="9"/>
      <c r="FO281" s="9"/>
      <c r="FP281" s="9"/>
      <c r="FQ281" s="9"/>
      <c r="FR281" s="9"/>
      <c r="FS281" s="9"/>
      <c r="FT281" s="9"/>
      <c r="FU281" s="9"/>
      <c r="FV281" s="9"/>
      <c r="FW281" s="10"/>
      <c r="FX281" s="9"/>
      <c r="FY281" s="9"/>
      <c r="FZ281" s="9"/>
      <c r="GA281" s="9"/>
      <c r="GB281" s="9"/>
      <c r="GC281" s="9"/>
      <c r="GD281" s="9"/>
      <c r="GE281" s="9"/>
      <c r="GF281" s="9"/>
      <c r="GG281" s="9"/>
      <c r="GH281" s="9"/>
      <c r="GI281" s="9"/>
      <c r="GJ281" s="9"/>
      <c r="GK281" s="9"/>
      <c r="GL281" s="9"/>
      <c r="GM281" s="9"/>
      <c r="GN281" s="9"/>
      <c r="GO281" s="9"/>
      <c r="GP281" s="9"/>
      <c r="GQ281" s="9"/>
      <c r="GR281" s="9"/>
      <c r="GS281" s="9"/>
      <c r="GT281" s="9"/>
      <c r="GU281" s="9"/>
      <c r="GV281" s="9"/>
      <c r="GW281" s="9"/>
      <c r="GX281" s="9"/>
      <c r="GY281" s="10"/>
      <c r="GZ281" s="9"/>
      <c r="HA281" s="9"/>
    </row>
    <row r="282" spans="1:209" s="2" customFormat="1" ht="17" customHeight="1">
      <c r="A282" s="46" t="s">
        <v>276</v>
      </c>
      <c r="B282" s="35">
        <v>0</v>
      </c>
      <c r="C282" s="35">
        <v>366</v>
      </c>
      <c r="D282" s="4">
        <f t="shared" si="72"/>
        <v>1</v>
      </c>
      <c r="E282" s="11">
        <v>10</v>
      </c>
      <c r="F282" s="5" t="s">
        <v>362</v>
      </c>
      <c r="G282" s="5" t="s">
        <v>362</v>
      </c>
      <c r="H282" s="5" t="s">
        <v>362</v>
      </c>
      <c r="I282" s="5" t="s">
        <v>362</v>
      </c>
      <c r="J282" s="5" t="s">
        <v>362</v>
      </c>
      <c r="K282" s="5" t="s">
        <v>362</v>
      </c>
      <c r="L282" s="5" t="s">
        <v>362</v>
      </c>
      <c r="M282" s="5" t="s">
        <v>362</v>
      </c>
      <c r="N282" s="35">
        <v>82.1</v>
      </c>
      <c r="O282" s="35">
        <v>127.1</v>
      </c>
      <c r="P282" s="4">
        <f t="shared" si="73"/>
        <v>1.2348112058465286</v>
      </c>
      <c r="Q282" s="11">
        <v>20</v>
      </c>
      <c r="R282" s="35">
        <v>0</v>
      </c>
      <c r="S282" s="35">
        <v>0</v>
      </c>
      <c r="T282" s="4">
        <f t="shared" si="74"/>
        <v>1</v>
      </c>
      <c r="U282" s="11">
        <v>20</v>
      </c>
      <c r="V282" s="35">
        <v>0</v>
      </c>
      <c r="W282" s="35">
        <v>0</v>
      </c>
      <c r="X282" s="4">
        <f t="shared" si="75"/>
        <v>1</v>
      </c>
      <c r="Y282" s="11">
        <v>30</v>
      </c>
      <c r="Z282" s="35">
        <v>1544</v>
      </c>
      <c r="AA282" s="35">
        <v>1775</v>
      </c>
      <c r="AB282" s="4">
        <f t="shared" si="76"/>
        <v>1.1496113989637307</v>
      </c>
      <c r="AC282" s="11">
        <v>10</v>
      </c>
      <c r="AD282" s="11">
        <v>44</v>
      </c>
      <c r="AE282" s="11">
        <v>50</v>
      </c>
      <c r="AF282" s="4">
        <f t="shared" si="77"/>
        <v>1.1363636363636365</v>
      </c>
      <c r="AG282" s="11">
        <v>20</v>
      </c>
      <c r="AH282" s="5" t="s">
        <v>362</v>
      </c>
      <c r="AI282" s="5" t="s">
        <v>362</v>
      </c>
      <c r="AJ282" s="5" t="s">
        <v>362</v>
      </c>
      <c r="AK282" s="5" t="s">
        <v>362</v>
      </c>
      <c r="AL282" s="5" t="s">
        <v>362</v>
      </c>
      <c r="AM282" s="5" t="s">
        <v>362</v>
      </c>
      <c r="AN282" s="5" t="s">
        <v>362</v>
      </c>
      <c r="AO282" s="5" t="s">
        <v>362</v>
      </c>
      <c r="AP282" s="44">
        <f t="shared" si="86"/>
        <v>1.0810873712167328</v>
      </c>
      <c r="AQ282" s="45">
        <v>561</v>
      </c>
      <c r="AR282" s="35">
        <f t="shared" si="78"/>
        <v>153</v>
      </c>
      <c r="AS282" s="35">
        <f t="shared" si="79"/>
        <v>165.4</v>
      </c>
      <c r="AT282" s="35">
        <f t="shared" si="80"/>
        <v>12.400000000000006</v>
      </c>
      <c r="AU282" s="35">
        <v>45.9</v>
      </c>
      <c r="AV282" s="35">
        <v>54.8</v>
      </c>
      <c r="AW282" s="35">
        <f t="shared" si="81"/>
        <v>64.7</v>
      </c>
      <c r="AX282" s="35"/>
      <c r="AY282" s="35">
        <f t="shared" si="82"/>
        <v>64.7</v>
      </c>
      <c r="AZ282" s="35">
        <v>0</v>
      </c>
      <c r="BA282" s="35">
        <f t="shared" si="83"/>
        <v>64.7</v>
      </c>
      <c r="BB282" s="35"/>
      <c r="BC282" s="35">
        <f t="shared" si="84"/>
        <v>64.7</v>
      </c>
      <c r="BD282" s="35">
        <v>63.7</v>
      </c>
      <c r="BE282" s="35">
        <f t="shared" si="85"/>
        <v>1</v>
      </c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9"/>
      <c r="BU282" s="9"/>
      <c r="BV282" s="9"/>
      <c r="BW282" s="9"/>
      <c r="BX282" s="9"/>
      <c r="BY282" s="9"/>
      <c r="BZ282" s="9"/>
      <c r="CA282" s="9"/>
      <c r="CB282" s="9"/>
      <c r="CC282" s="9"/>
      <c r="CD282" s="9"/>
      <c r="CE282" s="9"/>
      <c r="CF282" s="9"/>
      <c r="CG282" s="9"/>
      <c r="CH282" s="9"/>
      <c r="CI282" s="9"/>
      <c r="CJ282" s="9"/>
      <c r="CK282" s="9"/>
      <c r="CL282" s="9"/>
      <c r="CM282" s="9"/>
      <c r="CN282" s="9"/>
      <c r="CO282" s="9"/>
      <c r="CP282" s="9"/>
      <c r="CQ282" s="10"/>
      <c r="CR282" s="9"/>
      <c r="CS282" s="9"/>
      <c r="CT282" s="9"/>
      <c r="CU282" s="9"/>
      <c r="CV282" s="9"/>
      <c r="CW282" s="9"/>
      <c r="CX282" s="9"/>
      <c r="CY282" s="9"/>
      <c r="CZ282" s="9"/>
      <c r="DA282" s="9"/>
      <c r="DB282" s="9"/>
      <c r="DC282" s="9"/>
      <c r="DD282" s="9"/>
      <c r="DE282" s="9"/>
      <c r="DF282" s="9"/>
      <c r="DG282" s="9"/>
      <c r="DH282" s="9"/>
      <c r="DI282" s="9"/>
      <c r="DJ282" s="9"/>
      <c r="DK282" s="9"/>
      <c r="DL282" s="9"/>
      <c r="DM282" s="9"/>
      <c r="DN282" s="9"/>
      <c r="DO282" s="9"/>
      <c r="DP282" s="9"/>
      <c r="DQ282" s="9"/>
      <c r="DR282" s="9"/>
      <c r="DS282" s="10"/>
      <c r="DT282" s="9"/>
      <c r="DU282" s="9"/>
      <c r="DV282" s="9"/>
      <c r="DW282" s="9"/>
      <c r="DX282" s="9"/>
      <c r="DY282" s="9"/>
      <c r="DZ282" s="9"/>
      <c r="EA282" s="9"/>
      <c r="EB282" s="9"/>
      <c r="EC282" s="9"/>
      <c r="ED282" s="9"/>
      <c r="EE282" s="9"/>
      <c r="EF282" s="9"/>
      <c r="EG282" s="9"/>
      <c r="EH282" s="9"/>
      <c r="EI282" s="9"/>
      <c r="EJ282" s="9"/>
      <c r="EK282" s="9"/>
      <c r="EL282" s="9"/>
      <c r="EM282" s="9"/>
      <c r="EN282" s="9"/>
      <c r="EO282" s="9"/>
      <c r="EP282" s="9"/>
      <c r="EQ282" s="9"/>
      <c r="ER282" s="9"/>
      <c r="ES282" s="9"/>
      <c r="ET282" s="9"/>
      <c r="EU282" s="10"/>
      <c r="EV282" s="9"/>
      <c r="EW282" s="9"/>
      <c r="EX282" s="9"/>
      <c r="EY282" s="9"/>
      <c r="EZ282" s="9"/>
      <c r="FA282" s="9"/>
      <c r="FB282" s="9"/>
      <c r="FC282" s="9"/>
      <c r="FD282" s="9"/>
      <c r="FE282" s="9"/>
      <c r="FF282" s="9"/>
      <c r="FG282" s="9"/>
      <c r="FH282" s="9"/>
      <c r="FI282" s="9"/>
      <c r="FJ282" s="9"/>
      <c r="FK282" s="9"/>
      <c r="FL282" s="9"/>
      <c r="FM282" s="9"/>
      <c r="FN282" s="9"/>
      <c r="FO282" s="9"/>
      <c r="FP282" s="9"/>
      <c r="FQ282" s="9"/>
      <c r="FR282" s="9"/>
      <c r="FS282" s="9"/>
      <c r="FT282" s="9"/>
      <c r="FU282" s="9"/>
      <c r="FV282" s="9"/>
      <c r="FW282" s="10"/>
      <c r="FX282" s="9"/>
      <c r="FY282" s="9"/>
      <c r="FZ282" s="9"/>
      <c r="GA282" s="9"/>
      <c r="GB282" s="9"/>
      <c r="GC282" s="9"/>
      <c r="GD282" s="9"/>
      <c r="GE282" s="9"/>
      <c r="GF282" s="9"/>
      <c r="GG282" s="9"/>
      <c r="GH282" s="9"/>
      <c r="GI282" s="9"/>
      <c r="GJ282" s="9"/>
      <c r="GK282" s="9"/>
      <c r="GL282" s="9"/>
      <c r="GM282" s="9"/>
      <c r="GN282" s="9"/>
      <c r="GO282" s="9"/>
      <c r="GP282" s="9"/>
      <c r="GQ282" s="9"/>
      <c r="GR282" s="9"/>
      <c r="GS282" s="9"/>
      <c r="GT282" s="9"/>
      <c r="GU282" s="9"/>
      <c r="GV282" s="9"/>
      <c r="GW282" s="9"/>
      <c r="GX282" s="9"/>
      <c r="GY282" s="10"/>
      <c r="GZ282" s="9"/>
      <c r="HA282" s="9"/>
    </row>
    <row r="283" spans="1:209" s="2" customFormat="1" ht="17" customHeight="1">
      <c r="A283" s="46" t="s">
        <v>277</v>
      </c>
      <c r="B283" s="35">
        <v>0</v>
      </c>
      <c r="C283" s="35">
        <v>0</v>
      </c>
      <c r="D283" s="4">
        <f t="shared" si="72"/>
        <v>0</v>
      </c>
      <c r="E283" s="11">
        <v>0</v>
      </c>
      <c r="F283" s="5" t="s">
        <v>362</v>
      </c>
      <c r="G283" s="5" t="s">
        <v>362</v>
      </c>
      <c r="H283" s="5" t="s">
        <v>362</v>
      </c>
      <c r="I283" s="5" t="s">
        <v>362</v>
      </c>
      <c r="J283" s="5" t="s">
        <v>362</v>
      </c>
      <c r="K283" s="5" t="s">
        <v>362</v>
      </c>
      <c r="L283" s="5" t="s">
        <v>362</v>
      </c>
      <c r="M283" s="5" t="s">
        <v>362</v>
      </c>
      <c r="N283" s="35">
        <v>946.1</v>
      </c>
      <c r="O283" s="35">
        <v>586.1</v>
      </c>
      <c r="P283" s="4">
        <f t="shared" si="73"/>
        <v>0.61949054011203886</v>
      </c>
      <c r="Q283" s="11">
        <v>20</v>
      </c>
      <c r="R283" s="35">
        <v>0</v>
      </c>
      <c r="S283" s="35">
        <v>0</v>
      </c>
      <c r="T283" s="4">
        <f t="shared" si="74"/>
        <v>1</v>
      </c>
      <c r="U283" s="11">
        <v>25</v>
      </c>
      <c r="V283" s="35">
        <v>0</v>
      </c>
      <c r="W283" s="35">
        <v>0</v>
      </c>
      <c r="X283" s="4">
        <f t="shared" si="75"/>
        <v>1</v>
      </c>
      <c r="Y283" s="11">
        <v>25</v>
      </c>
      <c r="Z283" s="35">
        <v>177583</v>
      </c>
      <c r="AA283" s="35">
        <v>163904</v>
      </c>
      <c r="AB283" s="4">
        <f t="shared" si="76"/>
        <v>0.92297123035425688</v>
      </c>
      <c r="AC283" s="11">
        <v>10</v>
      </c>
      <c r="AD283" s="11">
        <v>111</v>
      </c>
      <c r="AE283" s="11">
        <v>115</v>
      </c>
      <c r="AF283" s="4">
        <f t="shared" si="77"/>
        <v>1.0360360360360361</v>
      </c>
      <c r="AG283" s="11">
        <v>20</v>
      </c>
      <c r="AH283" s="5" t="s">
        <v>362</v>
      </c>
      <c r="AI283" s="5" t="s">
        <v>362</v>
      </c>
      <c r="AJ283" s="5" t="s">
        <v>362</v>
      </c>
      <c r="AK283" s="5" t="s">
        <v>362</v>
      </c>
      <c r="AL283" s="5" t="s">
        <v>362</v>
      </c>
      <c r="AM283" s="5" t="s">
        <v>362</v>
      </c>
      <c r="AN283" s="5" t="s">
        <v>362</v>
      </c>
      <c r="AO283" s="5" t="s">
        <v>362</v>
      </c>
      <c r="AP283" s="44">
        <f t="shared" si="86"/>
        <v>0.92340243826504065</v>
      </c>
      <c r="AQ283" s="45">
        <v>477</v>
      </c>
      <c r="AR283" s="35">
        <f t="shared" si="78"/>
        <v>130.09090909090909</v>
      </c>
      <c r="AS283" s="35">
        <f t="shared" si="79"/>
        <v>120.1</v>
      </c>
      <c r="AT283" s="35">
        <f t="shared" si="80"/>
        <v>-9.9909090909090992</v>
      </c>
      <c r="AU283" s="35">
        <v>47.1</v>
      </c>
      <c r="AV283" s="35">
        <v>31.9</v>
      </c>
      <c r="AW283" s="35">
        <f t="shared" si="81"/>
        <v>41.1</v>
      </c>
      <c r="AX283" s="35"/>
      <c r="AY283" s="35">
        <f t="shared" si="82"/>
        <v>41.1</v>
      </c>
      <c r="AZ283" s="35">
        <v>0</v>
      </c>
      <c r="BA283" s="35">
        <f t="shared" si="83"/>
        <v>41.1</v>
      </c>
      <c r="BB283" s="35"/>
      <c r="BC283" s="35">
        <f t="shared" si="84"/>
        <v>41.1</v>
      </c>
      <c r="BD283" s="35">
        <v>41.1</v>
      </c>
      <c r="BE283" s="35">
        <f t="shared" si="85"/>
        <v>0</v>
      </c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9"/>
      <c r="BU283" s="9"/>
      <c r="BV283" s="9"/>
      <c r="BW283" s="9"/>
      <c r="BX283" s="9"/>
      <c r="BY283" s="9"/>
      <c r="BZ283" s="9"/>
      <c r="CA283" s="9"/>
      <c r="CB283" s="9"/>
      <c r="CC283" s="9"/>
      <c r="CD283" s="9"/>
      <c r="CE283" s="9"/>
      <c r="CF283" s="9"/>
      <c r="CG283" s="9"/>
      <c r="CH283" s="9"/>
      <c r="CI283" s="9"/>
      <c r="CJ283" s="9"/>
      <c r="CK283" s="9"/>
      <c r="CL283" s="9"/>
      <c r="CM283" s="9"/>
      <c r="CN283" s="9"/>
      <c r="CO283" s="9"/>
      <c r="CP283" s="9"/>
      <c r="CQ283" s="10"/>
      <c r="CR283" s="9"/>
      <c r="CS283" s="9"/>
      <c r="CT283" s="9"/>
      <c r="CU283" s="9"/>
      <c r="CV283" s="9"/>
      <c r="CW283" s="9"/>
      <c r="CX283" s="9"/>
      <c r="CY283" s="9"/>
      <c r="CZ283" s="9"/>
      <c r="DA283" s="9"/>
      <c r="DB283" s="9"/>
      <c r="DC283" s="9"/>
      <c r="DD283" s="9"/>
      <c r="DE283" s="9"/>
      <c r="DF283" s="9"/>
      <c r="DG283" s="9"/>
      <c r="DH283" s="9"/>
      <c r="DI283" s="9"/>
      <c r="DJ283" s="9"/>
      <c r="DK283" s="9"/>
      <c r="DL283" s="9"/>
      <c r="DM283" s="9"/>
      <c r="DN283" s="9"/>
      <c r="DO283" s="9"/>
      <c r="DP283" s="9"/>
      <c r="DQ283" s="9"/>
      <c r="DR283" s="9"/>
      <c r="DS283" s="10"/>
      <c r="DT283" s="9"/>
      <c r="DU283" s="9"/>
      <c r="DV283" s="9"/>
      <c r="DW283" s="9"/>
      <c r="DX283" s="9"/>
      <c r="DY283" s="9"/>
      <c r="DZ283" s="9"/>
      <c r="EA283" s="9"/>
      <c r="EB283" s="9"/>
      <c r="EC283" s="9"/>
      <c r="ED283" s="9"/>
      <c r="EE283" s="9"/>
      <c r="EF283" s="9"/>
      <c r="EG283" s="9"/>
      <c r="EH283" s="9"/>
      <c r="EI283" s="9"/>
      <c r="EJ283" s="9"/>
      <c r="EK283" s="9"/>
      <c r="EL283" s="9"/>
      <c r="EM283" s="9"/>
      <c r="EN283" s="9"/>
      <c r="EO283" s="9"/>
      <c r="EP283" s="9"/>
      <c r="EQ283" s="9"/>
      <c r="ER283" s="9"/>
      <c r="ES283" s="9"/>
      <c r="ET283" s="9"/>
      <c r="EU283" s="10"/>
      <c r="EV283" s="9"/>
      <c r="EW283" s="9"/>
      <c r="EX283" s="9"/>
      <c r="EY283" s="9"/>
      <c r="EZ283" s="9"/>
      <c r="FA283" s="9"/>
      <c r="FB283" s="9"/>
      <c r="FC283" s="9"/>
      <c r="FD283" s="9"/>
      <c r="FE283" s="9"/>
      <c r="FF283" s="9"/>
      <c r="FG283" s="9"/>
      <c r="FH283" s="9"/>
      <c r="FI283" s="9"/>
      <c r="FJ283" s="9"/>
      <c r="FK283" s="9"/>
      <c r="FL283" s="9"/>
      <c r="FM283" s="9"/>
      <c r="FN283" s="9"/>
      <c r="FO283" s="9"/>
      <c r="FP283" s="9"/>
      <c r="FQ283" s="9"/>
      <c r="FR283" s="9"/>
      <c r="FS283" s="9"/>
      <c r="FT283" s="9"/>
      <c r="FU283" s="9"/>
      <c r="FV283" s="9"/>
      <c r="FW283" s="10"/>
      <c r="FX283" s="9"/>
      <c r="FY283" s="9"/>
      <c r="FZ283" s="9"/>
      <c r="GA283" s="9"/>
      <c r="GB283" s="9"/>
      <c r="GC283" s="9"/>
      <c r="GD283" s="9"/>
      <c r="GE283" s="9"/>
      <c r="GF283" s="9"/>
      <c r="GG283" s="9"/>
      <c r="GH283" s="9"/>
      <c r="GI283" s="9"/>
      <c r="GJ283" s="9"/>
      <c r="GK283" s="9"/>
      <c r="GL283" s="9"/>
      <c r="GM283" s="9"/>
      <c r="GN283" s="9"/>
      <c r="GO283" s="9"/>
      <c r="GP283" s="9"/>
      <c r="GQ283" s="9"/>
      <c r="GR283" s="9"/>
      <c r="GS283" s="9"/>
      <c r="GT283" s="9"/>
      <c r="GU283" s="9"/>
      <c r="GV283" s="9"/>
      <c r="GW283" s="9"/>
      <c r="GX283" s="9"/>
      <c r="GY283" s="10"/>
      <c r="GZ283" s="9"/>
      <c r="HA283" s="9"/>
    </row>
    <row r="284" spans="1:209" s="2" customFormat="1" ht="17" customHeight="1">
      <c r="A284" s="46" t="s">
        <v>53</v>
      </c>
      <c r="B284" s="35">
        <v>3479238</v>
      </c>
      <c r="C284" s="35">
        <v>2192537.4</v>
      </c>
      <c r="D284" s="4">
        <f t="shared" si="72"/>
        <v>0.63017746989426993</v>
      </c>
      <c r="E284" s="11">
        <v>10</v>
      </c>
      <c r="F284" s="5" t="s">
        <v>362</v>
      </c>
      <c r="G284" s="5" t="s">
        <v>362</v>
      </c>
      <c r="H284" s="5" t="s">
        <v>362</v>
      </c>
      <c r="I284" s="5" t="s">
        <v>362</v>
      </c>
      <c r="J284" s="5" t="s">
        <v>362</v>
      </c>
      <c r="K284" s="5" t="s">
        <v>362</v>
      </c>
      <c r="L284" s="5" t="s">
        <v>362</v>
      </c>
      <c r="M284" s="5" t="s">
        <v>362</v>
      </c>
      <c r="N284" s="35">
        <v>9035.2999999999993</v>
      </c>
      <c r="O284" s="35">
        <v>7011.1</v>
      </c>
      <c r="P284" s="4">
        <f t="shared" si="73"/>
        <v>0.77596759377109792</v>
      </c>
      <c r="Q284" s="11">
        <v>20</v>
      </c>
      <c r="R284" s="35">
        <v>880</v>
      </c>
      <c r="S284" s="35">
        <v>802.9</v>
      </c>
      <c r="T284" s="4">
        <f t="shared" si="74"/>
        <v>0.91238636363636361</v>
      </c>
      <c r="U284" s="11">
        <v>35</v>
      </c>
      <c r="V284" s="35">
        <v>0</v>
      </c>
      <c r="W284" s="35">
        <v>0</v>
      </c>
      <c r="X284" s="4">
        <f t="shared" si="75"/>
        <v>1</v>
      </c>
      <c r="Y284" s="11">
        <v>15</v>
      </c>
      <c r="Z284" s="35">
        <v>447819</v>
      </c>
      <c r="AA284" s="35">
        <v>428875</v>
      </c>
      <c r="AB284" s="4">
        <f t="shared" si="76"/>
        <v>0.95769719462550718</v>
      </c>
      <c r="AC284" s="11">
        <v>10</v>
      </c>
      <c r="AD284" s="11">
        <v>753</v>
      </c>
      <c r="AE284" s="11">
        <v>789</v>
      </c>
      <c r="AF284" s="4">
        <f t="shared" si="77"/>
        <v>1.047808764940239</v>
      </c>
      <c r="AG284" s="11">
        <v>20</v>
      </c>
      <c r="AH284" s="5" t="s">
        <v>362</v>
      </c>
      <c r="AI284" s="5" t="s">
        <v>362</v>
      </c>
      <c r="AJ284" s="5" t="s">
        <v>362</v>
      </c>
      <c r="AK284" s="5" t="s">
        <v>362</v>
      </c>
      <c r="AL284" s="5" t="s">
        <v>362</v>
      </c>
      <c r="AM284" s="5" t="s">
        <v>362</v>
      </c>
      <c r="AN284" s="5" t="s">
        <v>362</v>
      </c>
      <c r="AO284" s="5" t="s">
        <v>362</v>
      </c>
      <c r="AP284" s="44">
        <f t="shared" si="86"/>
        <v>0.9026163322427021</v>
      </c>
      <c r="AQ284" s="45">
        <v>62</v>
      </c>
      <c r="AR284" s="35">
        <f t="shared" si="78"/>
        <v>16.90909090909091</v>
      </c>
      <c r="AS284" s="35">
        <f t="shared" si="79"/>
        <v>15.3</v>
      </c>
      <c r="AT284" s="35">
        <f t="shared" si="80"/>
        <v>-1.6090909090909093</v>
      </c>
      <c r="AU284" s="35">
        <v>5.0999999999999996</v>
      </c>
      <c r="AV284" s="35">
        <v>4.5</v>
      </c>
      <c r="AW284" s="35">
        <f t="shared" si="81"/>
        <v>5.7</v>
      </c>
      <c r="AX284" s="35"/>
      <c r="AY284" s="35">
        <f t="shared" si="82"/>
        <v>5.7</v>
      </c>
      <c r="AZ284" s="35">
        <v>0</v>
      </c>
      <c r="BA284" s="35">
        <f t="shared" si="83"/>
        <v>5.7</v>
      </c>
      <c r="BB284" s="35"/>
      <c r="BC284" s="35">
        <f t="shared" si="84"/>
        <v>5.7</v>
      </c>
      <c r="BD284" s="35">
        <v>5.6</v>
      </c>
      <c r="BE284" s="35">
        <f t="shared" si="85"/>
        <v>0.1</v>
      </c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9"/>
      <c r="BU284" s="9"/>
      <c r="BV284" s="9"/>
      <c r="BW284" s="9"/>
      <c r="BX284" s="9"/>
      <c r="BY284" s="9"/>
      <c r="BZ284" s="9"/>
      <c r="CA284" s="9"/>
      <c r="CB284" s="9"/>
      <c r="CC284" s="9"/>
      <c r="CD284" s="9"/>
      <c r="CE284" s="9"/>
      <c r="CF284" s="9"/>
      <c r="CG284" s="9"/>
      <c r="CH284" s="9"/>
      <c r="CI284" s="9"/>
      <c r="CJ284" s="9"/>
      <c r="CK284" s="9"/>
      <c r="CL284" s="9"/>
      <c r="CM284" s="9"/>
      <c r="CN284" s="9"/>
      <c r="CO284" s="9"/>
      <c r="CP284" s="9"/>
      <c r="CQ284" s="10"/>
      <c r="CR284" s="9"/>
      <c r="CS284" s="9"/>
      <c r="CT284" s="9"/>
      <c r="CU284" s="9"/>
      <c r="CV284" s="9"/>
      <c r="CW284" s="9"/>
      <c r="CX284" s="9"/>
      <c r="CY284" s="9"/>
      <c r="CZ284" s="9"/>
      <c r="DA284" s="9"/>
      <c r="DB284" s="9"/>
      <c r="DC284" s="9"/>
      <c r="DD284" s="9"/>
      <c r="DE284" s="9"/>
      <c r="DF284" s="9"/>
      <c r="DG284" s="9"/>
      <c r="DH284" s="9"/>
      <c r="DI284" s="9"/>
      <c r="DJ284" s="9"/>
      <c r="DK284" s="9"/>
      <c r="DL284" s="9"/>
      <c r="DM284" s="9"/>
      <c r="DN284" s="9"/>
      <c r="DO284" s="9"/>
      <c r="DP284" s="9"/>
      <c r="DQ284" s="9"/>
      <c r="DR284" s="9"/>
      <c r="DS284" s="10"/>
      <c r="DT284" s="9"/>
      <c r="DU284" s="9"/>
      <c r="DV284" s="9"/>
      <c r="DW284" s="9"/>
      <c r="DX284" s="9"/>
      <c r="DY284" s="9"/>
      <c r="DZ284" s="9"/>
      <c r="EA284" s="9"/>
      <c r="EB284" s="9"/>
      <c r="EC284" s="9"/>
      <c r="ED284" s="9"/>
      <c r="EE284" s="9"/>
      <c r="EF284" s="9"/>
      <c r="EG284" s="9"/>
      <c r="EH284" s="9"/>
      <c r="EI284" s="9"/>
      <c r="EJ284" s="9"/>
      <c r="EK284" s="9"/>
      <c r="EL284" s="9"/>
      <c r="EM284" s="9"/>
      <c r="EN284" s="9"/>
      <c r="EO284" s="9"/>
      <c r="EP284" s="9"/>
      <c r="EQ284" s="9"/>
      <c r="ER284" s="9"/>
      <c r="ES284" s="9"/>
      <c r="ET284" s="9"/>
      <c r="EU284" s="10"/>
      <c r="EV284" s="9"/>
      <c r="EW284" s="9"/>
      <c r="EX284" s="9"/>
      <c r="EY284" s="9"/>
      <c r="EZ284" s="9"/>
      <c r="FA284" s="9"/>
      <c r="FB284" s="9"/>
      <c r="FC284" s="9"/>
      <c r="FD284" s="9"/>
      <c r="FE284" s="9"/>
      <c r="FF284" s="9"/>
      <c r="FG284" s="9"/>
      <c r="FH284" s="9"/>
      <c r="FI284" s="9"/>
      <c r="FJ284" s="9"/>
      <c r="FK284" s="9"/>
      <c r="FL284" s="9"/>
      <c r="FM284" s="9"/>
      <c r="FN284" s="9"/>
      <c r="FO284" s="9"/>
      <c r="FP284" s="9"/>
      <c r="FQ284" s="9"/>
      <c r="FR284" s="9"/>
      <c r="FS284" s="9"/>
      <c r="FT284" s="9"/>
      <c r="FU284" s="9"/>
      <c r="FV284" s="9"/>
      <c r="FW284" s="10"/>
      <c r="FX284" s="9"/>
      <c r="FY284" s="9"/>
      <c r="FZ284" s="9"/>
      <c r="GA284" s="9"/>
      <c r="GB284" s="9"/>
      <c r="GC284" s="9"/>
      <c r="GD284" s="9"/>
      <c r="GE284" s="9"/>
      <c r="GF284" s="9"/>
      <c r="GG284" s="9"/>
      <c r="GH284" s="9"/>
      <c r="GI284" s="9"/>
      <c r="GJ284" s="9"/>
      <c r="GK284" s="9"/>
      <c r="GL284" s="9"/>
      <c r="GM284" s="9"/>
      <c r="GN284" s="9"/>
      <c r="GO284" s="9"/>
      <c r="GP284" s="9"/>
      <c r="GQ284" s="9"/>
      <c r="GR284" s="9"/>
      <c r="GS284" s="9"/>
      <c r="GT284" s="9"/>
      <c r="GU284" s="9"/>
      <c r="GV284" s="9"/>
      <c r="GW284" s="9"/>
      <c r="GX284" s="9"/>
      <c r="GY284" s="10"/>
      <c r="GZ284" s="9"/>
      <c r="HA284" s="9"/>
    </row>
    <row r="285" spans="1:209" s="2" customFormat="1" ht="17" customHeight="1">
      <c r="A285" s="46" t="s">
        <v>278</v>
      </c>
      <c r="B285" s="35">
        <v>824</v>
      </c>
      <c r="C285" s="35">
        <v>842.3</v>
      </c>
      <c r="D285" s="4">
        <f t="shared" si="72"/>
        <v>1.0222087378640776</v>
      </c>
      <c r="E285" s="11">
        <v>10</v>
      </c>
      <c r="F285" s="5" t="s">
        <v>362</v>
      </c>
      <c r="G285" s="5" t="s">
        <v>362</v>
      </c>
      <c r="H285" s="5" t="s">
        <v>362</v>
      </c>
      <c r="I285" s="5" t="s">
        <v>362</v>
      </c>
      <c r="J285" s="5" t="s">
        <v>362</v>
      </c>
      <c r="K285" s="5" t="s">
        <v>362</v>
      </c>
      <c r="L285" s="5" t="s">
        <v>362</v>
      </c>
      <c r="M285" s="5" t="s">
        <v>362</v>
      </c>
      <c r="N285" s="35">
        <v>501.4</v>
      </c>
      <c r="O285" s="35">
        <v>338.2</v>
      </c>
      <c r="P285" s="4">
        <f t="shared" si="73"/>
        <v>0.67451136816912649</v>
      </c>
      <c r="Q285" s="11">
        <v>20</v>
      </c>
      <c r="R285" s="35">
        <v>8</v>
      </c>
      <c r="S285" s="35">
        <v>0</v>
      </c>
      <c r="T285" s="4">
        <f t="shared" si="74"/>
        <v>0</v>
      </c>
      <c r="U285" s="11">
        <v>35</v>
      </c>
      <c r="V285" s="35">
        <v>0</v>
      </c>
      <c r="W285" s="35">
        <v>0</v>
      </c>
      <c r="X285" s="4">
        <f t="shared" si="75"/>
        <v>1</v>
      </c>
      <c r="Y285" s="11">
        <v>15</v>
      </c>
      <c r="Z285" s="35">
        <v>1390</v>
      </c>
      <c r="AA285" s="35">
        <v>1608</v>
      </c>
      <c r="AB285" s="4">
        <f t="shared" si="76"/>
        <v>1.1568345323741007</v>
      </c>
      <c r="AC285" s="11">
        <v>10</v>
      </c>
      <c r="AD285" s="11">
        <v>426</v>
      </c>
      <c r="AE285" s="11">
        <v>190</v>
      </c>
      <c r="AF285" s="4">
        <f t="shared" si="77"/>
        <v>0.4460093896713615</v>
      </c>
      <c r="AG285" s="11">
        <v>20</v>
      </c>
      <c r="AH285" s="5" t="s">
        <v>362</v>
      </c>
      <c r="AI285" s="5" t="s">
        <v>362</v>
      </c>
      <c r="AJ285" s="5" t="s">
        <v>362</v>
      </c>
      <c r="AK285" s="5" t="s">
        <v>362</v>
      </c>
      <c r="AL285" s="5" t="s">
        <v>362</v>
      </c>
      <c r="AM285" s="5" t="s">
        <v>362</v>
      </c>
      <c r="AN285" s="5" t="s">
        <v>362</v>
      </c>
      <c r="AO285" s="5" t="s">
        <v>362</v>
      </c>
      <c r="AP285" s="44">
        <f t="shared" si="86"/>
        <v>0.53818952599265046</v>
      </c>
      <c r="AQ285" s="45">
        <v>581</v>
      </c>
      <c r="AR285" s="35">
        <f t="shared" si="78"/>
        <v>158.45454545454547</v>
      </c>
      <c r="AS285" s="35">
        <f t="shared" si="79"/>
        <v>85.3</v>
      </c>
      <c r="AT285" s="35">
        <f t="shared" si="80"/>
        <v>-73.15454545454547</v>
      </c>
      <c r="AU285" s="35">
        <v>24</v>
      </c>
      <c r="AV285" s="35">
        <v>27.7</v>
      </c>
      <c r="AW285" s="35">
        <f t="shared" si="81"/>
        <v>33.6</v>
      </c>
      <c r="AX285" s="35"/>
      <c r="AY285" s="35">
        <f t="shared" si="82"/>
        <v>33.6</v>
      </c>
      <c r="AZ285" s="35">
        <v>0</v>
      </c>
      <c r="BA285" s="35">
        <f t="shared" si="83"/>
        <v>33.6</v>
      </c>
      <c r="BB285" s="35"/>
      <c r="BC285" s="35">
        <f t="shared" si="84"/>
        <v>33.6</v>
      </c>
      <c r="BD285" s="35">
        <v>23.8</v>
      </c>
      <c r="BE285" s="35">
        <f t="shared" si="85"/>
        <v>9.8000000000000007</v>
      </c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9"/>
      <c r="BU285" s="9"/>
      <c r="BV285" s="9"/>
      <c r="BW285" s="9"/>
      <c r="BX285" s="9"/>
      <c r="BY285" s="9"/>
      <c r="BZ285" s="9"/>
      <c r="CA285" s="9"/>
      <c r="CB285" s="9"/>
      <c r="CC285" s="9"/>
      <c r="CD285" s="9"/>
      <c r="CE285" s="9"/>
      <c r="CF285" s="9"/>
      <c r="CG285" s="9"/>
      <c r="CH285" s="9"/>
      <c r="CI285" s="9"/>
      <c r="CJ285" s="9"/>
      <c r="CK285" s="9"/>
      <c r="CL285" s="9"/>
      <c r="CM285" s="9"/>
      <c r="CN285" s="9"/>
      <c r="CO285" s="9"/>
      <c r="CP285" s="9"/>
      <c r="CQ285" s="10"/>
      <c r="CR285" s="9"/>
      <c r="CS285" s="9"/>
      <c r="CT285" s="9"/>
      <c r="CU285" s="9"/>
      <c r="CV285" s="9"/>
      <c r="CW285" s="9"/>
      <c r="CX285" s="9"/>
      <c r="CY285" s="9"/>
      <c r="CZ285" s="9"/>
      <c r="DA285" s="9"/>
      <c r="DB285" s="9"/>
      <c r="DC285" s="9"/>
      <c r="DD285" s="9"/>
      <c r="DE285" s="9"/>
      <c r="DF285" s="9"/>
      <c r="DG285" s="9"/>
      <c r="DH285" s="9"/>
      <c r="DI285" s="9"/>
      <c r="DJ285" s="9"/>
      <c r="DK285" s="9"/>
      <c r="DL285" s="9"/>
      <c r="DM285" s="9"/>
      <c r="DN285" s="9"/>
      <c r="DO285" s="9"/>
      <c r="DP285" s="9"/>
      <c r="DQ285" s="9"/>
      <c r="DR285" s="9"/>
      <c r="DS285" s="10"/>
      <c r="DT285" s="9"/>
      <c r="DU285" s="9"/>
      <c r="DV285" s="9"/>
      <c r="DW285" s="9"/>
      <c r="DX285" s="9"/>
      <c r="DY285" s="9"/>
      <c r="DZ285" s="9"/>
      <c r="EA285" s="9"/>
      <c r="EB285" s="9"/>
      <c r="EC285" s="9"/>
      <c r="ED285" s="9"/>
      <c r="EE285" s="9"/>
      <c r="EF285" s="9"/>
      <c r="EG285" s="9"/>
      <c r="EH285" s="9"/>
      <c r="EI285" s="9"/>
      <c r="EJ285" s="9"/>
      <c r="EK285" s="9"/>
      <c r="EL285" s="9"/>
      <c r="EM285" s="9"/>
      <c r="EN285" s="9"/>
      <c r="EO285" s="9"/>
      <c r="EP285" s="9"/>
      <c r="EQ285" s="9"/>
      <c r="ER285" s="9"/>
      <c r="ES285" s="9"/>
      <c r="ET285" s="9"/>
      <c r="EU285" s="10"/>
      <c r="EV285" s="9"/>
      <c r="EW285" s="9"/>
      <c r="EX285" s="9"/>
      <c r="EY285" s="9"/>
      <c r="EZ285" s="9"/>
      <c r="FA285" s="9"/>
      <c r="FB285" s="9"/>
      <c r="FC285" s="9"/>
      <c r="FD285" s="9"/>
      <c r="FE285" s="9"/>
      <c r="FF285" s="9"/>
      <c r="FG285" s="9"/>
      <c r="FH285" s="9"/>
      <c r="FI285" s="9"/>
      <c r="FJ285" s="9"/>
      <c r="FK285" s="9"/>
      <c r="FL285" s="9"/>
      <c r="FM285" s="9"/>
      <c r="FN285" s="9"/>
      <c r="FO285" s="9"/>
      <c r="FP285" s="9"/>
      <c r="FQ285" s="9"/>
      <c r="FR285" s="9"/>
      <c r="FS285" s="9"/>
      <c r="FT285" s="9"/>
      <c r="FU285" s="9"/>
      <c r="FV285" s="9"/>
      <c r="FW285" s="10"/>
      <c r="FX285" s="9"/>
      <c r="FY285" s="9"/>
      <c r="FZ285" s="9"/>
      <c r="GA285" s="9"/>
      <c r="GB285" s="9"/>
      <c r="GC285" s="9"/>
      <c r="GD285" s="9"/>
      <c r="GE285" s="9"/>
      <c r="GF285" s="9"/>
      <c r="GG285" s="9"/>
      <c r="GH285" s="9"/>
      <c r="GI285" s="9"/>
      <c r="GJ285" s="9"/>
      <c r="GK285" s="9"/>
      <c r="GL285" s="9"/>
      <c r="GM285" s="9"/>
      <c r="GN285" s="9"/>
      <c r="GO285" s="9"/>
      <c r="GP285" s="9"/>
      <c r="GQ285" s="9"/>
      <c r="GR285" s="9"/>
      <c r="GS285" s="9"/>
      <c r="GT285" s="9"/>
      <c r="GU285" s="9"/>
      <c r="GV285" s="9"/>
      <c r="GW285" s="9"/>
      <c r="GX285" s="9"/>
      <c r="GY285" s="10"/>
      <c r="GZ285" s="9"/>
      <c r="HA285" s="9"/>
    </row>
    <row r="286" spans="1:209" s="2" customFormat="1" ht="17" customHeight="1">
      <c r="A286" s="46" t="s">
        <v>279</v>
      </c>
      <c r="B286" s="35">
        <v>0</v>
      </c>
      <c r="C286" s="35">
        <v>840</v>
      </c>
      <c r="D286" s="4">
        <f t="shared" si="72"/>
        <v>0</v>
      </c>
      <c r="E286" s="11">
        <v>0</v>
      </c>
      <c r="F286" s="5" t="s">
        <v>362</v>
      </c>
      <c r="G286" s="5" t="s">
        <v>362</v>
      </c>
      <c r="H286" s="5" t="s">
        <v>362</v>
      </c>
      <c r="I286" s="5" t="s">
        <v>362</v>
      </c>
      <c r="J286" s="5" t="s">
        <v>362</v>
      </c>
      <c r="K286" s="5" t="s">
        <v>362</v>
      </c>
      <c r="L286" s="5" t="s">
        <v>362</v>
      </c>
      <c r="M286" s="5" t="s">
        <v>362</v>
      </c>
      <c r="N286" s="35">
        <v>1200</v>
      </c>
      <c r="O286" s="35">
        <v>450.9</v>
      </c>
      <c r="P286" s="4">
        <f t="shared" si="73"/>
        <v>0.37574999999999997</v>
      </c>
      <c r="Q286" s="11">
        <v>20</v>
      </c>
      <c r="R286" s="35">
        <v>390</v>
      </c>
      <c r="S286" s="35">
        <v>242.9</v>
      </c>
      <c r="T286" s="4">
        <f t="shared" si="74"/>
        <v>0.62282051282051287</v>
      </c>
      <c r="U286" s="11">
        <v>30</v>
      </c>
      <c r="V286" s="35">
        <v>0</v>
      </c>
      <c r="W286" s="35">
        <v>0</v>
      </c>
      <c r="X286" s="4">
        <f t="shared" si="75"/>
        <v>1</v>
      </c>
      <c r="Y286" s="11">
        <v>20</v>
      </c>
      <c r="Z286" s="35">
        <v>3088</v>
      </c>
      <c r="AA286" s="35">
        <v>6342</v>
      </c>
      <c r="AB286" s="4">
        <f t="shared" si="76"/>
        <v>1.2853756476683937</v>
      </c>
      <c r="AC286" s="11">
        <v>10</v>
      </c>
      <c r="AD286" s="11">
        <v>185</v>
      </c>
      <c r="AE286" s="11">
        <v>431</v>
      </c>
      <c r="AF286" s="4">
        <f t="shared" si="77"/>
        <v>1.3</v>
      </c>
      <c r="AG286" s="11">
        <v>20</v>
      </c>
      <c r="AH286" s="5" t="s">
        <v>362</v>
      </c>
      <c r="AI286" s="5" t="s">
        <v>362</v>
      </c>
      <c r="AJ286" s="5" t="s">
        <v>362</v>
      </c>
      <c r="AK286" s="5" t="s">
        <v>362</v>
      </c>
      <c r="AL286" s="5" t="s">
        <v>362</v>
      </c>
      <c r="AM286" s="5" t="s">
        <v>362</v>
      </c>
      <c r="AN286" s="5" t="s">
        <v>362</v>
      </c>
      <c r="AO286" s="5" t="s">
        <v>362</v>
      </c>
      <c r="AP286" s="44">
        <f t="shared" si="86"/>
        <v>0.85053371861299321</v>
      </c>
      <c r="AQ286" s="45">
        <v>926</v>
      </c>
      <c r="AR286" s="35">
        <f t="shared" si="78"/>
        <v>252.54545454545456</v>
      </c>
      <c r="AS286" s="35">
        <f t="shared" si="79"/>
        <v>214.8</v>
      </c>
      <c r="AT286" s="35">
        <f t="shared" si="80"/>
        <v>-37.74545454545455</v>
      </c>
      <c r="AU286" s="35">
        <v>64.099999999999994</v>
      </c>
      <c r="AV286" s="35">
        <v>57.6</v>
      </c>
      <c r="AW286" s="35">
        <f t="shared" si="81"/>
        <v>93.1</v>
      </c>
      <c r="AX286" s="35"/>
      <c r="AY286" s="35">
        <f t="shared" si="82"/>
        <v>93.1</v>
      </c>
      <c r="AZ286" s="35">
        <v>0</v>
      </c>
      <c r="BA286" s="35">
        <f t="shared" si="83"/>
        <v>93.1</v>
      </c>
      <c r="BB286" s="35">
        <f>MIN(BA286,42.1)</f>
        <v>42.1</v>
      </c>
      <c r="BC286" s="35">
        <f t="shared" si="84"/>
        <v>51</v>
      </c>
      <c r="BD286" s="35">
        <v>38.799999999999997</v>
      </c>
      <c r="BE286" s="35">
        <f t="shared" si="85"/>
        <v>12.2</v>
      </c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9"/>
      <c r="BU286" s="9"/>
      <c r="BV286" s="9"/>
      <c r="BW286" s="9"/>
      <c r="BX286" s="9"/>
      <c r="BY286" s="9"/>
      <c r="BZ286" s="9"/>
      <c r="CA286" s="9"/>
      <c r="CB286" s="9"/>
      <c r="CC286" s="9"/>
      <c r="CD286" s="9"/>
      <c r="CE286" s="9"/>
      <c r="CF286" s="9"/>
      <c r="CG286" s="9"/>
      <c r="CH286" s="9"/>
      <c r="CI286" s="9"/>
      <c r="CJ286" s="9"/>
      <c r="CK286" s="9"/>
      <c r="CL286" s="9"/>
      <c r="CM286" s="9"/>
      <c r="CN286" s="9"/>
      <c r="CO286" s="9"/>
      <c r="CP286" s="9"/>
      <c r="CQ286" s="10"/>
      <c r="CR286" s="9"/>
      <c r="CS286" s="9"/>
      <c r="CT286" s="9"/>
      <c r="CU286" s="9"/>
      <c r="CV286" s="9"/>
      <c r="CW286" s="9"/>
      <c r="CX286" s="9"/>
      <c r="CY286" s="9"/>
      <c r="CZ286" s="9"/>
      <c r="DA286" s="9"/>
      <c r="DB286" s="9"/>
      <c r="DC286" s="9"/>
      <c r="DD286" s="9"/>
      <c r="DE286" s="9"/>
      <c r="DF286" s="9"/>
      <c r="DG286" s="9"/>
      <c r="DH286" s="9"/>
      <c r="DI286" s="9"/>
      <c r="DJ286" s="9"/>
      <c r="DK286" s="9"/>
      <c r="DL286" s="9"/>
      <c r="DM286" s="9"/>
      <c r="DN286" s="9"/>
      <c r="DO286" s="9"/>
      <c r="DP286" s="9"/>
      <c r="DQ286" s="9"/>
      <c r="DR286" s="9"/>
      <c r="DS286" s="10"/>
      <c r="DT286" s="9"/>
      <c r="DU286" s="9"/>
      <c r="DV286" s="9"/>
      <c r="DW286" s="9"/>
      <c r="DX286" s="9"/>
      <c r="DY286" s="9"/>
      <c r="DZ286" s="9"/>
      <c r="EA286" s="9"/>
      <c r="EB286" s="9"/>
      <c r="EC286" s="9"/>
      <c r="ED286" s="9"/>
      <c r="EE286" s="9"/>
      <c r="EF286" s="9"/>
      <c r="EG286" s="9"/>
      <c r="EH286" s="9"/>
      <c r="EI286" s="9"/>
      <c r="EJ286" s="9"/>
      <c r="EK286" s="9"/>
      <c r="EL286" s="9"/>
      <c r="EM286" s="9"/>
      <c r="EN286" s="9"/>
      <c r="EO286" s="9"/>
      <c r="EP286" s="9"/>
      <c r="EQ286" s="9"/>
      <c r="ER286" s="9"/>
      <c r="ES286" s="9"/>
      <c r="ET286" s="9"/>
      <c r="EU286" s="10"/>
      <c r="EV286" s="9"/>
      <c r="EW286" s="9"/>
      <c r="EX286" s="9"/>
      <c r="EY286" s="9"/>
      <c r="EZ286" s="9"/>
      <c r="FA286" s="9"/>
      <c r="FB286" s="9"/>
      <c r="FC286" s="9"/>
      <c r="FD286" s="9"/>
      <c r="FE286" s="9"/>
      <c r="FF286" s="9"/>
      <c r="FG286" s="9"/>
      <c r="FH286" s="9"/>
      <c r="FI286" s="9"/>
      <c r="FJ286" s="9"/>
      <c r="FK286" s="9"/>
      <c r="FL286" s="9"/>
      <c r="FM286" s="9"/>
      <c r="FN286" s="9"/>
      <c r="FO286" s="9"/>
      <c r="FP286" s="9"/>
      <c r="FQ286" s="9"/>
      <c r="FR286" s="9"/>
      <c r="FS286" s="9"/>
      <c r="FT286" s="9"/>
      <c r="FU286" s="9"/>
      <c r="FV286" s="9"/>
      <c r="FW286" s="10"/>
      <c r="FX286" s="9"/>
      <c r="FY286" s="9"/>
      <c r="FZ286" s="9"/>
      <c r="GA286" s="9"/>
      <c r="GB286" s="9"/>
      <c r="GC286" s="9"/>
      <c r="GD286" s="9"/>
      <c r="GE286" s="9"/>
      <c r="GF286" s="9"/>
      <c r="GG286" s="9"/>
      <c r="GH286" s="9"/>
      <c r="GI286" s="9"/>
      <c r="GJ286" s="9"/>
      <c r="GK286" s="9"/>
      <c r="GL286" s="9"/>
      <c r="GM286" s="9"/>
      <c r="GN286" s="9"/>
      <c r="GO286" s="9"/>
      <c r="GP286" s="9"/>
      <c r="GQ286" s="9"/>
      <c r="GR286" s="9"/>
      <c r="GS286" s="9"/>
      <c r="GT286" s="9"/>
      <c r="GU286" s="9"/>
      <c r="GV286" s="9"/>
      <c r="GW286" s="9"/>
      <c r="GX286" s="9"/>
      <c r="GY286" s="10"/>
      <c r="GZ286" s="9"/>
      <c r="HA286" s="9"/>
    </row>
    <row r="287" spans="1:209" s="2" customFormat="1" ht="17" customHeight="1">
      <c r="A287" s="46" t="s">
        <v>280</v>
      </c>
      <c r="B287" s="35">
        <v>407</v>
      </c>
      <c r="C287" s="35">
        <v>180.1</v>
      </c>
      <c r="D287" s="4">
        <f t="shared" si="72"/>
        <v>0</v>
      </c>
      <c r="E287" s="11">
        <v>0</v>
      </c>
      <c r="F287" s="5" t="s">
        <v>362</v>
      </c>
      <c r="G287" s="5" t="s">
        <v>362</v>
      </c>
      <c r="H287" s="5" t="s">
        <v>362</v>
      </c>
      <c r="I287" s="5" t="s">
        <v>362</v>
      </c>
      <c r="J287" s="5" t="s">
        <v>362</v>
      </c>
      <c r="K287" s="5" t="s">
        <v>362</v>
      </c>
      <c r="L287" s="5" t="s">
        <v>362</v>
      </c>
      <c r="M287" s="5" t="s">
        <v>362</v>
      </c>
      <c r="N287" s="35">
        <v>3245.1</v>
      </c>
      <c r="O287" s="35">
        <v>2217.9</v>
      </c>
      <c r="P287" s="4">
        <f t="shared" si="73"/>
        <v>0.68346121845243601</v>
      </c>
      <c r="Q287" s="11">
        <v>20</v>
      </c>
      <c r="R287" s="35">
        <v>0</v>
      </c>
      <c r="S287" s="35">
        <v>0</v>
      </c>
      <c r="T287" s="4">
        <f t="shared" si="74"/>
        <v>1</v>
      </c>
      <c r="U287" s="11">
        <v>35</v>
      </c>
      <c r="V287" s="35">
        <v>0</v>
      </c>
      <c r="W287" s="35">
        <v>0</v>
      </c>
      <c r="X287" s="4">
        <f t="shared" si="75"/>
        <v>1</v>
      </c>
      <c r="Y287" s="11">
        <v>15</v>
      </c>
      <c r="Z287" s="35">
        <v>47870</v>
      </c>
      <c r="AA287" s="35">
        <v>49781</v>
      </c>
      <c r="AB287" s="4">
        <f t="shared" si="76"/>
        <v>1.0399206183413412</v>
      </c>
      <c r="AC287" s="11">
        <v>10</v>
      </c>
      <c r="AD287" s="11">
        <v>121</v>
      </c>
      <c r="AE287" s="11">
        <v>109</v>
      </c>
      <c r="AF287" s="4">
        <f t="shared" si="77"/>
        <v>0.90082644628099173</v>
      </c>
      <c r="AG287" s="11">
        <v>20</v>
      </c>
      <c r="AH287" s="5" t="s">
        <v>362</v>
      </c>
      <c r="AI287" s="5" t="s">
        <v>362</v>
      </c>
      <c r="AJ287" s="5" t="s">
        <v>362</v>
      </c>
      <c r="AK287" s="5" t="s">
        <v>362</v>
      </c>
      <c r="AL287" s="5" t="s">
        <v>362</v>
      </c>
      <c r="AM287" s="5" t="s">
        <v>362</v>
      </c>
      <c r="AN287" s="5" t="s">
        <v>362</v>
      </c>
      <c r="AO287" s="5" t="s">
        <v>362</v>
      </c>
      <c r="AP287" s="44">
        <f t="shared" si="86"/>
        <v>0.92084959478081974</v>
      </c>
      <c r="AQ287" s="45">
        <v>118</v>
      </c>
      <c r="AR287" s="35">
        <f t="shared" si="78"/>
        <v>32.18181818181818</v>
      </c>
      <c r="AS287" s="35">
        <f t="shared" si="79"/>
        <v>29.6</v>
      </c>
      <c r="AT287" s="35">
        <f t="shared" si="80"/>
        <v>-2.5818181818181785</v>
      </c>
      <c r="AU287" s="35">
        <v>10</v>
      </c>
      <c r="AV287" s="35">
        <v>9.8000000000000007</v>
      </c>
      <c r="AW287" s="35">
        <f t="shared" si="81"/>
        <v>9.8000000000000007</v>
      </c>
      <c r="AX287" s="35"/>
      <c r="AY287" s="35">
        <f t="shared" si="82"/>
        <v>9.8000000000000007</v>
      </c>
      <c r="AZ287" s="35">
        <v>0</v>
      </c>
      <c r="BA287" s="35">
        <f t="shared" si="83"/>
        <v>9.8000000000000007</v>
      </c>
      <c r="BB287" s="35"/>
      <c r="BC287" s="35">
        <f t="shared" si="84"/>
        <v>9.8000000000000007</v>
      </c>
      <c r="BD287" s="35">
        <v>9.4</v>
      </c>
      <c r="BE287" s="35">
        <f t="shared" si="85"/>
        <v>0.4</v>
      </c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9"/>
      <c r="BU287" s="9"/>
      <c r="BV287" s="9"/>
      <c r="BW287" s="9"/>
      <c r="BX287" s="9"/>
      <c r="BY287" s="9"/>
      <c r="BZ287" s="9"/>
      <c r="CA287" s="9"/>
      <c r="CB287" s="9"/>
      <c r="CC287" s="9"/>
      <c r="CD287" s="9"/>
      <c r="CE287" s="9"/>
      <c r="CF287" s="9"/>
      <c r="CG287" s="9"/>
      <c r="CH287" s="9"/>
      <c r="CI287" s="9"/>
      <c r="CJ287" s="9"/>
      <c r="CK287" s="9"/>
      <c r="CL287" s="9"/>
      <c r="CM287" s="9"/>
      <c r="CN287" s="9"/>
      <c r="CO287" s="9"/>
      <c r="CP287" s="9"/>
      <c r="CQ287" s="10"/>
      <c r="CR287" s="9"/>
      <c r="CS287" s="9"/>
      <c r="CT287" s="9"/>
      <c r="CU287" s="9"/>
      <c r="CV287" s="9"/>
      <c r="CW287" s="9"/>
      <c r="CX287" s="9"/>
      <c r="CY287" s="9"/>
      <c r="CZ287" s="9"/>
      <c r="DA287" s="9"/>
      <c r="DB287" s="9"/>
      <c r="DC287" s="9"/>
      <c r="DD287" s="9"/>
      <c r="DE287" s="9"/>
      <c r="DF287" s="9"/>
      <c r="DG287" s="9"/>
      <c r="DH287" s="9"/>
      <c r="DI287" s="9"/>
      <c r="DJ287" s="9"/>
      <c r="DK287" s="9"/>
      <c r="DL287" s="9"/>
      <c r="DM287" s="9"/>
      <c r="DN287" s="9"/>
      <c r="DO287" s="9"/>
      <c r="DP287" s="9"/>
      <c r="DQ287" s="9"/>
      <c r="DR287" s="9"/>
      <c r="DS287" s="10"/>
      <c r="DT287" s="9"/>
      <c r="DU287" s="9"/>
      <c r="DV287" s="9"/>
      <c r="DW287" s="9"/>
      <c r="DX287" s="9"/>
      <c r="DY287" s="9"/>
      <c r="DZ287" s="9"/>
      <c r="EA287" s="9"/>
      <c r="EB287" s="9"/>
      <c r="EC287" s="9"/>
      <c r="ED287" s="9"/>
      <c r="EE287" s="9"/>
      <c r="EF287" s="9"/>
      <c r="EG287" s="9"/>
      <c r="EH287" s="9"/>
      <c r="EI287" s="9"/>
      <c r="EJ287" s="9"/>
      <c r="EK287" s="9"/>
      <c r="EL287" s="9"/>
      <c r="EM287" s="9"/>
      <c r="EN287" s="9"/>
      <c r="EO287" s="9"/>
      <c r="EP287" s="9"/>
      <c r="EQ287" s="9"/>
      <c r="ER287" s="9"/>
      <c r="ES287" s="9"/>
      <c r="ET287" s="9"/>
      <c r="EU287" s="10"/>
      <c r="EV287" s="9"/>
      <c r="EW287" s="9"/>
      <c r="EX287" s="9"/>
      <c r="EY287" s="9"/>
      <c r="EZ287" s="9"/>
      <c r="FA287" s="9"/>
      <c r="FB287" s="9"/>
      <c r="FC287" s="9"/>
      <c r="FD287" s="9"/>
      <c r="FE287" s="9"/>
      <c r="FF287" s="9"/>
      <c r="FG287" s="9"/>
      <c r="FH287" s="9"/>
      <c r="FI287" s="9"/>
      <c r="FJ287" s="9"/>
      <c r="FK287" s="9"/>
      <c r="FL287" s="9"/>
      <c r="FM287" s="9"/>
      <c r="FN287" s="9"/>
      <c r="FO287" s="9"/>
      <c r="FP287" s="9"/>
      <c r="FQ287" s="9"/>
      <c r="FR287" s="9"/>
      <c r="FS287" s="9"/>
      <c r="FT287" s="9"/>
      <c r="FU287" s="9"/>
      <c r="FV287" s="9"/>
      <c r="FW287" s="10"/>
      <c r="FX287" s="9"/>
      <c r="FY287" s="9"/>
      <c r="FZ287" s="9"/>
      <c r="GA287" s="9"/>
      <c r="GB287" s="9"/>
      <c r="GC287" s="9"/>
      <c r="GD287" s="9"/>
      <c r="GE287" s="9"/>
      <c r="GF287" s="9"/>
      <c r="GG287" s="9"/>
      <c r="GH287" s="9"/>
      <c r="GI287" s="9"/>
      <c r="GJ287" s="9"/>
      <c r="GK287" s="9"/>
      <c r="GL287" s="9"/>
      <c r="GM287" s="9"/>
      <c r="GN287" s="9"/>
      <c r="GO287" s="9"/>
      <c r="GP287" s="9"/>
      <c r="GQ287" s="9"/>
      <c r="GR287" s="9"/>
      <c r="GS287" s="9"/>
      <c r="GT287" s="9"/>
      <c r="GU287" s="9"/>
      <c r="GV287" s="9"/>
      <c r="GW287" s="9"/>
      <c r="GX287" s="9"/>
      <c r="GY287" s="10"/>
      <c r="GZ287" s="9"/>
      <c r="HA287" s="9"/>
    </row>
    <row r="288" spans="1:209" s="2" customFormat="1" ht="17" customHeight="1">
      <c r="A288" s="46" t="s">
        <v>281</v>
      </c>
      <c r="B288" s="35">
        <v>0</v>
      </c>
      <c r="C288" s="35">
        <v>0</v>
      </c>
      <c r="D288" s="4">
        <f t="shared" si="72"/>
        <v>0</v>
      </c>
      <c r="E288" s="11">
        <v>0</v>
      </c>
      <c r="F288" s="5" t="s">
        <v>362</v>
      </c>
      <c r="G288" s="5" t="s">
        <v>362</v>
      </c>
      <c r="H288" s="5" t="s">
        <v>362</v>
      </c>
      <c r="I288" s="5" t="s">
        <v>362</v>
      </c>
      <c r="J288" s="5" t="s">
        <v>362</v>
      </c>
      <c r="K288" s="5" t="s">
        <v>362</v>
      </c>
      <c r="L288" s="5" t="s">
        <v>362</v>
      </c>
      <c r="M288" s="5" t="s">
        <v>362</v>
      </c>
      <c r="N288" s="35">
        <v>416</v>
      </c>
      <c r="O288" s="35">
        <v>658.5</v>
      </c>
      <c r="P288" s="4">
        <f t="shared" si="73"/>
        <v>1.2382932692307691</v>
      </c>
      <c r="Q288" s="11">
        <v>20</v>
      </c>
      <c r="R288" s="35">
        <v>360</v>
      </c>
      <c r="S288" s="35">
        <v>395.5</v>
      </c>
      <c r="T288" s="4">
        <f t="shared" si="74"/>
        <v>1.0986111111111112</v>
      </c>
      <c r="U288" s="11">
        <v>40</v>
      </c>
      <c r="V288" s="35">
        <v>0</v>
      </c>
      <c r="W288" s="35">
        <v>0</v>
      </c>
      <c r="X288" s="4">
        <f t="shared" si="75"/>
        <v>1</v>
      </c>
      <c r="Y288" s="11">
        <v>10</v>
      </c>
      <c r="Z288" s="35">
        <v>26251</v>
      </c>
      <c r="AA288" s="35">
        <v>24903</v>
      </c>
      <c r="AB288" s="4">
        <f t="shared" si="76"/>
        <v>0.94864957525427607</v>
      </c>
      <c r="AC288" s="11">
        <v>10</v>
      </c>
      <c r="AD288" s="11">
        <v>518</v>
      </c>
      <c r="AE288" s="11">
        <v>534</v>
      </c>
      <c r="AF288" s="4">
        <f t="shared" si="77"/>
        <v>1.0308880308880308</v>
      </c>
      <c r="AG288" s="11">
        <v>20</v>
      </c>
      <c r="AH288" s="5" t="s">
        <v>362</v>
      </c>
      <c r="AI288" s="5" t="s">
        <v>362</v>
      </c>
      <c r="AJ288" s="5" t="s">
        <v>362</v>
      </c>
      <c r="AK288" s="5" t="s">
        <v>362</v>
      </c>
      <c r="AL288" s="5" t="s">
        <v>362</v>
      </c>
      <c r="AM288" s="5" t="s">
        <v>362</v>
      </c>
      <c r="AN288" s="5" t="s">
        <v>362</v>
      </c>
      <c r="AO288" s="5" t="s">
        <v>362</v>
      </c>
      <c r="AP288" s="44">
        <f t="shared" si="86"/>
        <v>1.0881456619936321</v>
      </c>
      <c r="AQ288" s="45">
        <v>1173</v>
      </c>
      <c r="AR288" s="35">
        <f t="shared" si="78"/>
        <v>319.90909090909093</v>
      </c>
      <c r="AS288" s="35">
        <f t="shared" si="79"/>
        <v>348.1</v>
      </c>
      <c r="AT288" s="35">
        <f t="shared" si="80"/>
        <v>28.190909090909088</v>
      </c>
      <c r="AU288" s="35">
        <v>118.3</v>
      </c>
      <c r="AV288" s="35">
        <v>121.5</v>
      </c>
      <c r="AW288" s="35">
        <f t="shared" si="81"/>
        <v>108.3</v>
      </c>
      <c r="AX288" s="35"/>
      <c r="AY288" s="35">
        <f t="shared" si="82"/>
        <v>108.3</v>
      </c>
      <c r="AZ288" s="35">
        <v>0</v>
      </c>
      <c r="BA288" s="35">
        <f t="shared" si="83"/>
        <v>108.3</v>
      </c>
      <c r="BB288" s="35">
        <f>MIN(BA288,17.1)</f>
        <v>17.100000000000001</v>
      </c>
      <c r="BC288" s="35">
        <f t="shared" si="84"/>
        <v>91.2</v>
      </c>
      <c r="BD288" s="35">
        <v>96.2</v>
      </c>
      <c r="BE288" s="35">
        <f t="shared" si="85"/>
        <v>-5</v>
      </c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9"/>
      <c r="BU288" s="9"/>
      <c r="BV288" s="9"/>
      <c r="BW288" s="9"/>
      <c r="BX288" s="9"/>
      <c r="BY288" s="9"/>
      <c r="BZ288" s="9"/>
      <c r="CA288" s="9"/>
      <c r="CB288" s="9"/>
      <c r="CC288" s="9"/>
      <c r="CD288" s="9"/>
      <c r="CE288" s="9"/>
      <c r="CF288" s="9"/>
      <c r="CG288" s="9"/>
      <c r="CH288" s="9"/>
      <c r="CI288" s="9"/>
      <c r="CJ288" s="9"/>
      <c r="CK288" s="9"/>
      <c r="CL288" s="9"/>
      <c r="CM288" s="9"/>
      <c r="CN288" s="9"/>
      <c r="CO288" s="9"/>
      <c r="CP288" s="9"/>
      <c r="CQ288" s="10"/>
      <c r="CR288" s="9"/>
      <c r="CS288" s="9"/>
      <c r="CT288" s="9"/>
      <c r="CU288" s="9"/>
      <c r="CV288" s="9"/>
      <c r="CW288" s="9"/>
      <c r="CX288" s="9"/>
      <c r="CY288" s="9"/>
      <c r="CZ288" s="9"/>
      <c r="DA288" s="9"/>
      <c r="DB288" s="9"/>
      <c r="DC288" s="9"/>
      <c r="DD288" s="9"/>
      <c r="DE288" s="9"/>
      <c r="DF288" s="9"/>
      <c r="DG288" s="9"/>
      <c r="DH288" s="9"/>
      <c r="DI288" s="9"/>
      <c r="DJ288" s="9"/>
      <c r="DK288" s="9"/>
      <c r="DL288" s="9"/>
      <c r="DM288" s="9"/>
      <c r="DN288" s="9"/>
      <c r="DO288" s="9"/>
      <c r="DP288" s="9"/>
      <c r="DQ288" s="9"/>
      <c r="DR288" s="9"/>
      <c r="DS288" s="10"/>
      <c r="DT288" s="9"/>
      <c r="DU288" s="9"/>
      <c r="DV288" s="9"/>
      <c r="DW288" s="9"/>
      <c r="DX288" s="9"/>
      <c r="DY288" s="9"/>
      <c r="DZ288" s="9"/>
      <c r="EA288" s="9"/>
      <c r="EB288" s="9"/>
      <c r="EC288" s="9"/>
      <c r="ED288" s="9"/>
      <c r="EE288" s="9"/>
      <c r="EF288" s="9"/>
      <c r="EG288" s="9"/>
      <c r="EH288" s="9"/>
      <c r="EI288" s="9"/>
      <c r="EJ288" s="9"/>
      <c r="EK288" s="9"/>
      <c r="EL288" s="9"/>
      <c r="EM288" s="9"/>
      <c r="EN288" s="9"/>
      <c r="EO288" s="9"/>
      <c r="EP288" s="9"/>
      <c r="EQ288" s="9"/>
      <c r="ER288" s="9"/>
      <c r="ES288" s="9"/>
      <c r="ET288" s="9"/>
      <c r="EU288" s="10"/>
      <c r="EV288" s="9"/>
      <c r="EW288" s="9"/>
      <c r="EX288" s="9"/>
      <c r="EY288" s="9"/>
      <c r="EZ288" s="9"/>
      <c r="FA288" s="9"/>
      <c r="FB288" s="9"/>
      <c r="FC288" s="9"/>
      <c r="FD288" s="9"/>
      <c r="FE288" s="9"/>
      <c r="FF288" s="9"/>
      <c r="FG288" s="9"/>
      <c r="FH288" s="9"/>
      <c r="FI288" s="9"/>
      <c r="FJ288" s="9"/>
      <c r="FK288" s="9"/>
      <c r="FL288" s="9"/>
      <c r="FM288" s="9"/>
      <c r="FN288" s="9"/>
      <c r="FO288" s="9"/>
      <c r="FP288" s="9"/>
      <c r="FQ288" s="9"/>
      <c r="FR288" s="9"/>
      <c r="FS288" s="9"/>
      <c r="FT288" s="9"/>
      <c r="FU288" s="9"/>
      <c r="FV288" s="9"/>
      <c r="FW288" s="10"/>
      <c r="FX288" s="9"/>
      <c r="FY288" s="9"/>
      <c r="FZ288" s="9"/>
      <c r="GA288" s="9"/>
      <c r="GB288" s="9"/>
      <c r="GC288" s="9"/>
      <c r="GD288" s="9"/>
      <c r="GE288" s="9"/>
      <c r="GF288" s="9"/>
      <c r="GG288" s="9"/>
      <c r="GH288" s="9"/>
      <c r="GI288" s="9"/>
      <c r="GJ288" s="9"/>
      <c r="GK288" s="9"/>
      <c r="GL288" s="9"/>
      <c r="GM288" s="9"/>
      <c r="GN288" s="9"/>
      <c r="GO288" s="9"/>
      <c r="GP288" s="9"/>
      <c r="GQ288" s="9"/>
      <c r="GR288" s="9"/>
      <c r="GS288" s="9"/>
      <c r="GT288" s="9"/>
      <c r="GU288" s="9"/>
      <c r="GV288" s="9"/>
      <c r="GW288" s="9"/>
      <c r="GX288" s="9"/>
      <c r="GY288" s="10"/>
      <c r="GZ288" s="9"/>
      <c r="HA288" s="9"/>
    </row>
    <row r="289" spans="1:209" s="2" customFormat="1" ht="17" customHeight="1">
      <c r="A289" s="46" t="s">
        <v>282</v>
      </c>
      <c r="B289" s="35">
        <v>0</v>
      </c>
      <c r="C289" s="35">
        <v>0</v>
      </c>
      <c r="D289" s="4">
        <f t="shared" si="72"/>
        <v>0</v>
      </c>
      <c r="E289" s="11">
        <v>0</v>
      </c>
      <c r="F289" s="5" t="s">
        <v>362</v>
      </c>
      <c r="G289" s="5" t="s">
        <v>362</v>
      </c>
      <c r="H289" s="5" t="s">
        <v>362</v>
      </c>
      <c r="I289" s="5" t="s">
        <v>362</v>
      </c>
      <c r="J289" s="5" t="s">
        <v>362</v>
      </c>
      <c r="K289" s="5" t="s">
        <v>362</v>
      </c>
      <c r="L289" s="5" t="s">
        <v>362</v>
      </c>
      <c r="M289" s="5" t="s">
        <v>362</v>
      </c>
      <c r="N289" s="35">
        <v>356.2</v>
      </c>
      <c r="O289" s="35">
        <v>458.4</v>
      </c>
      <c r="P289" s="4">
        <f t="shared" si="73"/>
        <v>1.2086917462099944</v>
      </c>
      <c r="Q289" s="11">
        <v>20</v>
      </c>
      <c r="R289" s="35">
        <v>0</v>
      </c>
      <c r="S289" s="35">
        <v>0</v>
      </c>
      <c r="T289" s="4">
        <f t="shared" si="74"/>
        <v>1</v>
      </c>
      <c r="U289" s="11">
        <v>40</v>
      </c>
      <c r="V289" s="35">
        <v>0</v>
      </c>
      <c r="W289" s="35">
        <v>0</v>
      </c>
      <c r="X289" s="4">
        <f t="shared" si="75"/>
        <v>1</v>
      </c>
      <c r="Y289" s="11">
        <v>10</v>
      </c>
      <c r="Z289" s="35">
        <v>1467</v>
      </c>
      <c r="AA289" s="35">
        <v>1929</v>
      </c>
      <c r="AB289" s="4">
        <f t="shared" si="76"/>
        <v>1.2114928425357874</v>
      </c>
      <c r="AC289" s="11">
        <v>10</v>
      </c>
      <c r="AD289" s="11">
        <v>110</v>
      </c>
      <c r="AE289" s="11">
        <v>105</v>
      </c>
      <c r="AF289" s="4">
        <f t="shared" si="77"/>
        <v>0.95454545454545459</v>
      </c>
      <c r="AG289" s="11">
        <v>20</v>
      </c>
      <c r="AH289" s="5" t="s">
        <v>362</v>
      </c>
      <c r="AI289" s="5" t="s">
        <v>362</v>
      </c>
      <c r="AJ289" s="5" t="s">
        <v>362</v>
      </c>
      <c r="AK289" s="5" t="s">
        <v>362</v>
      </c>
      <c r="AL289" s="5" t="s">
        <v>362</v>
      </c>
      <c r="AM289" s="5" t="s">
        <v>362</v>
      </c>
      <c r="AN289" s="5" t="s">
        <v>362</v>
      </c>
      <c r="AO289" s="5" t="s">
        <v>362</v>
      </c>
      <c r="AP289" s="44">
        <f t="shared" si="86"/>
        <v>1.0537967244046686</v>
      </c>
      <c r="AQ289" s="45">
        <v>519</v>
      </c>
      <c r="AR289" s="35">
        <f t="shared" si="78"/>
        <v>141.54545454545453</v>
      </c>
      <c r="AS289" s="35">
        <f t="shared" si="79"/>
        <v>149.19999999999999</v>
      </c>
      <c r="AT289" s="35">
        <f t="shared" si="80"/>
        <v>7.6545454545454561</v>
      </c>
      <c r="AU289" s="35">
        <v>38</v>
      </c>
      <c r="AV289" s="35">
        <v>35.9</v>
      </c>
      <c r="AW289" s="35">
        <f t="shared" si="81"/>
        <v>75.3</v>
      </c>
      <c r="AX289" s="35"/>
      <c r="AY289" s="35">
        <f t="shared" si="82"/>
        <v>75.3</v>
      </c>
      <c r="AZ289" s="35">
        <v>0</v>
      </c>
      <c r="BA289" s="35">
        <f t="shared" si="83"/>
        <v>75.3</v>
      </c>
      <c r="BB289" s="35"/>
      <c r="BC289" s="35">
        <f t="shared" si="84"/>
        <v>75.3</v>
      </c>
      <c r="BD289" s="35">
        <v>72.8</v>
      </c>
      <c r="BE289" s="35">
        <f t="shared" si="85"/>
        <v>2.5</v>
      </c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9"/>
      <c r="BU289" s="9"/>
      <c r="BV289" s="9"/>
      <c r="BW289" s="9"/>
      <c r="BX289" s="9"/>
      <c r="BY289" s="9"/>
      <c r="BZ289" s="9"/>
      <c r="CA289" s="9"/>
      <c r="CB289" s="9"/>
      <c r="CC289" s="9"/>
      <c r="CD289" s="9"/>
      <c r="CE289" s="9"/>
      <c r="CF289" s="9"/>
      <c r="CG289" s="9"/>
      <c r="CH289" s="9"/>
      <c r="CI289" s="9"/>
      <c r="CJ289" s="9"/>
      <c r="CK289" s="9"/>
      <c r="CL289" s="9"/>
      <c r="CM289" s="9"/>
      <c r="CN289" s="9"/>
      <c r="CO289" s="9"/>
      <c r="CP289" s="9"/>
      <c r="CQ289" s="10"/>
      <c r="CR289" s="9"/>
      <c r="CS289" s="9"/>
      <c r="CT289" s="9"/>
      <c r="CU289" s="9"/>
      <c r="CV289" s="9"/>
      <c r="CW289" s="9"/>
      <c r="CX289" s="9"/>
      <c r="CY289" s="9"/>
      <c r="CZ289" s="9"/>
      <c r="DA289" s="9"/>
      <c r="DB289" s="9"/>
      <c r="DC289" s="9"/>
      <c r="DD289" s="9"/>
      <c r="DE289" s="9"/>
      <c r="DF289" s="9"/>
      <c r="DG289" s="9"/>
      <c r="DH289" s="9"/>
      <c r="DI289" s="9"/>
      <c r="DJ289" s="9"/>
      <c r="DK289" s="9"/>
      <c r="DL289" s="9"/>
      <c r="DM289" s="9"/>
      <c r="DN289" s="9"/>
      <c r="DO289" s="9"/>
      <c r="DP289" s="9"/>
      <c r="DQ289" s="9"/>
      <c r="DR289" s="9"/>
      <c r="DS289" s="10"/>
      <c r="DT289" s="9"/>
      <c r="DU289" s="9"/>
      <c r="DV289" s="9"/>
      <c r="DW289" s="9"/>
      <c r="DX289" s="9"/>
      <c r="DY289" s="9"/>
      <c r="DZ289" s="9"/>
      <c r="EA289" s="9"/>
      <c r="EB289" s="9"/>
      <c r="EC289" s="9"/>
      <c r="ED289" s="9"/>
      <c r="EE289" s="9"/>
      <c r="EF289" s="9"/>
      <c r="EG289" s="9"/>
      <c r="EH289" s="9"/>
      <c r="EI289" s="9"/>
      <c r="EJ289" s="9"/>
      <c r="EK289" s="9"/>
      <c r="EL289" s="9"/>
      <c r="EM289" s="9"/>
      <c r="EN289" s="9"/>
      <c r="EO289" s="9"/>
      <c r="EP289" s="9"/>
      <c r="EQ289" s="9"/>
      <c r="ER289" s="9"/>
      <c r="ES289" s="9"/>
      <c r="ET289" s="9"/>
      <c r="EU289" s="10"/>
      <c r="EV289" s="9"/>
      <c r="EW289" s="9"/>
      <c r="EX289" s="9"/>
      <c r="EY289" s="9"/>
      <c r="EZ289" s="9"/>
      <c r="FA289" s="9"/>
      <c r="FB289" s="9"/>
      <c r="FC289" s="9"/>
      <c r="FD289" s="9"/>
      <c r="FE289" s="9"/>
      <c r="FF289" s="9"/>
      <c r="FG289" s="9"/>
      <c r="FH289" s="9"/>
      <c r="FI289" s="9"/>
      <c r="FJ289" s="9"/>
      <c r="FK289" s="9"/>
      <c r="FL289" s="9"/>
      <c r="FM289" s="9"/>
      <c r="FN289" s="9"/>
      <c r="FO289" s="9"/>
      <c r="FP289" s="9"/>
      <c r="FQ289" s="9"/>
      <c r="FR289" s="9"/>
      <c r="FS289" s="9"/>
      <c r="FT289" s="9"/>
      <c r="FU289" s="9"/>
      <c r="FV289" s="9"/>
      <c r="FW289" s="10"/>
      <c r="FX289" s="9"/>
      <c r="FY289" s="9"/>
      <c r="FZ289" s="9"/>
      <c r="GA289" s="9"/>
      <c r="GB289" s="9"/>
      <c r="GC289" s="9"/>
      <c r="GD289" s="9"/>
      <c r="GE289" s="9"/>
      <c r="GF289" s="9"/>
      <c r="GG289" s="9"/>
      <c r="GH289" s="9"/>
      <c r="GI289" s="9"/>
      <c r="GJ289" s="9"/>
      <c r="GK289" s="9"/>
      <c r="GL289" s="9"/>
      <c r="GM289" s="9"/>
      <c r="GN289" s="9"/>
      <c r="GO289" s="9"/>
      <c r="GP289" s="9"/>
      <c r="GQ289" s="9"/>
      <c r="GR289" s="9"/>
      <c r="GS289" s="9"/>
      <c r="GT289" s="9"/>
      <c r="GU289" s="9"/>
      <c r="GV289" s="9"/>
      <c r="GW289" s="9"/>
      <c r="GX289" s="9"/>
      <c r="GY289" s="10"/>
      <c r="GZ289" s="9"/>
      <c r="HA289" s="9"/>
    </row>
    <row r="290" spans="1:209" s="2" customFormat="1" ht="17" customHeight="1">
      <c r="A290" s="46" t="s">
        <v>283</v>
      </c>
      <c r="B290" s="35">
        <v>1353</v>
      </c>
      <c r="C290" s="35">
        <v>529.5</v>
      </c>
      <c r="D290" s="4">
        <f t="shared" si="72"/>
        <v>0.39135254988913526</v>
      </c>
      <c r="E290" s="11">
        <v>10</v>
      </c>
      <c r="F290" s="5" t="s">
        <v>362</v>
      </c>
      <c r="G290" s="5" t="s">
        <v>362</v>
      </c>
      <c r="H290" s="5" t="s">
        <v>362</v>
      </c>
      <c r="I290" s="5" t="s">
        <v>362</v>
      </c>
      <c r="J290" s="5" t="s">
        <v>362</v>
      </c>
      <c r="K290" s="5" t="s">
        <v>362</v>
      </c>
      <c r="L290" s="5" t="s">
        <v>362</v>
      </c>
      <c r="M290" s="5" t="s">
        <v>362</v>
      </c>
      <c r="N290" s="35">
        <v>986.5</v>
      </c>
      <c r="O290" s="35">
        <v>1430</v>
      </c>
      <c r="P290" s="4">
        <f t="shared" si="73"/>
        <v>1.2249569183983779</v>
      </c>
      <c r="Q290" s="11">
        <v>20</v>
      </c>
      <c r="R290" s="35">
        <v>655</v>
      </c>
      <c r="S290" s="35">
        <v>818.8</v>
      </c>
      <c r="T290" s="4">
        <f t="shared" si="74"/>
        <v>1.2050076335877862</v>
      </c>
      <c r="U290" s="11">
        <v>35</v>
      </c>
      <c r="V290" s="35">
        <v>0</v>
      </c>
      <c r="W290" s="35">
        <v>0</v>
      </c>
      <c r="X290" s="4">
        <f t="shared" si="75"/>
        <v>1</v>
      </c>
      <c r="Y290" s="11">
        <v>15</v>
      </c>
      <c r="Z290" s="35">
        <v>11890</v>
      </c>
      <c r="AA290" s="35">
        <v>10638</v>
      </c>
      <c r="AB290" s="4">
        <f t="shared" si="76"/>
        <v>0.89470142977291844</v>
      </c>
      <c r="AC290" s="11">
        <v>10</v>
      </c>
      <c r="AD290" s="11">
        <v>674</v>
      </c>
      <c r="AE290" s="11">
        <v>684</v>
      </c>
      <c r="AF290" s="4">
        <f t="shared" si="77"/>
        <v>1.0148367952522255</v>
      </c>
      <c r="AG290" s="11">
        <v>20</v>
      </c>
      <c r="AH290" s="5" t="s">
        <v>362</v>
      </c>
      <c r="AI290" s="5" t="s">
        <v>362</v>
      </c>
      <c r="AJ290" s="5" t="s">
        <v>362</v>
      </c>
      <c r="AK290" s="5" t="s">
        <v>362</v>
      </c>
      <c r="AL290" s="5" t="s">
        <v>362</v>
      </c>
      <c r="AM290" s="5" t="s">
        <v>362</v>
      </c>
      <c r="AN290" s="5" t="s">
        <v>362</v>
      </c>
      <c r="AO290" s="5" t="s">
        <v>362</v>
      </c>
      <c r="AP290" s="44">
        <f t="shared" si="86"/>
        <v>1.0439243749564102</v>
      </c>
      <c r="AQ290" s="45">
        <v>600</v>
      </c>
      <c r="AR290" s="35">
        <f t="shared" si="78"/>
        <v>163.63636363636363</v>
      </c>
      <c r="AS290" s="35">
        <f t="shared" si="79"/>
        <v>170.8</v>
      </c>
      <c r="AT290" s="35">
        <f t="shared" si="80"/>
        <v>7.1636363636363853</v>
      </c>
      <c r="AU290" s="35">
        <v>64.099999999999994</v>
      </c>
      <c r="AV290" s="35">
        <v>46.4</v>
      </c>
      <c r="AW290" s="35">
        <f t="shared" si="81"/>
        <v>60.3</v>
      </c>
      <c r="AX290" s="35"/>
      <c r="AY290" s="35">
        <f t="shared" si="82"/>
        <v>60.3</v>
      </c>
      <c r="AZ290" s="35">
        <v>0</v>
      </c>
      <c r="BA290" s="35">
        <f t="shared" si="83"/>
        <v>60.3</v>
      </c>
      <c r="BB290" s="35">
        <f>MIN(BA290,27.3)</f>
        <v>27.3</v>
      </c>
      <c r="BC290" s="35">
        <f t="shared" si="84"/>
        <v>33</v>
      </c>
      <c r="BD290" s="35">
        <v>35.5</v>
      </c>
      <c r="BE290" s="35">
        <f t="shared" si="85"/>
        <v>-2.5</v>
      </c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9"/>
      <c r="BU290" s="9"/>
      <c r="BV290" s="9"/>
      <c r="BW290" s="9"/>
      <c r="BX290" s="9"/>
      <c r="BY290" s="9"/>
      <c r="BZ290" s="9"/>
      <c r="CA290" s="9"/>
      <c r="CB290" s="9"/>
      <c r="CC290" s="9"/>
      <c r="CD290" s="9"/>
      <c r="CE290" s="9"/>
      <c r="CF290" s="9"/>
      <c r="CG290" s="9"/>
      <c r="CH290" s="9"/>
      <c r="CI290" s="9"/>
      <c r="CJ290" s="9"/>
      <c r="CK290" s="9"/>
      <c r="CL290" s="9"/>
      <c r="CM290" s="9"/>
      <c r="CN290" s="9"/>
      <c r="CO290" s="9"/>
      <c r="CP290" s="9"/>
      <c r="CQ290" s="10"/>
      <c r="CR290" s="9"/>
      <c r="CS290" s="9"/>
      <c r="CT290" s="9"/>
      <c r="CU290" s="9"/>
      <c r="CV290" s="9"/>
      <c r="CW290" s="9"/>
      <c r="CX290" s="9"/>
      <c r="CY290" s="9"/>
      <c r="CZ290" s="9"/>
      <c r="DA290" s="9"/>
      <c r="DB290" s="9"/>
      <c r="DC290" s="9"/>
      <c r="DD290" s="9"/>
      <c r="DE290" s="9"/>
      <c r="DF290" s="9"/>
      <c r="DG290" s="9"/>
      <c r="DH290" s="9"/>
      <c r="DI290" s="9"/>
      <c r="DJ290" s="9"/>
      <c r="DK290" s="9"/>
      <c r="DL290" s="9"/>
      <c r="DM290" s="9"/>
      <c r="DN290" s="9"/>
      <c r="DO290" s="9"/>
      <c r="DP290" s="9"/>
      <c r="DQ290" s="9"/>
      <c r="DR290" s="9"/>
      <c r="DS290" s="10"/>
      <c r="DT290" s="9"/>
      <c r="DU290" s="9"/>
      <c r="DV290" s="9"/>
      <c r="DW290" s="9"/>
      <c r="DX290" s="9"/>
      <c r="DY290" s="9"/>
      <c r="DZ290" s="9"/>
      <c r="EA290" s="9"/>
      <c r="EB290" s="9"/>
      <c r="EC290" s="9"/>
      <c r="ED290" s="9"/>
      <c r="EE290" s="9"/>
      <c r="EF290" s="9"/>
      <c r="EG290" s="9"/>
      <c r="EH290" s="9"/>
      <c r="EI290" s="9"/>
      <c r="EJ290" s="9"/>
      <c r="EK290" s="9"/>
      <c r="EL290" s="9"/>
      <c r="EM290" s="9"/>
      <c r="EN290" s="9"/>
      <c r="EO290" s="9"/>
      <c r="EP290" s="9"/>
      <c r="EQ290" s="9"/>
      <c r="ER290" s="9"/>
      <c r="ES290" s="9"/>
      <c r="ET290" s="9"/>
      <c r="EU290" s="10"/>
      <c r="EV290" s="9"/>
      <c r="EW290" s="9"/>
      <c r="EX290" s="9"/>
      <c r="EY290" s="9"/>
      <c r="EZ290" s="9"/>
      <c r="FA290" s="9"/>
      <c r="FB290" s="9"/>
      <c r="FC290" s="9"/>
      <c r="FD290" s="9"/>
      <c r="FE290" s="9"/>
      <c r="FF290" s="9"/>
      <c r="FG290" s="9"/>
      <c r="FH290" s="9"/>
      <c r="FI290" s="9"/>
      <c r="FJ290" s="9"/>
      <c r="FK290" s="9"/>
      <c r="FL290" s="9"/>
      <c r="FM290" s="9"/>
      <c r="FN290" s="9"/>
      <c r="FO290" s="9"/>
      <c r="FP290" s="9"/>
      <c r="FQ290" s="9"/>
      <c r="FR290" s="9"/>
      <c r="FS290" s="9"/>
      <c r="FT290" s="9"/>
      <c r="FU290" s="9"/>
      <c r="FV290" s="9"/>
      <c r="FW290" s="10"/>
      <c r="FX290" s="9"/>
      <c r="FY290" s="9"/>
      <c r="FZ290" s="9"/>
      <c r="GA290" s="9"/>
      <c r="GB290" s="9"/>
      <c r="GC290" s="9"/>
      <c r="GD290" s="9"/>
      <c r="GE290" s="9"/>
      <c r="GF290" s="9"/>
      <c r="GG290" s="9"/>
      <c r="GH290" s="9"/>
      <c r="GI290" s="9"/>
      <c r="GJ290" s="9"/>
      <c r="GK290" s="9"/>
      <c r="GL290" s="9"/>
      <c r="GM290" s="9"/>
      <c r="GN290" s="9"/>
      <c r="GO290" s="9"/>
      <c r="GP290" s="9"/>
      <c r="GQ290" s="9"/>
      <c r="GR290" s="9"/>
      <c r="GS290" s="9"/>
      <c r="GT290" s="9"/>
      <c r="GU290" s="9"/>
      <c r="GV290" s="9"/>
      <c r="GW290" s="9"/>
      <c r="GX290" s="9"/>
      <c r="GY290" s="10"/>
      <c r="GZ290" s="9"/>
      <c r="HA290" s="9"/>
    </row>
    <row r="291" spans="1:209" s="2" customFormat="1" ht="17" customHeight="1">
      <c r="A291" s="46" t="s">
        <v>284</v>
      </c>
      <c r="B291" s="35">
        <v>0</v>
      </c>
      <c r="C291" s="35">
        <v>0</v>
      </c>
      <c r="D291" s="4">
        <f t="shared" si="72"/>
        <v>0</v>
      </c>
      <c r="E291" s="11">
        <v>0</v>
      </c>
      <c r="F291" s="5" t="s">
        <v>362</v>
      </c>
      <c r="G291" s="5" t="s">
        <v>362</v>
      </c>
      <c r="H291" s="5" t="s">
        <v>362</v>
      </c>
      <c r="I291" s="5" t="s">
        <v>362</v>
      </c>
      <c r="J291" s="5" t="s">
        <v>362</v>
      </c>
      <c r="K291" s="5" t="s">
        <v>362</v>
      </c>
      <c r="L291" s="5" t="s">
        <v>362</v>
      </c>
      <c r="M291" s="5" t="s">
        <v>362</v>
      </c>
      <c r="N291" s="35">
        <v>943.7</v>
      </c>
      <c r="O291" s="35">
        <v>576.6</v>
      </c>
      <c r="P291" s="4">
        <f t="shared" si="73"/>
        <v>0.61099925823884704</v>
      </c>
      <c r="Q291" s="11">
        <v>20</v>
      </c>
      <c r="R291" s="35">
        <v>70</v>
      </c>
      <c r="S291" s="35">
        <v>13.9</v>
      </c>
      <c r="T291" s="4">
        <f t="shared" si="74"/>
        <v>0.19857142857142857</v>
      </c>
      <c r="U291" s="11">
        <v>40</v>
      </c>
      <c r="V291" s="35">
        <v>0</v>
      </c>
      <c r="W291" s="35">
        <v>0</v>
      </c>
      <c r="X291" s="4">
        <f t="shared" si="75"/>
        <v>1</v>
      </c>
      <c r="Y291" s="11">
        <v>10</v>
      </c>
      <c r="Z291" s="35">
        <v>4300</v>
      </c>
      <c r="AA291" s="35">
        <v>3087</v>
      </c>
      <c r="AB291" s="4">
        <f t="shared" si="76"/>
        <v>0.71790697674418602</v>
      </c>
      <c r="AC291" s="11">
        <v>10</v>
      </c>
      <c r="AD291" s="11">
        <v>361</v>
      </c>
      <c r="AE291" s="11">
        <v>287</v>
      </c>
      <c r="AF291" s="4">
        <f t="shared" si="77"/>
        <v>0.79501385041551242</v>
      </c>
      <c r="AG291" s="11">
        <v>20</v>
      </c>
      <c r="AH291" s="5" t="s">
        <v>362</v>
      </c>
      <c r="AI291" s="5" t="s">
        <v>362</v>
      </c>
      <c r="AJ291" s="5" t="s">
        <v>362</v>
      </c>
      <c r="AK291" s="5" t="s">
        <v>362</v>
      </c>
      <c r="AL291" s="5" t="s">
        <v>362</v>
      </c>
      <c r="AM291" s="5" t="s">
        <v>362</v>
      </c>
      <c r="AN291" s="5" t="s">
        <v>362</v>
      </c>
      <c r="AO291" s="5" t="s">
        <v>362</v>
      </c>
      <c r="AP291" s="44">
        <f t="shared" si="86"/>
        <v>0.53242189083386193</v>
      </c>
      <c r="AQ291" s="45">
        <v>1269</v>
      </c>
      <c r="AR291" s="35">
        <f t="shared" si="78"/>
        <v>346.09090909090907</v>
      </c>
      <c r="AS291" s="35">
        <f t="shared" si="79"/>
        <v>184.3</v>
      </c>
      <c r="AT291" s="35">
        <f t="shared" si="80"/>
        <v>-161.79090909090905</v>
      </c>
      <c r="AU291" s="35">
        <v>53</v>
      </c>
      <c r="AV291" s="35">
        <v>69</v>
      </c>
      <c r="AW291" s="35">
        <f t="shared" si="81"/>
        <v>62.3</v>
      </c>
      <c r="AX291" s="35"/>
      <c r="AY291" s="35">
        <f t="shared" si="82"/>
        <v>62.3</v>
      </c>
      <c r="AZ291" s="35">
        <v>0</v>
      </c>
      <c r="BA291" s="35">
        <f t="shared" si="83"/>
        <v>62.3</v>
      </c>
      <c r="BB291" s="35"/>
      <c r="BC291" s="35">
        <f t="shared" si="84"/>
        <v>62.3</v>
      </c>
      <c r="BD291" s="35">
        <v>55.1</v>
      </c>
      <c r="BE291" s="35">
        <f t="shared" si="85"/>
        <v>7.2</v>
      </c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9"/>
      <c r="BU291" s="9"/>
      <c r="BV291" s="9"/>
      <c r="BW291" s="9"/>
      <c r="BX291" s="9"/>
      <c r="BY291" s="9"/>
      <c r="BZ291" s="9"/>
      <c r="CA291" s="9"/>
      <c r="CB291" s="9"/>
      <c r="CC291" s="9"/>
      <c r="CD291" s="9"/>
      <c r="CE291" s="9"/>
      <c r="CF291" s="9"/>
      <c r="CG291" s="9"/>
      <c r="CH291" s="9"/>
      <c r="CI291" s="9"/>
      <c r="CJ291" s="9"/>
      <c r="CK291" s="9"/>
      <c r="CL291" s="9"/>
      <c r="CM291" s="9"/>
      <c r="CN291" s="9"/>
      <c r="CO291" s="9"/>
      <c r="CP291" s="9"/>
      <c r="CQ291" s="10"/>
      <c r="CR291" s="9"/>
      <c r="CS291" s="9"/>
      <c r="CT291" s="9"/>
      <c r="CU291" s="9"/>
      <c r="CV291" s="9"/>
      <c r="CW291" s="9"/>
      <c r="CX291" s="9"/>
      <c r="CY291" s="9"/>
      <c r="CZ291" s="9"/>
      <c r="DA291" s="9"/>
      <c r="DB291" s="9"/>
      <c r="DC291" s="9"/>
      <c r="DD291" s="9"/>
      <c r="DE291" s="9"/>
      <c r="DF291" s="9"/>
      <c r="DG291" s="9"/>
      <c r="DH291" s="9"/>
      <c r="DI291" s="9"/>
      <c r="DJ291" s="9"/>
      <c r="DK291" s="9"/>
      <c r="DL291" s="9"/>
      <c r="DM291" s="9"/>
      <c r="DN291" s="9"/>
      <c r="DO291" s="9"/>
      <c r="DP291" s="9"/>
      <c r="DQ291" s="9"/>
      <c r="DR291" s="9"/>
      <c r="DS291" s="10"/>
      <c r="DT291" s="9"/>
      <c r="DU291" s="9"/>
      <c r="DV291" s="9"/>
      <c r="DW291" s="9"/>
      <c r="DX291" s="9"/>
      <c r="DY291" s="9"/>
      <c r="DZ291" s="9"/>
      <c r="EA291" s="9"/>
      <c r="EB291" s="9"/>
      <c r="EC291" s="9"/>
      <c r="ED291" s="9"/>
      <c r="EE291" s="9"/>
      <c r="EF291" s="9"/>
      <c r="EG291" s="9"/>
      <c r="EH291" s="9"/>
      <c r="EI291" s="9"/>
      <c r="EJ291" s="9"/>
      <c r="EK291" s="9"/>
      <c r="EL291" s="9"/>
      <c r="EM291" s="9"/>
      <c r="EN291" s="9"/>
      <c r="EO291" s="9"/>
      <c r="EP291" s="9"/>
      <c r="EQ291" s="9"/>
      <c r="ER291" s="9"/>
      <c r="ES291" s="9"/>
      <c r="ET291" s="9"/>
      <c r="EU291" s="10"/>
      <c r="EV291" s="9"/>
      <c r="EW291" s="9"/>
      <c r="EX291" s="9"/>
      <c r="EY291" s="9"/>
      <c r="EZ291" s="9"/>
      <c r="FA291" s="9"/>
      <c r="FB291" s="9"/>
      <c r="FC291" s="9"/>
      <c r="FD291" s="9"/>
      <c r="FE291" s="9"/>
      <c r="FF291" s="9"/>
      <c r="FG291" s="9"/>
      <c r="FH291" s="9"/>
      <c r="FI291" s="9"/>
      <c r="FJ291" s="9"/>
      <c r="FK291" s="9"/>
      <c r="FL291" s="9"/>
      <c r="FM291" s="9"/>
      <c r="FN291" s="9"/>
      <c r="FO291" s="9"/>
      <c r="FP291" s="9"/>
      <c r="FQ291" s="9"/>
      <c r="FR291" s="9"/>
      <c r="FS291" s="9"/>
      <c r="FT291" s="9"/>
      <c r="FU291" s="9"/>
      <c r="FV291" s="9"/>
      <c r="FW291" s="10"/>
      <c r="FX291" s="9"/>
      <c r="FY291" s="9"/>
      <c r="FZ291" s="9"/>
      <c r="GA291" s="9"/>
      <c r="GB291" s="9"/>
      <c r="GC291" s="9"/>
      <c r="GD291" s="9"/>
      <c r="GE291" s="9"/>
      <c r="GF291" s="9"/>
      <c r="GG291" s="9"/>
      <c r="GH291" s="9"/>
      <c r="GI291" s="9"/>
      <c r="GJ291" s="9"/>
      <c r="GK291" s="9"/>
      <c r="GL291" s="9"/>
      <c r="GM291" s="9"/>
      <c r="GN291" s="9"/>
      <c r="GO291" s="9"/>
      <c r="GP291" s="9"/>
      <c r="GQ291" s="9"/>
      <c r="GR291" s="9"/>
      <c r="GS291" s="9"/>
      <c r="GT291" s="9"/>
      <c r="GU291" s="9"/>
      <c r="GV291" s="9"/>
      <c r="GW291" s="9"/>
      <c r="GX291" s="9"/>
      <c r="GY291" s="10"/>
      <c r="GZ291" s="9"/>
      <c r="HA291" s="9"/>
    </row>
    <row r="292" spans="1:209" s="2" customFormat="1" ht="17" customHeight="1">
      <c r="A292" s="46" t="s">
        <v>285</v>
      </c>
      <c r="B292" s="35">
        <v>0</v>
      </c>
      <c r="C292" s="35">
        <v>0</v>
      </c>
      <c r="D292" s="4">
        <f t="shared" si="72"/>
        <v>0</v>
      </c>
      <c r="E292" s="11">
        <v>0</v>
      </c>
      <c r="F292" s="5" t="s">
        <v>362</v>
      </c>
      <c r="G292" s="5" t="s">
        <v>362</v>
      </c>
      <c r="H292" s="5" t="s">
        <v>362</v>
      </c>
      <c r="I292" s="5" t="s">
        <v>362</v>
      </c>
      <c r="J292" s="5" t="s">
        <v>362</v>
      </c>
      <c r="K292" s="5" t="s">
        <v>362</v>
      </c>
      <c r="L292" s="5" t="s">
        <v>362</v>
      </c>
      <c r="M292" s="5" t="s">
        <v>362</v>
      </c>
      <c r="N292" s="35">
        <v>1562.3</v>
      </c>
      <c r="O292" s="35">
        <v>2650.1</v>
      </c>
      <c r="P292" s="4">
        <f t="shared" si="73"/>
        <v>1.249628112398387</v>
      </c>
      <c r="Q292" s="11">
        <v>20</v>
      </c>
      <c r="R292" s="35">
        <v>660</v>
      </c>
      <c r="S292" s="35">
        <v>749.5</v>
      </c>
      <c r="T292" s="4">
        <f t="shared" si="74"/>
        <v>1.1356060606060605</v>
      </c>
      <c r="U292" s="11">
        <v>30</v>
      </c>
      <c r="V292" s="35">
        <v>0</v>
      </c>
      <c r="W292" s="35">
        <v>16.100000000000001</v>
      </c>
      <c r="X292" s="4">
        <f t="shared" si="75"/>
        <v>1</v>
      </c>
      <c r="Y292" s="11">
        <v>20</v>
      </c>
      <c r="Z292" s="35">
        <v>15442</v>
      </c>
      <c r="AA292" s="35">
        <v>3010</v>
      </c>
      <c r="AB292" s="4">
        <f t="shared" si="76"/>
        <v>0.19492293744333636</v>
      </c>
      <c r="AC292" s="11">
        <v>10</v>
      </c>
      <c r="AD292" s="11">
        <v>503</v>
      </c>
      <c r="AE292" s="11">
        <v>544</v>
      </c>
      <c r="AF292" s="4">
        <f t="shared" si="77"/>
        <v>1.0815109343936382</v>
      </c>
      <c r="AG292" s="11">
        <v>20</v>
      </c>
      <c r="AH292" s="5" t="s">
        <v>362</v>
      </c>
      <c r="AI292" s="5" t="s">
        <v>362</v>
      </c>
      <c r="AJ292" s="5" t="s">
        <v>362</v>
      </c>
      <c r="AK292" s="5" t="s">
        <v>362</v>
      </c>
      <c r="AL292" s="5" t="s">
        <v>362</v>
      </c>
      <c r="AM292" s="5" t="s">
        <v>362</v>
      </c>
      <c r="AN292" s="5" t="s">
        <v>362</v>
      </c>
      <c r="AO292" s="5" t="s">
        <v>362</v>
      </c>
      <c r="AP292" s="44">
        <f t="shared" si="86"/>
        <v>1.0264019212845568</v>
      </c>
      <c r="AQ292" s="45">
        <v>52</v>
      </c>
      <c r="AR292" s="35">
        <f t="shared" si="78"/>
        <v>14.181818181818183</v>
      </c>
      <c r="AS292" s="35">
        <f t="shared" si="79"/>
        <v>14.6</v>
      </c>
      <c r="AT292" s="35">
        <f t="shared" si="80"/>
        <v>0.41818181818181621</v>
      </c>
      <c r="AU292" s="35">
        <v>5</v>
      </c>
      <c r="AV292" s="35">
        <v>5.3</v>
      </c>
      <c r="AW292" s="35">
        <f t="shared" si="81"/>
        <v>4.3</v>
      </c>
      <c r="AX292" s="35"/>
      <c r="AY292" s="35">
        <f t="shared" si="82"/>
        <v>4.3</v>
      </c>
      <c r="AZ292" s="35">
        <v>0</v>
      </c>
      <c r="BA292" s="35">
        <f t="shared" si="83"/>
        <v>4.3</v>
      </c>
      <c r="BB292" s="35"/>
      <c r="BC292" s="35">
        <f t="shared" si="84"/>
        <v>4.3</v>
      </c>
      <c r="BD292" s="35">
        <v>5.6</v>
      </c>
      <c r="BE292" s="35">
        <f t="shared" si="85"/>
        <v>-1.3</v>
      </c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9"/>
      <c r="BU292" s="9"/>
      <c r="BV292" s="9"/>
      <c r="BW292" s="9"/>
      <c r="BX292" s="9"/>
      <c r="BY292" s="9"/>
      <c r="BZ292" s="9"/>
      <c r="CA292" s="9"/>
      <c r="CB292" s="9"/>
      <c r="CC292" s="9"/>
      <c r="CD292" s="9"/>
      <c r="CE292" s="9"/>
      <c r="CF292" s="9"/>
      <c r="CG292" s="9"/>
      <c r="CH292" s="9"/>
      <c r="CI292" s="9"/>
      <c r="CJ292" s="9"/>
      <c r="CK292" s="9"/>
      <c r="CL292" s="9"/>
      <c r="CM292" s="9"/>
      <c r="CN292" s="9"/>
      <c r="CO292" s="9"/>
      <c r="CP292" s="9"/>
      <c r="CQ292" s="10"/>
      <c r="CR292" s="9"/>
      <c r="CS292" s="9"/>
      <c r="CT292" s="9"/>
      <c r="CU292" s="9"/>
      <c r="CV292" s="9"/>
      <c r="CW292" s="9"/>
      <c r="CX292" s="9"/>
      <c r="CY292" s="9"/>
      <c r="CZ292" s="9"/>
      <c r="DA292" s="9"/>
      <c r="DB292" s="9"/>
      <c r="DC292" s="9"/>
      <c r="DD292" s="9"/>
      <c r="DE292" s="9"/>
      <c r="DF292" s="9"/>
      <c r="DG292" s="9"/>
      <c r="DH292" s="9"/>
      <c r="DI292" s="9"/>
      <c r="DJ292" s="9"/>
      <c r="DK292" s="9"/>
      <c r="DL292" s="9"/>
      <c r="DM292" s="9"/>
      <c r="DN292" s="9"/>
      <c r="DO292" s="9"/>
      <c r="DP292" s="9"/>
      <c r="DQ292" s="9"/>
      <c r="DR292" s="9"/>
      <c r="DS292" s="10"/>
      <c r="DT292" s="9"/>
      <c r="DU292" s="9"/>
      <c r="DV292" s="9"/>
      <c r="DW292" s="9"/>
      <c r="DX292" s="9"/>
      <c r="DY292" s="9"/>
      <c r="DZ292" s="9"/>
      <c r="EA292" s="9"/>
      <c r="EB292" s="9"/>
      <c r="EC292" s="9"/>
      <c r="ED292" s="9"/>
      <c r="EE292" s="9"/>
      <c r="EF292" s="9"/>
      <c r="EG292" s="9"/>
      <c r="EH292" s="9"/>
      <c r="EI292" s="9"/>
      <c r="EJ292" s="9"/>
      <c r="EK292" s="9"/>
      <c r="EL292" s="9"/>
      <c r="EM292" s="9"/>
      <c r="EN292" s="9"/>
      <c r="EO292" s="9"/>
      <c r="EP292" s="9"/>
      <c r="EQ292" s="9"/>
      <c r="ER292" s="9"/>
      <c r="ES292" s="9"/>
      <c r="ET292" s="9"/>
      <c r="EU292" s="10"/>
      <c r="EV292" s="9"/>
      <c r="EW292" s="9"/>
      <c r="EX292" s="9"/>
      <c r="EY292" s="9"/>
      <c r="EZ292" s="9"/>
      <c r="FA292" s="9"/>
      <c r="FB292" s="9"/>
      <c r="FC292" s="9"/>
      <c r="FD292" s="9"/>
      <c r="FE292" s="9"/>
      <c r="FF292" s="9"/>
      <c r="FG292" s="9"/>
      <c r="FH292" s="9"/>
      <c r="FI292" s="9"/>
      <c r="FJ292" s="9"/>
      <c r="FK292" s="9"/>
      <c r="FL292" s="9"/>
      <c r="FM292" s="9"/>
      <c r="FN292" s="9"/>
      <c r="FO292" s="9"/>
      <c r="FP292" s="9"/>
      <c r="FQ292" s="9"/>
      <c r="FR292" s="9"/>
      <c r="FS292" s="9"/>
      <c r="FT292" s="9"/>
      <c r="FU292" s="9"/>
      <c r="FV292" s="9"/>
      <c r="FW292" s="10"/>
      <c r="FX292" s="9"/>
      <c r="FY292" s="9"/>
      <c r="FZ292" s="9"/>
      <c r="GA292" s="9"/>
      <c r="GB292" s="9"/>
      <c r="GC292" s="9"/>
      <c r="GD292" s="9"/>
      <c r="GE292" s="9"/>
      <c r="GF292" s="9"/>
      <c r="GG292" s="9"/>
      <c r="GH292" s="9"/>
      <c r="GI292" s="9"/>
      <c r="GJ292" s="9"/>
      <c r="GK292" s="9"/>
      <c r="GL292" s="9"/>
      <c r="GM292" s="9"/>
      <c r="GN292" s="9"/>
      <c r="GO292" s="9"/>
      <c r="GP292" s="9"/>
      <c r="GQ292" s="9"/>
      <c r="GR292" s="9"/>
      <c r="GS292" s="9"/>
      <c r="GT292" s="9"/>
      <c r="GU292" s="9"/>
      <c r="GV292" s="9"/>
      <c r="GW292" s="9"/>
      <c r="GX292" s="9"/>
      <c r="GY292" s="10"/>
      <c r="GZ292" s="9"/>
      <c r="HA292" s="9"/>
    </row>
    <row r="293" spans="1:209" s="2" customFormat="1" ht="17" customHeight="1">
      <c r="A293" s="46" t="s">
        <v>286</v>
      </c>
      <c r="B293" s="35">
        <v>1119</v>
      </c>
      <c r="C293" s="35">
        <v>1348.5</v>
      </c>
      <c r="D293" s="4">
        <f t="shared" si="72"/>
        <v>1.200509383378016</v>
      </c>
      <c r="E293" s="11">
        <v>10</v>
      </c>
      <c r="F293" s="5" t="s">
        <v>362</v>
      </c>
      <c r="G293" s="5" t="s">
        <v>362</v>
      </c>
      <c r="H293" s="5" t="s">
        <v>362</v>
      </c>
      <c r="I293" s="5" t="s">
        <v>362</v>
      </c>
      <c r="J293" s="5" t="s">
        <v>362</v>
      </c>
      <c r="K293" s="5" t="s">
        <v>362</v>
      </c>
      <c r="L293" s="5" t="s">
        <v>362</v>
      </c>
      <c r="M293" s="5" t="s">
        <v>362</v>
      </c>
      <c r="N293" s="35">
        <v>377.7</v>
      </c>
      <c r="O293" s="35">
        <v>149.1</v>
      </c>
      <c r="P293" s="4">
        <f t="shared" si="73"/>
        <v>0.39475774424146148</v>
      </c>
      <c r="Q293" s="11">
        <v>20</v>
      </c>
      <c r="R293" s="35">
        <v>40</v>
      </c>
      <c r="S293" s="35">
        <v>8.8000000000000007</v>
      </c>
      <c r="T293" s="4">
        <f t="shared" si="74"/>
        <v>0.22000000000000003</v>
      </c>
      <c r="U293" s="11">
        <v>30</v>
      </c>
      <c r="V293" s="35">
        <v>0</v>
      </c>
      <c r="W293" s="35">
        <v>0</v>
      </c>
      <c r="X293" s="4">
        <f t="shared" si="75"/>
        <v>1</v>
      </c>
      <c r="Y293" s="11">
        <v>20</v>
      </c>
      <c r="Z293" s="35">
        <v>926</v>
      </c>
      <c r="AA293" s="35">
        <v>579</v>
      </c>
      <c r="AB293" s="4">
        <f t="shared" si="76"/>
        <v>0.62526997840172782</v>
      </c>
      <c r="AC293" s="11">
        <v>10</v>
      </c>
      <c r="AD293" s="11">
        <v>313</v>
      </c>
      <c r="AE293" s="11">
        <v>363</v>
      </c>
      <c r="AF293" s="4">
        <f t="shared" si="77"/>
        <v>1.159744408945687</v>
      </c>
      <c r="AG293" s="11">
        <v>20</v>
      </c>
      <c r="AH293" s="5" t="s">
        <v>362</v>
      </c>
      <c r="AI293" s="5" t="s">
        <v>362</v>
      </c>
      <c r="AJ293" s="5" t="s">
        <v>362</v>
      </c>
      <c r="AK293" s="5" t="s">
        <v>362</v>
      </c>
      <c r="AL293" s="5" t="s">
        <v>362</v>
      </c>
      <c r="AM293" s="5" t="s">
        <v>362</v>
      </c>
      <c r="AN293" s="5" t="s">
        <v>362</v>
      </c>
      <c r="AO293" s="5" t="s">
        <v>362</v>
      </c>
      <c r="AP293" s="44">
        <f t="shared" si="86"/>
        <v>0.69043487892309463</v>
      </c>
      <c r="AQ293" s="45">
        <v>621</v>
      </c>
      <c r="AR293" s="35">
        <f t="shared" si="78"/>
        <v>169.36363636363637</v>
      </c>
      <c r="AS293" s="35">
        <f t="shared" si="79"/>
        <v>116.9</v>
      </c>
      <c r="AT293" s="35">
        <f t="shared" si="80"/>
        <v>-52.463636363636368</v>
      </c>
      <c r="AU293" s="35">
        <v>34.200000000000003</v>
      </c>
      <c r="AV293" s="35">
        <v>28.6</v>
      </c>
      <c r="AW293" s="35">
        <f t="shared" si="81"/>
        <v>54.1</v>
      </c>
      <c r="AX293" s="35"/>
      <c r="AY293" s="35">
        <f t="shared" si="82"/>
        <v>54.1</v>
      </c>
      <c r="AZ293" s="35">
        <v>0</v>
      </c>
      <c r="BA293" s="35">
        <f t="shared" si="83"/>
        <v>54.1</v>
      </c>
      <c r="BB293" s="35"/>
      <c r="BC293" s="35">
        <f t="shared" si="84"/>
        <v>54.1</v>
      </c>
      <c r="BD293" s="35">
        <v>55.2</v>
      </c>
      <c r="BE293" s="35">
        <f t="shared" si="85"/>
        <v>-1.1000000000000001</v>
      </c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9"/>
      <c r="BU293" s="9"/>
      <c r="BV293" s="9"/>
      <c r="BW293" s="9"/>
      <c r="BX293" s="9"/>
      <c r="BY293" s="9"/>
      <c r="BZ293" s="9"/>
      <c r="CA293" s="9"/>
      <c r="CB293" s="9"/>
      <c r="CC293" s="9"/>
      <c r="CD293" s="9"/>
      <c r="CE293" s="9"/>
      <c r="CF293" s="9"/>
      <c r="CG293" s="9"/>
      <c r="CH293" s="9"/>
      <c r="CI293" s="9"/>
      <c r="CJ293" s="9"/>
      <c r="CK293" s="9"/>
      <c r="CL293" s="9"/>
      <c r="CM293" s="9"/>
      <c r="CN293" s="9"/>
      <c r="CO293" s="9"/>
      <c r="CP293" s="9"/>
      <c r="CQ293" s="10"/>
      <c r="CR293" s="9"/>
      <c r="CS293" s="9"/>
      <c r="CT293" s="9"/>
      <c r="CU293" s="9"/>
      <c r="CV293" s="9"/>
      <c r="CW293" s="9"/>
      <c r="CX293" s="9"/>
      <c r="CY293" s="9"/>
      <c r="CZ293" s="9"/>
      <c r="DA293" s="9"/>
      <c r="DB293" s="9"/>
      <c r="DC293" s="9"/>
      <c r="DD293" s="9"/>
      <c r="DE293" s="9"/>
      <c r="DF293" s="9"/>
      <c r="DG293" s="9"/>
      <c r="DH293" s="9"/>
      <c r="DI293" s="9"/>
      <c r="DJ293" s="9"/>
      <c r="DK293" s="9"/>
      <c r="DL293" s="9"/>
      <c r="DM293" s="9"/>
      <c r="DN293" s="9"/>
      <c r="DO293" s="9"/>
      <c r="DP293" s="9"/>
      <c r="DQ293" s="9"/>
      <c r="DR293" s="9"/>
      <c r="DS293" s="10"/>
      <c r="DT293" s="9"/>
      <c r="DU293" s="9"/>
      <c r="DV293" s="9"/>
      <c r="DW293" s="9"/>
      <c r="DX293" s="9"/>
      <c r="DY293" s="9"/>
      <c r="DZ293" s="9"/>
      <c r="EA293" s="9"/>
      <c r="EB293" s="9"/>
      <c r="EC293" s="9"/>
      <c r="ED293" s="9"/>
      <c r="EE293" s="9"/>
      <c r="EF293" s="9"/>
      <c r="EG293" s="9"/>
      <c r="EH293" s="9"/>
      <c r="EI293" s="9"/>
      <c r="EJ293" s="9"/>
      <c r="EK293" s="9"/>
      <c r="EL293" s="9"/>
      <c r="EM293" s="9"/>
      <c r="EN293" s="9"/>
      <c r="EO293" s="9"/>
      <c r="EP293" s="9"/>
      <c r="EQ293" s="9"/>
      <c r="ER293" s="9"/>
      <c r="ES293" s="9"/>
      <c r="ET293" s="9"/>
      <c r="EU293" s="10"/>
      <c r="EV293" s="9"/>
      <c r="EW293" s="9"/>
      <c r="EX293" s="9"/>
      <c r="EY293" s="9"/>
      <c r="EZ293" s="9"/>
      <c r="FA293" s="9"/>
      <c r="FB293" s="9"/>
      <c r="FC293" s="9"/>
      <c r="FD293" s="9"/>
      <c r="FE293" s="9"/>
      <c r="FF293" s="9"/>
      <c r="FG293" s="9"/>
      <c r="FH293" s="9"/>
      <c r="FI293" s="9"/>
      <c r="FJ293" s="9"/>
      <c r="FK293" s="9"/>
      <c r="FL293" s="9"/>
      <c r="FM293" s="9"/>
      <c r="FN293" s="9"/>
      <c r="FO293" s="9"/>
      <c r="FP293" s="9"/>
      <c r="FQ293" s="9"/>
      <c r="FR293" s="9"/>
      <c r="FS293" s="9"/>
      <c r="FT293" s="9"/>
      <c r="FU293" s="9"/>
      <c r="FV293" s="9"/>
      <c r="FW293" s="10"/>
      <c r="FX293" s="9"/>
      <c r="FY293" s="9"/>
      <c r="FZ293" s="9"/>
      <c r="GA293" s="9"/>
      <c r="GB293" s="9"/>
      <c r="GC293" s="9"/>
      <c r="GD293" s="9"/>
      <c r="GE293" s="9"/>
      <c r="GF293" s="9"/>
      <c r="GG293" s="9"/>
      <c r="GH293" s="9"/>
      <c r="GI293" s="9"/>
      <c r="GJ293" s="9"/>
      <c r="GK293" s="9"/>
      <c r="GL293" s="9"/>
      <c r="GM293" s="9"/>
      <c r="GN293" s="9"/>
      <c r="GO293" s="9"/>
      <c r="GP293" s="9"/>
      <c r="GQ293" s="9"/>
      <c r="GR293" s="9"/>
      <c r="GS293" s="9"/>
      <c r="GT293" s="9"/>
      <c r="GU293" s="9"/>
      <c r="GV293" s="9"/>
      <c r="GW293" s="9"/>
      <c r="GX293" s="9"/>
      <c r="GY293" s="10"/>
      <c r="GZ293" s="9"/>
      <c r="HA293" s="9"/>
    </row>
    <row r="294" spans="1:209" s="2" customFormat="1" ht="17" customHeight="1">
      <c r="A294" s="46" t="s">
        <v>287</v>
      </c>
      <c r="B294" s="35">
        <v>0</v>
      </c>
      <c r="C294" s="35">
        <v>0</v>
      </c>
      <c r="D294" s="4">
        <f t="shared" si="72"/>
        <v>0</v>
      </c>
      <c r="E294" s="11">
        <v>0</v>
      </c>
      <c r="F294" s="5" t="s">
        <v>362</v>
      </c>
      <c r="G294" s="5" t="s">
        <v>362</v>
      </c>
      <c r="H294" s="5" t="s">
        <v>362</v>
      </c>
      <c r="I294" s="5" t="s">
        <v>362</v>
      </c>
      <c r="J294" s="5" t="s">
        <v>362</v>
      </c>
      <c r="K294" s="5" t="s">
        <v>362</v>
      </c>
      <c r="L294" s="5" t="s">
        <v>362</v>
      </c>
      <c r="M294" s="5" t="s">
        <v>362</v>
      </c>
      <c r="N294" s="35">
        <v>835.5</v>
      </c>
      <c r="O294" s="35">
        <v>700.3</v>
      </c>
      <c r="P294" s="4">
        <f t="shared" si="73"/>
        <v>0.83818073010173544</v>
      </c>
      <c r="Q294" s="11">
        <v>20</v>
      </c>
      <c r="R294" s="35">
        <v>0</v>
      </c>
      <c r="S294" s="35">
        <v>0</v>
      </c>
      <c r="T294" s="4">
        <f t="shared" si="74"/>
        <v>1</v>
      </c>
      <c r="U294" s="11">
        <v>20</v>
      </c>
      <c r="V294" s="35">
        <v>0</v>
      </c>
      <c r="W294" s="35">
        <v>0</v>
      </c>
      <c r="X294" s="4">
        <f t="shared" si="75"/>
        <v>1</v>
      </c>
      <c r="Y294" s="11">
        <v>30</v>
      </c>
      <c r="Z294" s="35">
        <v>448</v>
      </c>
      <c r="AA294" s="35">
        <v>77</v>
      </c>
      <c r="AB294" s="4">
        <f t="shared" si="76"/>
        <v>0.171875</v>
      </c>
      <c r="AC294" s="11">
        <v>10</v>
      </c>
      <c r="AD294" s="11">
        <v>35</v>
      </c>
      <c r="AE294" s="11">
        <v>38</v>
      </c>
      <c r="AF294" s="4">
        <f t="shared" si="77"/>
        <v>1.0857142857142856</v>
      </c>
      <c r="AG294" s="11">
        <v>20</v>
      </c>
      <c r="AH294" s="5" t="s">
        <v>362</v>
      </c>
      <c r="AI294" s="5" t="s">
        <v>362</v>
      </c>
      <c r="AJ294" s="5" t="s">
        <v>362</v>
      </c>
      <c r="AK294" s="5" t="s">
        <v>362</v>
      </c>
      <c r="AL294" s="5" t="s">
        <v>362</v>
      </c>
      <c r="AM294" s="5" t="s">
        <v>362</v>
      </c>
      <c r="AN294" s="5" t="s">
        <v>362</v>
      </c>
      <c r="AO294" s="5" t="s">
        <v>362</v>
      </c>
      <c r="AP294" s="44">
        <f t="shared" si="86"/>
        <v>0.90196650316320415</v>
      </c>
      <c r="AQ294" s="45">
        <v>40</v>
      </c>
      <c r="AR294" s="35">
        <f t="shared" si="78"/>
        <v>10.909090909090908</v>
      </c>
      <c r="AS294" s="35">
        <f t="shared" si="79"/>
        <v>9.8000000000000007</v>
      </c>
      <c r="AT294" s="35">
        <f t="shared" si="80"/>
        <v>-1.1090909090909076</v>
      </c>
      <c r="AU294" s="35">
        <v>3.1</v>
      </c>
      <c r="AV294" s="35">
        <v>3.9</v>
      </c>
      <c r="AW294" s="35">
        <f t="shared" si="81"/>
        <v>2.8</v>
      </c>
      <c r="AX294" s="35"/>
      <c r="AY294" s="35">
        <f t="shared" si="82"/>
        <v>2.8</v>
      </c>
      <c r="AZ294" s="35">
        <v>0</v>
      </c>
      <c r="BA294" s="35">
        <f t="shared" si="83"/>
        <v>2.8</v>
      </c>
      <c r="BB294" s="35">
        <f>MIN(BA294,1.3)</f>
        <v>1.3</v>
      </c>
      <c r="BC294" s="35">
        <f t="shared" si="84"/>
        <v>1.5</v>
      </c>
      <c r="BD294" s="35">
        <v>2.4</v>
      </c>
      <c r="BE294" s="35">
        <f t="shared" si="85"/>
        <v>-0.9</v>
      </c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9"/>
      <c r="BU294" s="9"/>
      <c r="BV294" s="9"/>
      <c r="BW294" s="9"/>
      <c r="BX294" s="9"/>
      <c r="BY294" s="9"/>
      <c r="BZ294" s="9"/>
      <c r="CA294" s="9"/>
      <c r="CB294" s="9"/>
      <c r="CC294" s="9"/>
      <c r="CD294" s="9"/>
      <c r="CE294" s="9"/>
      <c r="CF294" s="9"/>
      <c r="CG294" s="9"/>
      <c r="CH294" s="9"/>
      <c r="CI294" s="9"/>
      <c r="CJ294" s="9"/>
      <c r="CK294" s="9"/>
      <c r="CL294" s="9"/>
      <c r="CM294" s="9"/>
      <c r="CN294" s="9"/>
      <c r="CO294" s="9"/>
      <c r="CP294" s="9"/>
      <c r="CQ294" s="10"/>
      <c r="CR294" s="9"/>
      <c r="CS294" s="9"/>
      <c r="CT294" s="9"/>
      <c r="CU294" s="9"/>
      <c r="CV294" s="9"/>
      <c r="CW294" s="9"/>
      <c r="CX294" s="9"/>
      <c r="CY294" s="9"/>
      <c r="CZ294" s="9"/>
      <c r="DA294" s="9"/>
      <c r="DB294" s="9"/>
      <c r="DC294" s="9"/>
      <c r="DD294" s="9"/>
      <c r="DE294" s="9"/>
      <c r="DF294" s="9"/>
      <c r="DG294" s="9"/>
      <c r="DH294" s="9"/>
      <c r="DI294" s="9"/>
      <c r="DJ294" s="9"/>
      <c r="DK294" s="9"/>
      <c r="DL294" s="9"/>
      <c r="DM294" s="9"/>
      <c r="DN294" s="9"/>
      <c r="DO294" s="9"/>
      <c r="DP294" s="9"/>
      <c r="DQ294" s="9"/>
      <c r="DR294" s="9"/>
      <c r="DS294" s="10"/>
      <c r="DT294" s="9"/>
      <c r="DU294" s="9"/>
      <c r="DV294" s="9"/>
      <c r="DW294" s="9"/>
      <c r="DX294" s="9"/>
      <c r="DY294" s="9"/>
      <c r="DZ294" s="9"/>
      <c r="EA294" s="9"/>
      <c r="EB294" s="9"/>
      <c r="EC294" s="9"/>
      <c r="ED294" s="9"/>
      <c r="EE294" s="9"/>
      <c r="EF294" s="9"/>
      <c r="EG294" s="9"/>
      <c r="EH294" s="9"/>
      <c r="EI294" s="9"/>
      <c r="EJ294" s="9"/>
      <c r="EK294" s="9"/>
      <c r="EL294" s="9"/>
      <c r="EM294" s="9"/>
      <c r="EN294" s="9"/>
      <c r="EO294" s="9"/>
      <c r="EP294" s="9"/>
      <c r="EQ294" s="9"/>
      <c r="ER294" s="9"/>
      <c r="ES294" s="9"/>
      <c r="ET294" s="9"/>
      <c r="EU294" s="10"/>
      <c r="EV294" s="9"/>
      <c r="EW294" s="9"/>
      <c r="EX294" s="9"/>
      <c r="EY294" s="9"/>
      <c r="EZ294" s="9"/>
      <c r="FA294" s="9"/>
      <c r="FB294" s="9"/>
      <c r="FC294" s="9"/>
      <c r="FD294" s="9"/>
      <c r="FE294" s="9"/>
      <c r="FF294" s="9"/>
      <c r="FG294" s="9"/>
      <c r="FH294" s="9"/>
      <c r="FI294" s="9"/>
      <c r="FJ294" s="9"/>
      <c r="FK294" s="9"/>
      <c r="FL294" s="9"/>
      <c r="FM294" s="9"/>
      <c r="FN294" s="9"/>
      <c r="FO294" s="9"/>
      <c r="FP294" s="9"/>
      <c r="FQ294" s="9"/>
      <c r="FR294" s="9"/>
      <c r="FS294" s="9"/>
      <c r="FT294" s="9"/>
      <c r="FU294" s="9"/>
      <c r="FV294" s="9"/>
      <c r="FW294" s="10"/>
      <c r="FX294" s="9"/>
      <c r="FY294" s="9"/>
      <c r="FZ294" s="9"/>
      <c r="GA294" s="9"/>
      <c r="GB294" s="9"/>
      <c r="GC294" s="9"/>
      <c r="GD294" s="9"/>
      <c r="GE294" s="9"/>
      <c r="GF294" s="9"/>
      <c r="GG294" s="9"/>
      <c r="GH294" s="9"/>
      <c r="GI294" s="9"/>
      <c r="GJ294" s="9"/>
      <c r="GK294" s="9"/>
      <c r="GL294" s="9"/>
      <c r="GM294" s="9"/>
      <c r="GN294" s="9"/>
      <c r="GO294" s="9"/>
      <c r="GP294" s="9"/>
      <c r="GQ294" s="9"/>
      <c r="GR294" s="9"/>
      <c r="GS294" s="9"/>
      <c r="GT294" s="9"/>
      <c r="GU294" s="9"/>
      <c r="GV294" s="9"/>
      <c r="GW294" s="9"/>
      <c r="GX294" s="9"/>
      <c r="GY294" s="10"/>
      <c r="GZ294" s="9"/>
      <c r="HA294" s="9"/>
    </row>
    <row r="295" spans="1:209" s="2" customFormat="1" ht="17" customHeight="1">
      <c r="A295" s="46" t="s">
        <v>288</v>
      </c>
      <c r="B295" s="35">
        <v>10275</v>
      </c>
      <c r="C295" s="35">
        <v>24621.200000000001</v>
      </c>
      <c r="D295" s="4">
        <f t="shared" si="72"/>
        <v>1.3</v>
      </c>
      <c r="E295" s="11">
        <v>10</v>
      </c>
      <c r="F295" s="5" t="s">
        <v>362</v>
      </c>
      <c r="G295" s="5" t="s">
        <v>362</v>
      </c>
      <c r="H295" s="5" t="s">
        <v>362</v>
      </c>
      <c r="I295" s="5" t="s">
        <v>362</v>
      </c>
      <c r="J295" s="5" t="s">
        <v>362</v>
      </c>
      <c r="K295" s="5" t="s">
        <v>362</v>
      </c>
      <c r="L295" s="5" t="s">
        <v>362</v>
      </c>
      <c r="M295" s="5" t="s">
        <v>362</v>
      </c>
      <c r="N295" s="35">
        <v>2398</v>
      </c>
      <c r="O295" s="35">
        <v>2147.1999999999998</v>
      </c>
      <c r="P295" s="4">
        <f t="shared" si="73"/>
        <v>0.89541284403669719</v>
      </c>
      <c r="Q295" s="11">
        <v>20</v>
      </c>
      <c r="R295" s="35">
        <v>0</v>
      </c>
      <c r="S295" s="35">
        <v>0</v>
      </c>
      <c r="T295" s="4">
        <f t="shared" si="74"/>
        <v>1</v>
      </c>
      <c r="U295" s="11">
        <v>20</v>
      </c>
      <c r="V295" s="35">
        <v>0</v>
      </c>
      <c r="W295" s="35">
        <v>0</v>
      </c>
      <c r="X295" s="4">
        <f t="shared" si="75"/>
        <v>1</v>
      </c>
      <c r="Y295" s="11">
        <v>30</v>
      </c>
      <c r="Z295" s="35">
        <v>2007</v>
      </c>
      <c r="AA295" s="35">
        <v>1814</v>
      </c>
      <c r="AB295" s="4">
        <f t="shared" si="76"/>
        <v>0.90383657199800693</v>
      </c>
      <c r="AC295" s="11">
        <v>10</v>
      </c>
      <c r="AD295" s="11">
        <v>265</v>
      </c>
      <c r="AE295" s="11">
        <v>207</v>
      </c>
      <c r="AF295" s="4">
        <f t="shared" si="77"/>
        <v>0.78113207547169816</v>
      </c>
      <c r="AG295" s="11">
        <v>20</v>
      </c>
      <c r="AH295" s="5" t="s">
        <v>362</v>
      </c>
      <c r="AI295" s="5" t="s">
        <v>362</v>
      </c>
      <c r="AJ295" s="5" t="s">
        <v>362</v>
      </c>
      <c r="AK295" s="5" t="s">
        <v>362</v>
      </c>
      <c r="AL295" s="5" t="s">
        <v>362</v>
      </c>
      <c r="AM295" s="5" t="s">
        <v>362</v>
      </c>
      <c r="AN295" s="5" t="s">
        <v>362</v>
      </c>
      <c r="AO295" s="5" t="s">
        <v>362</v>
      </c>
      <c r="AP295" s="44">
        <f t="shared" si="86"/>
        <v>0.95972058281952699</v>
      </c>
      <c r="AQ295" s="45">
        <v>138</v>
      </c>
      <c r="AR295" s="35">
        <f t="shared" si="78"/>
        <v>37.636363636363633</v>
      </c>
      <c r="AS295" s="35">
        <f t="shared" si="79"/>
        <v>36.1</v>
      </c>
      <c r="AT295" s="35">
        <f t="shared" si="80"/>
        <v>-1.5363636363636317</v>
      </c>
      <c r="AU295" s="35">
        <v>13</v>
      </c>
      <c r="AV295" s="35">
        <v>13.7</v>
      </c>
      <c r="AW295" s="35">
        <f t="shared" si="81"/>
        <v>9.4</v>
      </c>
      <c r="AX295" s="35"/>
      <c r="AY295" s="35">
        <f t="shared" si="82"/>
        <v>9.4</v>
      </c>
      <c r="AZ295" s="35">
        <v>0</v>
      </c>
      <c r="BA295" s="35">
        <f t="shared" si="83"/>
        <v>9.4</v>
      </c>
      <c r="BB295" s="35">
        <f>MIN(BA295,0.4)</f>
        <v>0.4</v>
      </c>
      <c r="BC295" s="35">
        <f t="shared" si="84"/>
        <v>9</v>
      </c>
      <c r="BD295" s="35">
        <v>9.1999999999999993</v>
      </c>
      <c r="BE295" s="35">
        <f t="shared" si="85"/>
        <v>-0.2</v>
      </c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9"/>
      <c r="BU295" s="9"/>
      <c r="BV295" s="9"/>
      <c r="BW295" s="9"/>
      <c r="BX295" s="9"/>
      <c r="BY295" s="9"/>
      <c r="BZ295" s="9"/>
      <c r="CA295" s="9"/>
      <c r="CB295" s="9"/>
      <c r="CC295" s="9"/>
      <c r="CD295" s="9"/>
      <c r="CE295" s="9"/>
      <c r="CF295" s="9"/>
      <c r="CG295" s="9"/>
      <c r="CH295" s="9"/>
      <c r="CI295" s="9"/>
      <c r="CJ295" s="9"/>
      <c r="CK295" s="9"/>
      <c r="CL295" s="9"/>
      <c r="CM295" s="9"/>
      <c r="CN295" s="9"/>
      <c r="CO295" s="9"/>
      <c r="CP295" s="9"/>
      <c r="CQ295" s="10"/>
      <c r="CR295" s="9"/>
      <c r="CS295" s="9"/>
      <c r="CT295" s="9"/>
      <c r="CU295" s="9"/>
      <c r="CV295" s="9"/>
      <c r="CW295" s="9"/>
      <c r="CX295" s="9"/>
      <c r="CY295" s="9"/>
      <c r="CZ295" s="9"/>
      <c r="DA295" s="9"/>
      <c r="DB295" s="9"/>
      <c r="DC295" s="9"/>
      <c r="DD295" s="9"/>
      <c r="DE295" s="9"/>
      <c r="DF295" s="9"/>
      <c r="DG295" s="9"/>
      <c r="DH295" s="9"/>
      <c r="DI295" s="9"/>
      <c r="DJ295" s="9"/>
      <c r="DK295" s="9"/>
      <c r="DL295" s="9"/>
      <c r="DM295" s="9"/>
      <c r="DN295" s="9"/>
      <c r="DO295" s="9"/>
      <c r="DP295" s="9"/>
      <c r="DQ295" s="9"/>
      <c r="DR295" s="9"/>
      <c r="DS295" s="10"/>
      <c r="DT295" s="9"/>
      <c r="DU295" s="9"/>
      <c r="DV295" s="9"/>
      <c r="DW295" s="9"/>
      <c r="DX295" s="9"/>
      <c r="DY295" s="9"/>
      <c r="DZ295" s="9"/>
      <c r="EA295" s="9"/>
      <c r="EB295" s="9"/>
      <c r="EC295" s="9"/>
      <c r="ED295" s="9"/>
      <c r="EE295" s="9"/>
      <c r="EF295" s="9"/>
      <c r="EG295" s="9"/>
      <c r="EH295" s="9"/>
      <c r="EI295" s="9"/>
      <c r="EJ295" s="9"/>
      <c r="EK295" s="9"/>
      <c r="EL295" s="9"/>
      <c r="EM295" s="9"/>
      <c r="EN295" s="9"/>
      <c r="EO295" s="9"/>
      <c r="EP295" s="9"/>
      <c r="EQ295" s="9"/>
      <c r="ER295" s="9"/>
      <c r="ES295" s="9"/>
      <c r="ET295" s="9"/>
      <c r="EU295" s="10"/>
      <c r="EV295" s="9"/>
      <c r="EW295" s="9"/>
      <c r="EX295" s="9"/>
      <c r="EY295" s="9"/>
      <c r="EZ295" s="9"/>
      <c r="FA295" s="9"/>
      <c r="FB295" s="9"/>
      <c r="FC295" s="9"/>
      <c r="FD295" s="9"/>
      <c r="FE295" s="9"/>
      <c r="FF295" s="9"/>
      <c r="FG295" s="9"/>
      <c r="FH295" s="9"/>
      <c r="FI295" s="9"/>
      <c r="FJ295" s="9"/>
      <c r="FK295" s="9"/>
      <c r="FL295" s="9"/>
      <c r="FM295" s="9"/>
      <c r="FN295" s="9"/>
      <c r="FO295" s="9"/>
      <c r="FP295" s="9"/>
      <c r="FQ295" s="9"/>
      <c r="FR295" s="9"/>
      <c r="FS295" s="9"/>
      <c r="FT295" s="9"/>
      <c r="FU295" s="9"/>
      <c r="FV295" s="9"/>
      <c r="FW295" s="10"/>
      <c r="FX295" s="9"/>
      <c r="FY295" s="9"/>
      <c r="FZ295" s="9"/>
      <c r="GA295" s="9"/>
      <c r="GB295" s="9"/>
      <c r="GC295" s="9"/>
      <c r="GD295" s="9"/>
      <c r="GE295" s="9"/>
      <c r="GF295" s="9"/>
      <c r="GG295" s="9"/>
      <c r="GH295" s="9"/>
      <c r="GI295" s="9"/>
      <c r="GJ295" s="9"/>
      <c r="GK295" s="9"/>
      <c r="GL295" s="9"/>
      <c r="GM295" s="9"/>
      <c r="GN295" s="9"/>
      <c r="GO295" s="9"/>
      <c r="GP295" s="9"/>
      <c r="GQ295" s="9"/>
      <c r="GR295" s="9"/>
      <c r="GS295" s="9"/>
      <c r="GT295" s="9"/>
      <c r="GU295" s="9"/>
      <c r="GV295" s="9"/>
      <c r="GW295" s="9"/>
      <c r="GX295" s="9"/>
      <c r="GY295" s="10"/>
      <c r="GZ295" s="9"/>
      <c r="HA295" s="9"/>
    </row>
    <row r="296" spans="1:209" s="2" customFormat="1" ht="17" customHeight="1">
      <c r="A296" s="46" t="s">
        <v>289</v>
      </c>
      <c r="B296" s="35">
        <v>346335</v>
      </c>
      <c r="C296" s="35">
        <v>473785.3</v>
      </c>
      <c r="D296" s="4">
        <f t="shared" si="72"/>
        <v>1.2167997170369729</v>
      </c>
      <c r="E296" s="11">
        <v>10</v>
      </c>
      <c r="F296" s="5" t="s">
        <v>362</v>
      </c>
      <c r="G296" s="5" t="s">
        <v>362</v>
      </c>
      <c r="H296" s="5" t="s">
        <v>362</v>
      </c>
      <c r="I296" s="5" t="s">
        <v>362</v>
      </c>
      <c r="J296" s="5" t="s">
        <v>362</v>
      </c>
      <c r="K296" s="5" t="s">
        <v>362</v>
      </c>
      <c r="L296" s="5" t="s">
        <v>362</v>
      </c>
      <c r="M296" s="5" t="s">
        <v>362</v>
      </c>
      <c r="N296" s="35">
        <v>10556.2</v>
      </c>
      <c r="O296" s="35">
        <v>7833.2</v>
      </c>
      <c r="P296" s="4">
        <f t="shared" si="73"/>
        <v>0.74204732763683889</v>
      </c>
      <c r="Q296" s="11">
        <v>20</v>
      </c>
      <c r="R296" s="35">
        <v>0</v>
      </c>
      <c r="S296" s="35">
        <v>0</v>
      </c>
      <c r="T296" s="4">
        <f t="shared" si="74"/>
        <v>1</v>
      </c>
      <c r="U296" s="11">
        <v>40</v>
      </c>
      <c r="V296" s="35">
        <v>0</v>
      </c>
      <c r="W296" s="35">
        <v>0</v>
      </c>
      <c r="X296" s="4">
        <f t="shared" si="75"/>
        <v>1</v>
      </c>
      <c r="Y296" s="11">
        <v>10</v>
      </c>
      <c r="Z296" s="35">
        <v>179128</v>
      </c>
      <c r="AA296" s="35">
        <v>157884</v>
      </c>
      <c r="AB296" s="4">
        <f t="shared" si="76"/>
        <v>0.88140324237416823</v>
      </c>
      <c r="AC296" s="11">
        <v>10</v>
      </c>
      <c r="AD296" s="11">
        <v>22</v>
      </c>
      <c r="AE296" s="11">
        <v>26</v>
      </c>
      <c r="AF296" s="4">
        <f t="shared" si="77"/>
        <v>1.1818181818181819</v>
      </c>
      <c r="AG296" s="11">
        <v>20</v>
      </c>
      <c r="AH296" s="5" t="s">
        <v>362</v>
      </c>
      <c r="AI296" s="5" t="s">
        <v>362</v>
      </c>
      <c r="AJ296" s="5" t="s">
        <v>362</v>
      </c>
      <c r="AK296" s="5" t="s">
        <v>362</v>
      </c>
      <c r="AL296" s="5" t="s">
        <v>362</v>
      </c>
      <c r="AM296" s="5" t="s">
        <v>362</v>
      </c>
      <c r="AN296" s="5" t="s">
        <v>362</v>
      </c>
      <c r="AO296" s="5" t="s">
        <v>362</v>
      </c>
      <c r="AP296" s="44">
        <f t="shared" si="86"/>
        <v>0.99508490712010755</v>
      </c>
      <c r="AQ296" s="45">
        <v>27</v>
      </c>
      <c r="AR296" s="35">
        <f t="shared" si="78"/>
        <v>7.3636363636363633</v>
      </c>
      <c r="AS296" s="35">
        <f t="shared" si="79"/>
        <v>7.3</v>
      </c>
      <c r="AT296" s="35">
        <f t="shared" si="80"/>
        <v>-6.3636363636363491E-2</v>
      </c>
      <c r="AU296" s="35">
        <v>2.2999999999999998</v>
      </c>
      <c r="AV296" s="35">
        <v>2.4</v>
      </c>
      <c r="AW296" s="35">
        <f t="shared" si="81"/>
        <v>2.6</v>
      </c>
      <c r="AX296" s="35"/>
      <c r="AY296" s="35">
        <f t="shared" si="82"/>
        <v>2.6</v>
      </c>
      <c r="AZ296" s="35">
        <v>0</v>
      </c>
      <c r="BA296" s="35">
        <f t="shared" si="83"/>
        <v>2.6</v>
      </c>
      <c r="BB296" s="35"/>
      <c r="BC296" s="35">
        <f t="shared" si="84"/>
        <v>2.6</v>
      </c>
      <c r="BD296" s="35">
        <v>2.7</v>
      </c>
      <c r="BE296" s="35">
        <f t="shared" si="85"/>
        <v>-0.1</v>
      </c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9"/>
      <c r="BU296" s="9"/>
      <c r="BV296" s="9"/>
      <c r="BW296" s="9"/>
      <c r="BX296" s="9"/>
      <c r="BY296" s="9"/>
      <c r="BZ296" s="9"/>
      <c r="CA296" s="9"/>
      <c r="CB296" s="9"/>
      <c r="CC296" s="9"/>
      <c r="CD296" s="9"/>
      <c r="CE296" s="9"/>
      <c r="CF296" s="9"/>
      <c r="CG296" s="9"/>
      <c r="CH296" s="9"/>
      <c r="CI296" s="9"/>
      <c r="CJ296" s="9"/>
      <c r="CK296" s="9"/>
      <c r="CL296" s="9"/>
      <c r="CM296" s="9"/>
      <c r="CN296" s="9"/>
      <c r="CO296" s="9"/>
      <c r="CP296" s="9"/>
      <c r="CQ296" s="10"/>
      <c r="CR296" s="9"/>
      <c r="CS296" s="9"/>
      <c r="CT296" s="9"/>
      <c r="CU296" s="9"/>
      <c r="CV296" s="9"/>
      <c r="CW296" s="9"/>
      <c r="CX296" s="9"/>
      <c r="CY296" s="9"/>
      <c r="CZ296" s="9"/>
      <c r="DA296" s="9"/>
      <c r="DB296" s="9"/>
      <c r="DC296" s="9"/>
      <c r="DD296" s="9"/>
      <c r="DE296" s="9"/>
      <c r="DF296" s="9"/>
      <c r="DG296" s="9"/>
      <c r="DH296" s="9"/>
      <c r="DI296" s="9"/>
      <c r="DJ296" s="9"/>
      <c r="DK296" s="9"/>
      <c r="DL296" s="9"/>
      <c r="DM296" s="9"/>
      <c r="DN296" s="9"/>
      <c r="DO296" s="9"/>
      <c r="DP296" s="9"/>
      <c r="DQ296" s="9"/>
      <c r="DR296" s="9"/>
      <c r="DS296" s="10"/>
      <c r="DT296" s="9"/>
      <c r="DU296" s="9"/>
      <c r="DV296" s="9"/>
      <c r="DW296" s="9"/>
      <c r="DX296" s="9"/>
      <c r="DY296" s="9"/>
      <c r="DZ296" s="9"/>
      <c r="EA296" s="9"/>
      <c r="EB296" s="9"/>
      <c r="EC296" s="9"/>
      <c r="ED296" s="9"/>
      <c r="EE296" s="9"/>
      <c r="EF296" s="9"/>
      <c r="EG296" s="9"/>
      <c r="EH296" s="9"/>
      <c r="EI296" s="9"/>
      <c r="EJ296" s="9"/>
      <c r="EK296" s="9"/>
      <c r="EL296" s="9"/>
      <c r="EM296" s="9"/>
      <c r="EN296" s="9"/>
      <c r="EO296" s="9"/>
      <c r="EP296" s="9"/>
      <c r="EQ296" s="9"/>
      <c r="ER296" s="9"/>
      <c r="ES296" s="9"/>
      <c r="ET296" s="9"/>
      <c r="EU296" s="10"/>
      <c r="EV296" s="9"/>
      <c r="EW296" s="9"/>
      <c r="EX296" s="9"/>
      <c r="EY296" s="9"/>
      <c r="EZ296" s="9"/>
      <c r="FA296" s="9"/>
      <c r="FB296" s="9"/>
      <c r="FC296" s="9"/>
      <c r="FD296" s="9"/>
      <c r="FE296" s="9"/>
      <c r="FF296" s="9"/>
      <c r="FG296" s="9"/>
      <c r="FH296" s="9"/>
      <c r="FI296" s="9"/>
      <c r="FJ296" s="9"/>
      <c r="FK296" s="9"/>
      <c r="FL296" s="9"/>
      <c r="FM296" s="9"/>
      <c r="FN296" s="9"/>
      <c r="FO296" s="9"/>
      <c r="FP296" s="9"/>
      <c r="FQ296" s="9"/>
      <c r="FR296" s="9"/>
      <c r="FS296" s="9"/>
      <c r="FT296" s="9"/>
      <c r="FU296" s="9"/>
      <c r="FV296" s="9"/>
      <c r="FW296" s="10"/>
      <c r="FX296" s="9"/>
      <c r="FY296" s="9"/>
      <c r="FZ296" s="9"/>
      <c r="GA296" s="9"/>
      <c r="GB296" s="9"/>
      <c r="GC296" s="9"/>
      <c r="GD296" s="9"/>
      <c r="GE296" s="9"/>
      <c r="GF296" s="9"/>
      <c r="GG296" s="9"/>
      <c r="GH296" s="9"/>
      <c r="GI296" s="9"/>
      <c r="GJ296" s="9"/>
      <c r="GK296" s="9"/>
      <c r="GL296" s="9"/>
      <c r="GM296" s="9"/>
      <c r="GN296" s="9"/>
      <c r="GO296" s="9"/>
      <c r="GP296" s="9"/>
      <c r="GQ296" s="9"/>
      <c r="GR296" s="9"/>
      <c r="GS296" s="9"/>
      <c r="GT296" s="9"/>
      <c r="GU296" s="9"/>
      <c r="GV296" s="9"/>
      <c r="GW296" s="9"/>
      <c r="GX296" s="9"/>
      <c r="GY296" s="10"/>
      <c r="GZ296" s="9"/>
      <c r="HA296" s="9"/>
    </row>
    <row r="297" spans="1:209" s="2" customFormat="1" ht="17" customHeight="1">
      <c r="A297" s="46" t="s">
        <v>290</v>
      </c>
      <c r="B297" s="35">
        <v>9064</v>
      </c>
      <c r="C297" s="35">
        <v>54216.3</v>
      </c>
      <c r="D297" s="4">
        <f t="shared" si="72"/>
        <v>1.3</v>
      </c>
      <c r="E297" s="11">
        <v>10</v>
      </c>
      <c r="F297" s="5" t="s">
        <v>362</v>
      </c>
      <c r="G297" s="5" t="s">
        <v>362</v>
      </c>
      <c r="H297" s="5" t="s">
        <v>362</v>
      </c>
      <c r="I297" s="5" t="s">
        <v>362</v>
      </c>
      <c r="J297" s="5" t="s">
        <v>362</v>
      </c>
      <c r="K297" s="5" t="s">
        <v>362</v>
      </c>
      <c r="L297" s="5" t="s">
        <v>362</v>
      </c>
      <c r="M297" s="5" t="s">
        <v>362</v>
      </c>
      <c r="N297" s="35">
        <v>2327.1999999999998</v>
      </c>
      <c r="O297" s="35">
        <v>3036.5</v>
      </c>
      <c r="P297" s="4">
        <f t="shared" si="73"/>
        <v>1.2104786868339636</v>
      </c>
      <c r="Q297" s="11">
        <v>20</v>
      </c>
      <c r="R297" s="35">
        <v>0</v>
      </c>
      <c r="S297" s="35">
        <v>0</v>
      </c>
      <c r="T297" s="4">
        <f t="shared" si="74"/>
        <v>1</v>
      </c>
      <c r="U297" s="11">
        <v>10</v>
      </c>
      <c r="V297" s="35">
        <v>0</v>
      </c>
      <c r="W297" s="35">
        <v>0</v>
      </c>
      <c r="X297" s="4">
        <f t="shared" si="75"/>
        <v>1</v>
      </c>
      <c r="Y297" s="11">
        <v>40</v>
      </c>
      <c r="Z297" s="35">
        <v>27178</v>
      </c>
      <c r="AA297" s="35">
        <v>10509</v>
      </c>
      <c r="AB297" s="4">
        <f t="shared" si="76"/>
        <v>0.38667304437412614</v>
      </c>
      <c r="AC297" s="11">
        <v>10</v>
      </c>
      <c r="AD297" s="11">
        <v>20</v>
      </c>
      <c r="AE297" s="11">
        <v>18</v>
      </c>
      <c r="AF297" s="4">
        <f t="shared" si="77"/>
        <v>0.9</v>
      </c>
      <c r="AG297" s="11">
        <v>20</v>
      </c>
      <c r="AH297" s="5" t="s">
        <v>362</v>
      </c>
      <c r="AI297" s="5" t="s">
        <v>362</v>
      </c>
      <c r="AJ297" s="5" t="s">
        <v>362</v>
      </c>
      <c r="AK297" s="5" t="s">
        <v>362</v>
      </c>
      <c r="AL297" s="5" t="s">
        <v>362</v>
      </c>
      <c r="AM297" s="5" t="s">
        <v>362</v>
      </c>
      <c r="AN297" s="5" t="s">
        <v>362</v>
      </c>
      <c r="AO297" s="5" t="s">
        <v>362</v>
      </c>
      <c r="AP297" s="44">
        <f t="shared" si="86"/>
        <v>0.99160276527655034</v>
      </c>
      <c r="AQ297" s="45">
        <v>23</v>
      </c>
      <c r="AR297" s="35">
        <f t="shared" si="78"/>
        <v>6.2727272727272725</v>
      </c>
      <c r="AS297" s="35">
        <f t="shared" si="79"/>
        <v>6.2</v>
      </c>
      <c r="AT297" s="35">
        <f t="shared" si="80"/>
        <v>-7.2727272727272307E-2</v>
      </c>
      <c r="AU297" s="35">
        <v>2</v>
      </c>
      <c r="AV297" s="35">
        <v>2.2999999999999998</v>
      </c>
      <c r="AW297" s="35">
        <f t="shared" si="81"/>
        <v>1.9</v>
      </c>
      <c r="AX297" s="35"/>
      <c r="AY297" s="35">
        <f t="shared" si="82"/>
        <v>1.9</v>
      </c>
      <c r="AZ297" s="35">
        <v>0</v>
      </c>
      <c r="BA297" s="35">
        <f t="shared" si="83"/>
        <v>1.9</v>
      </c>
      <c r="BB297" s="35">
        <f>MIN(BA297,0.5)</f>
        <v>0.5</v>
      </c>
      <c r="BC297" s="35">
        <f t="shared" si="84"/>
        <v>1.4</v>
      </c>
      <c r="BD297" s="35">
        <v>1.8</v>
      </c>
      <c r="BE297" s="35">
        <f t="shared" si="85"/>
        <v>-0.4</v>
      </c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9"/>
      <c r="BU297" s="9"/>
      <c r="BV297" s="9"/>
      <c r="BW297" s="9"/>
      <c r="BX297" s="9"/>
      <c r="BY297" s="9"/>
      <c r="BZ297" s="9"/>
      <c r="CA297" s="9"/>
      <c r="CB297" s="9"/>
      <c r="CC297" s="9"/>
      <c r="CD297" s="9"/>
      <c r="CE297" s="9"/>
      <c r="CF297" s="9"/>
      <c r="CG297" s="9"/>
      <c r="CH297" s="9"/>
      <c r="CI297" s="9"/>
      <c r="CJ297" s="9"/>
      <c r="CK297" s="9"/>
      <c r="CL297" s="9"/>
      <c r="CM297" s="9"/>
      <c r="CN297" s="9"/>
      <c r="CO297" s="9"/>
      <c r="CP297" s="9"/>
      <c r="CQ297" s="10"/>
      <c r="CR297" s="9"/>
      <c r="CS297" s="9"/>
      <c r="CT297" s="9"/>
      <c r="CU297" s="9"/>
      <c r="CV297" s="9"/>
      <c r="CW297" s="9"/>
      <c r="CX297" s="9"/>
      <c r="CY297" s="9"/>
      <c r="CZ297" s="9"/>
      <c r="DA297" s="9"/>
      <c r="DB297" s="9"/>
      <c r="DC297" s="9"/>
      <c r="DD297" s="9"/>
      <c r="DE297" s="9"/>
      <c r="DF297" s="9"/>
      <c r="DG297" s="9"/>
      <c r="DH297" s="9"/>
      <c r="DI297" s="9"/>
      <c r="DJ297" s="9"/>
      <c r="DK297" s="9"/>
      <c r="DL297" s="9"/>
      <c r="DM297" s="9"/>
      <c r="DN297" s="9"/>
      <c r="DO297" s="9"/>
      <c r="DP297" s="9"/>
      <c r="DQ297" s="9"/>
      <c r="DR297" s="9"/>
      <c r="DS297" s="10"/>
      <c r="DT297" s="9"/>
      <c r="DU297" s="9"/>
      <c r="DV297" s="9"/>
      <c r="DW297" s="9"/>
      <c r="DX297" s="9"/>
      <c r="DY297" s="9"/>
      <c r="DZ297" s="9"/>
      <c r="EA297" s="9"/>
      <c r="EB297" s="9"/>
      <c r="EC297" s="9"/>
      <c r="ED297" s="9"/>
      <c r="EE297" s="9"/>
      <c r="EF297" s="9"/>
      <c r="EG297" s="9"/>
      <c r="EH297" s="9"/>
      <c r="EI297" s="9"/>
      <c r="EJ297" s="9"/>
      <c r="EK297" s="9"/>
      <c r="EL297" s="9"/>
      <c r="EM297" s="9"/>
      <c r="EN297" s="9"/>
      <c r="EO297" s="9"/>
      <c r="EP297" s="9"/>
      <c r="EQ297" s="9"/>
      <c r="ER297" s="9"/>
      <c r="ES297" s="9"/>
      <c r="ET297" s="9"/>
      <c r="EU297" s="10"/>
      <c r="EV297" s="9"/>
      <c r="EW297" s="9"/>
      <c r="EX297" s="9"/>
      <c r="EY297" s="9"/>
      <c r="EZ297" s="9"/>
      <c r="FA297" s="9"/>
      <c r="FB297" s="9"/>
      <c r="FC297" s="9"/>
      <c r="FD297" s="9"/>
      <c r="FE297" s="9"/>
      <c r="FF297" s="9"/>
      <c r="FG297" s="9"/>
      <c r="FH297" s="9"/>
      <c r="FI297" s="9"/>
      <c r="FJ297" s="9"/>
      <c r="FK297" s="9"/>
      <c r="FL297" s="9"/>
      <c r="FM297" s="9"/>
      <c r="FN297" s="9"/>
      <c r="FO297" s="9"/>
      <c r="FP297" s="9"/>
      <c r="FQ297" s="9"/>
      <c r="FR297" s="9"/>
      <c r="FS297" s="9"/>
      <c r="FT297" s="9"/>
      <c r="FU297" s="9"/>
      <c r="FV297" s="9"/>
      <c r="FW297" s="10"/>
      <c r="FX297" s="9"/>
      <c r="FY297" s="9"/>
      <c r="FZ297" s="9"/>
      <c r="GA297" s="9"/>
      <c r="GB297" s="9"/>
      <c r="GC297" s="9"/>
      <c r="GD297" s="9"/>
      <c r="GE297" s="9"/>
      <c r="GF297" s="9"/>
      <c r="GG297" s="9"/>
      <c r="GH297" s="9"/>
      <c r="GI297" s="9"/>
      <c r="GJ297" s="9"/>
      <c r="GK297" s="9"/>
      <c r="GL297" s="9"/>
      <c r="GM297" s="9"/>
      <c r="GN297" s="9"/>
      <c r="GO297" s="9"/>
      <c r="GP297" s="9"/>
      <c r="GQ297" s="9"/>
      <c r="GR297" s="9"/>
      <c r="GS297" s="9"/>
      <c r="GT297" s="9"/>
      <c r="GU297" s="9"/>
      <c r="GV297" s="9"/>
      <c r="GW297" s="9"/>
      <c r="GX297" s="9"/>
      <c r="GY297" s="10"/>
      <c r="GZ297" s="9"/>
      <c r="HA297" s="9"/>
    </row>
    <row r="298" spans="1:209" s="2" customFormat="1" ht="17" customHeight="1">
      <c r="A298" s="46" t="s">
        <v>291</v>
      </c>
      <c r="B298" s="35">
        <v>0</v>
      </c>
      <c r="C298" s="35">
        <v>0</v>
      </c>
      <c r="D298" s="4">
        <f t="shared" si="72"/>
        <v>0</v>
      </c>
      <c r="E298" s="11">
        <v>0</v>
      </c>
      <c r="F298" s="5" t="s">
        <v>362</v>
      </c>
      <c r="G298" s="5" t="s">
        <v>362</v>
      </c>
      <c r="H298" s="5" t="s">
        <v>362</v>
      </c>
      <c r="I298" s="5" t="s">
        <v>362</v>
      </c>
      <c r="J298" s="5" t="s">
        <v>362</v>
      </c>
      <c r="K298" s="5" t="s">
        <v>362</v>
      </c>
      <c r="L298" s="5" t="s">
        <v>362</v>
      </c>
      <c r="M298" s="5" t="s">
        <v>362</v>
      </c>
      <c r="N298" s="35">
        <v>324.60000000000002</v>
      </c>
      <c r="O298" s="35">
        <v>244.3</v>
      </c>
      <c r="P298" s="4">
        <f t="shared" si="73"/>
        <v>0.75261860751694387</v>
      </c>
      <c r="Q298" s="11">
        <v>20</v>
      </c>
      <c r="R298" s="35">
        <v>0</v>
      </c>
      <c r="S298" s="35">
        <v>0</v>
      </c>
      <c r="T298" s="4">
        <f t="shared" si="74"/>
        <v>1</v>
      </c>
      <c r="U298" s="11">
        <v>30</v>
      </c>
      <c r="V298" s="35">
        <v>0</v>
      </c>
      <c r="W298" s="35">
        <v>0</v>
      </c>
      <c r="X298" s="4">
        <f t="shared" si="75"/>
        <v>1</v>
      </c>
      <c r="Y298" s="11">
        <v>20</v>
      </c>
      <c r="Z298" s="35">
        <v>1544</v>
      </c>
      <c r="AA298" s="35">
        <v>1299</v>
      </c>
      <c r="AB298" s="4">
        <f t="shared" si="76"/>
        <v>0.84132124352331605</v>
      </c>
      <c r="AC298" s="11">
        <v>10</v>
      </c>
      <c r="AD298" s="11">
        <v>118</v>
      </c>
      <c r="AE298" s="11">
        <v>118</v>
      </c>
      <c r="AF298" s="4">
        <f t="shared" si="77"/>
        <v>1</v>
      </c>
      <c r="AG298" s="11">
        <v>20</v>
      </c>
      <c r="AH298" s="5" t="s">
        <v>362</v>
      </c>
      <c r="AI298" s="5" t="s">
        <v>362</v>
      </c>
      <c r="AJ298" s="5" t="s">
        <v>362</v>
      </c>
      <c r="AK298" s="5" t="s">
        <v>362</v>
      </c>
      <c r="AL298" s="5" t="s">
        <v>362</v>
      </c>
      <c r="AM298" s="5" t="s">
        <v>362</v>
      </c>
      <c r="AN298" s="5" t="s">
        <v>362</v>
      </c>
      <c r="AO298" s="5" t="s">
        <v>362</v>
      </c>
      <c r="AP298" s="44">
        <f t="shared" si="86"/>
        <v>0.93465584585572037</v>
      </c>
      <c r="AQ298" s="45">
        <v>463</v>
      </c>
      <c r="AR298" s="35">
        <f t="shared" si="78"/>
        <v>126.27272727272728</v>
      </c>
      <c r="AS298" s="35">
        <f t="shared" si="79"/>
        <v>118</v>
      </c>
      <c r="AT298" s="35">
        <f t="shared" si="80"/>
        <v>-8.2727272727272805</v>
      </c>
      <c r="AU298" s="35">
        <v>39.200000000000003</v>
      </c>
      <c r="AV298" s="35">
        <v>33.200000000000003</v>
      </c>
      <c r="AW298" s="35">
        <f t="shared" si="81"/>
        <v>45.6</v>
      </c>
      <c r="AX298" s="35"/>
      <c r="AY298" s="35">
        <f t="shared" si="82"/>
        <v>45.6</v>
      </c>
      <c r="AZ298" s="35">
        <v>0</v>
      </c>
      <c r="BA298" s="35">
        <f t="shared" si="83"/>
        <v>45.6</v>
      </c>
      <c r="BB298" s="35"/>
      <c r="BC298" s="35">
        <f t="shared" si="84"/>
        <v>45.6</v>
      </c>
      <c r="BD298" s="35">
        <v>46.9</v>
      </c>
      <c r="BE298" s="35">
        <f t="shared" si="85"/>
        <v>-1.3</v>
      </c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9"/>
      <c r="BU298" s="9"/>
      <c r="BV298" s="9"/>
      <c r="BW298" s="9"/>
      <c r="BX298" s="9"/>
      <c r="BY298" s="9"/>
      <c r="BZ298" s="9"/>
      <c r="CA298" s="9"/>
      <c r="CB298" s="9"/>
      <c r="CC298" s="9"/>
      <c r="CD298" s="9"/>
      <c r="CE298" s="9"/>
      <c r="CF298" s="9"/>
      <c r="CG298" s="9"/>
      <c r="CH298" s="9"/>
      <c r="CI298" s="9"/>
      <c r="CJ298" s="9"/>
      <c r="CK298" s="9"/>
      <c r="CL298" s="9"/>
      <c r="CM298" s="9"/>
      <c r="CN298" s="9"/>
      <c r="CO298" s="9"/>
      <c r="CP298" s="9"/>
      <c r="CQ298" s="10"/>
      <c r="CR298" s="9"/>
      <c r="CS298" s="9"/>
      <c r="CT298" s="9"/>
      <c r="CU298" s="9"/>
      <c r="CV298" s="9"/>
      <c r="CW298" s="9"/>
      <c r="CX298" s="9"/>
      <c r="CY298" s="9"/>
      <c r="CZ298" s="9"/>
      <c r="DA298" s="9"/>
      <c r="DB298" s="9"/>
      <c r="DC298" s="9"/>
      <c r="DD298" s="9"/>
      <c r="DE298" s="9"/>
      <c r="DF298" s="9"/>
      <c r="DG298" s="9"/>
      <c r="DH298" s="9"/>
      <c r="DI298" s="9"/>
      <c r="DJ298" s="9"/>
      <c r="DK298" s="9"/>
      <c r="DL298" s="9"/>
      <c r="DM298" s="9"/>
      <c r="DN298" s="9"/>
      <c r="DO298" s="9"/>
      <c r="DP298" s="9"/>
      <c r="DQ298" s="9"/>
      <c r="DR298" s="9"/>
      <c r="DS298" s="10"/>
      <c r="DT298" s="9"/>
      <c r="DU298" s="9"/>
      <c r="DV298" s="9"/>
      <c r="DW298" s="9"/>
      <c r="DX298" s="9"/>
      <c r="DY298" s="9"/>
      <c r="DZ298" s="9"/>
      <c r="EA298" s="9"/>
      <c r="EB298" s="9"/>
      <c r="EC298" s="9"/>
      <c r="ED298" s="9"/>
      <c r="EE298" s="9"/>
      <c r="EF298" s="9"/>
      <c r="EG298" s="9"/>
      <c r="EH298" s="9"/>
      <c r="EI298" s="9"/>
      <c r="EJ298" s="9"/>
      <c r="EK298" s="9"/>
      <c r="EL298" s="9"/>
      <c r="EM298" s="9"/>
      <c r="EN298" s="9"/>
      <c r="EO298" s="9"/>
      <c r="EP298" s="9"/>
      <c r="EQ298" s="9"/>
      <c r="ER298" s="9"/>
      <c r="ES298" s="9"/>
      <c r="ET298" s="9"/>
      <c r="EU298" s="10"/>
      <c r="EV298" s="9"/>
      <c r="EW298" s="9"/>
      <c r="EX298" s="9"/>
      <c r="EY298" s="9"/>
      <c r="EZ298" s="9"/>
      <c r="FA298" s="9"/>
      <c r="FB298" s="9"/>
      <c r="FC298" s="9"/>
      <c r="FD298" s="9"/>
      <c r="FE298" s="9"/>
      <c r="FF298" s="9"/>
      <c r="FG298" s="9"/>
      <c r="FH298" s="9"/>
      <c r="FI298" s="9"/>
      <c r="FJ298" s="9"/>
      <c r="FK298" s="9"/>
      <c r="FL298" s="9"/>
      <c r="FM298" s="9"/>
      <c r="FN298" s="9"/>
      <c r="FO298" s="9"/>
      <c r="FP298" s="9"/>
      <c r="FQ298" s="9"/>
      <c r="FR298" s="9"/>
      <c r="FS298" s="9"/>
      <c r="FT298" s="9"/>
      <c r="FU298" s="9"/>
      <c r="FV298" s="9"/>
      <c r="FW298" s="10"/>
      <c r="FX298" s="9"/>
      <c r="FY298" s="9"/>
      <c r="FZ298" s="9"/>
      <c r="GA298" s="9"/>
      <c r="GB298" s="9"/>
      <c r="GC298" s="9"/>
      <c r="GD298" s="9"/>
      <c r="GE298" s="9"/>
      <c r="GF298" s="9"/>
      <c r="GG298" s="9"/>
      <c r="GH298" s="9"/>
      <c r="GI298" s="9"/>
      <c r="GJ298" s="9"/>
      <c r="GK298" s="9"/>
      <c r="GL298" s="9"/>
      <c r="GM298" s="9"/>
      <c r="GN298" s="9"/>
      <c r="GO298" s="9"/>
      <c r="GP298" s="9"/>
      <c r="GQ298" s="9"/>
      <c r="GR298" s="9"/>
      <c r="GS298" s="9"/>
      <c r="GT298" s="9"/>
      <c r="GU298" s="9"/>
      <c r="GV298" s="9"/>
      <c r="GW298" s="9"/>
      <c r="GX298" s="9"/>
      <c r="GY298" s="10"/>
      <c r="GZ298" s="9"/>
      <c r="HA298" s="9"/>
    </row>
    <row r="299" spans="1:209" s="2" customFormat="1" ht="17" customHeight="1">
      <c r="A299" s="46" t="s">
        <v>292</v>
      </c>
      <c r="B299" s="35">
        <v>2290</v>
      </c>
      <c r="C299" s="35">
        <v>1253.7</v>
      </c>
      <c r="D299" s="4">
        <f t="shared" si="72"/>
        <v>0.54746724890829701</v>
      </c>
      <c r="E299" s="11">
        <v>10</v>
      </c>
      <c r="F299" s="5" t="s">
        <v>362</v>
      </c>
      <c r="G299" s="5" t="s">
        <v>362</v>
      </c>
      <c r="H299" s="5" t="s">
        <v>362</v>
      </c>
      <c r="I299" s="5" t="s">
        <v>362</v>
      </c>
      <c r="J299" s="5" t="s">
        <v>362</v>
      </c>
      <c r="K299" s="5" t="s">
        <v>362</v>
      </c>
      <c r="L299" s="5" t="s">
        <v>362</v>
      </c>
      <c r="M299" s="5" t="s">
        <v>362</v>
      </c>
      <c r="N299" s="35">
        <v>1085.4000000000001</v>
      </c>
      <c r="O299" s="35">
        <v>391.4</v>
      </c>
      <c r="P299" s="4">
        <f t="shared" si="73"/>
        <v>0.36060438548000734</v>
      </c>
      <c r="Q299" s="11">
        <v>20</v>
      </c>
      <c r="R299" s="35">
        <v>0</v>
      </c>
      <c r="S299" s="35">
        <v>0.4</v>
      </c>
      <c r="T299" s="4">
        <f t="shared" si="74"/>
        <v>1</v>
      </c>
      <c r="U299" s="11">
        <v>35</v>
      </c>
      <c r="V299" s="35">
        <v>0</v>
      </c>
      <c r="W299" s="35">
        <v>0</v>
      </c>
      <c r="X299" s="4">
        <f t="shared" si="75"/>
        <v>1</v>
      </c>
      <c r="Y299" s="11">
        <v>15</v>
      </c>
      <c r="Z299" s="35">
        <v>10809</v>
      </c>
      <c r="AA299" s="35">
        <v>8966</v>
      </c>
      <c r="AB299" s="4">
        <f t="shared" si="76"/>
        <v>0.82949394023498935</v>
      </c>
      <c r="AC299" s="11">
        <v>10</v>
      </c>
      <c r="AD299" s="11">
        <v>169</v>
      </c>
      <c r="AE299" s="11">
        <v>268</v>
      </c>
      <c r="AF299" s="4">
        <f t="shared" si="77"/>
        <v>1.2385798816568048</v>
      </c>
      <c r="AG299" s="11">
        <v>20</v>
      </c>
      <c r="AH299" s="5" t="s">
        <v>362</v>
      </c>
      <c r="AI299" s="5" t="s">
        <v>362</v>
      </c>
      <c r="AJ299" s="5" t="s">
        <v>362</v>
      </c>
      <c r="AK299" s="5" t="s">
        <v>362</v>
      </c>
      <c r="AL299" s="5" t="s">
        <v>362</v>
      </c>
      <c r="AM299" s="5" t="s">
        <v>362</v>
      </c>
      <c r="AN299" s="5" t="s">
        <v>362</v>
      </c>
      <c r="AO299" s="5" t="s">
        <v>362</v>
      </c>
      <c r="AP299" s="44">
        <f t="shared" si="86"/>
        <v>0.87048452031062828</v>
      </c>
      <c r="AQ299" s="45">
        <v>738</v>
      </c>
      <c r="AR299" s="35">
        <f t="shared" si="78"/>
        <v>201.27272727272728</v>
      </c>
      <c r="AS299" s="35">
        <f t="shared" si="79"/>
        <v>175.2</v>
      </c>
      <c r="AT299" s="35">
        <f t="shared" si="80"/>
        <v>-26.072727272727292</v>
      </c>
      <c r="AU299" s="35">
        <v>52.8</v>
      </c>
      <c r="AV299" s="35">
        <v>53.9</v>
      </c>
      <c r="AW299" s="35">
        <f t="shared" si="81"/>
        <v>68.5</v>
      </c>
      <c r="AX299" s="35"/>
      <c r="AY299" s="35">
        <f t="shared" si="82"/>
        <v>68.5</v>
      </c>
      <c r="AZ299" s="35">
        <v>0</v>
      </c>
      <c r="BA299" s="35">
        <f t="shared" si="83"/>
        <v>68.5</v>
      </c>
      <c r="BB299" s="35"/>
      <c r="BC299" s="35">
        <f t="shared" si="84"/>
        <v>68.5</v>
      </c>
      <c r="BD299" s="35">
        <v>69.3</v>
      </c>
      <c r="BE299" s="35">
        <f t="shared" si="85"/>
        <v>-0.8</v>
      </c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9"/>
      <c r="BU299" s="9"/>
      <c r="BV299" s="9"/>
      <c r="BW299" s="9"/>
      <c r="BX299" s="9"/>
      <c r="BY299" s="9"/>
      <c r="BZ299" s="9"/>
      <c r="CA299" s="9"/>
      <c r="CB299" s="9"/>
      <c r="CC299" s="9"/>
      <c r="CD299" s="9"/>
      <c r="CE299" s="9"/>
      <c r="CF299" s="9"/>
      <c r="CG299" s="9"/>
      <c r="CH299" s="9"/>
      <c r="CI299" s="9"/>
      <c r="CJ299" s="9"/>
      <c r="CK299" s="9"/>
      <c r="CL299" s="9"/>
      <c r="CM299" s="9"/>
      <c r="CN299" s="9"/>
      <c r="CO299" s="9"/>
      <c r="CP299" s="9"/>
      <c r="CQ299" s="10"/>
      <c r="CR299" s="9"/>
      <c r="CS299" s="9"/>
      <c r="CT299" s="9"/>
      <c r="CU299" s="9"/>
      <c r="CV299" s="9"/>
      <c r="CW299" s="9"/>
      <c r="CX299" s="9"/>
      <c r="CY299" s="9"/>
      <c r="CZ299" s="9"/>
      <c r="DA299" s="9"/>
      <c r="DB299" s="9"/>
      <c r="DC299" s="9"/>
      <c r="DD299" s="9"/>
      <c r="DE299" s="9"/>
      <c r="DF299" s="9"/>
      <c r="DG299" s="9"/>
      <c r="DH299" s="9"/>
      <c r="DI299" s="9"/>
      <c r="DJ299" s="9"/>
      <c r="DK299" s="9"/>
      <c r="DL299" s="9"/>
      <c r="DM299" s="9"/>
      <c r="DN299" s="9"/>
      <c r="DO299" s="9"/>
      <c r="DP299" s="9"/>
      <c r="DQ299" s="9"/>
      <c r="DR299" s="9"/>
      <c r="DS299" s="10"/>
      <c r="DT299" s="9"/>
      <c r="DU299" s="9"/>
      <c r="DV299" s="9"/>
      <c r="DW299" s="9"/>
      <c r="DX299" s="9"/>
      <c r="DY299" s="9"/>
      <c r="DZ299" s="9"/>
      <c r="EA299" s="9"/>
      <c r="EB299" s="9"/>
      <c r="EC299" s="9"/>
      <c r="ED299" s="9"/>
      <c r="EE299" s="9"/>
      <c r="EF299" s="9"/>
      <c r="EG299" s="9"/>
      <c r="EH299" s="9"/>
      <c r="EI299" s="9"/>
      <c r="EJ299" s="9"/>
      <c r="EK299" s="9"/>
      <c r="EL299" s="9"/>
      <c r="EM299" s="9"/>
      <c r="EN299" s="9"/>
      <c r="EO299" s="9"/>
      <c r="EP299" s="9"/>
      <c r="EQ299" s="9"/>
      <c r="ER299" s="9"/>
      <c r="ES299" s="9"/>
      <c r="ET299" s="9"/>
      <c r="EU299" s="10"/>
      <c r="EV299" s="9"/>
      <c r="EW299" s="9"/>
      <c r="EX299" s="9"/>
      <c r="EY299" s="9"/>
      <c r="EZ299" s="9"/>
      <c r="FA299" s="9"/>
      <c r="FB299" s="9"/>
      <c r="FC299" s="9"/>
      <c r="FD299" s="9"/>
      <c r="FE299" s="9"/>
      <c r="FF299" s="9"/>
      <c r="FG299" s="9"/>
      <c r="FH299" s="9"/>
      <c r="FI299" s="9"/>
      <c r="FJ299" s="9"/>
      <c r="FK299" s="9"/>
      <c r="FL299" s="9"/>
      <c r="FM299" s="9"/>
      <c r="FN299" s="9"/>
      <c r="FO299" s="9"/>
      <c r="FP299" s="9"/>
      <c r="FQ299" s="9"/>
      <c r="FR299" s="9"/>
      <c r="FS299" s="9"/>
      <c r="FT299" s="9"/>
      <c r="FU299" s="9"/>
      <c r="FV299" s="9"/>
      <c r="FW299" s="10"/>
      <c r="FX299" s="9"/>
      <c r="FY299" s="9"/>
      <c r="FZ299" s="9"/>
      <c r="GA299" s="9"/>
      <c r="GB299" s="9"/>
      <c r="GC299" s="9"/>
      <c r="GD299" s="9"/>
      <c r="GE299" s="9"/>
      <c r="GF299" s="9"/>
      <c r="GG299" s="9"/>
      <c r="GH299" s="9"/>
      <c r="GI299" s="9"/>
      <c r="GJ299" s="9"/>
      <c r="GK299" s="9"/>
      <c r="GL299" s="9"/>
      <c r="GM299" s="9"/>
      <c r="GN299" s="9"/>
      <c r="GO299" s="9"/>
      <c r="GP299" s="9"/>
      <c r="GQ299" s="9"/>
      <c r="GR299" s="9"/>
      <c r="GS299" s="9"/>
      <c r="GT299" s="9"/>
      <c r="GU299" s="9"/>
      <c r="GV299" s="9"/>
      <c r="GW299" s="9"/>
      <c r="GX299" s="9"/>
      <c r="GY299" s="10"/>
      <c r="GZ299" s="9"/>
      <c r="HA299" s="9"/>
    </row>
    <row r="300" spans="1:209" s="2" customFormat="1" ht="17" customHeight="1">
      <c r="A300" s="46" t="s">
        <v>293</v>
      </c>
      <c r="B300" s="35">
        <v>15177</v>
      </c>
      <c r="C300" s="35">
        <v>10943.5</v>
      </c>
      <c r="D300" s="4">
        <f t="shared" si="72"/>
        <v>0.72105818014100287</v>
      </c>
      <c r="E300" s="11">
        <v>10</v>
      </c>
      <c r="F300" s="5" t="s">
        <v>362</v>
      </c>
      <c r="G300" s="5" t="s">
        <v>362</v>
      </c>
      <c r="H300" s="5" t="s">
        <v>362</v>
      </c>
      <c r="I300" s="5" t="s">
        <v>362</v>
      </c>
      <c r="J300" s="5" t="s">
        <v>362</v>
      </c>
      <c r="K300" s="5" t="s">
        <v>362</v>
      </c>
      <c r="L300" s="5" t="s">
        <v>362</v>
      </c>
      <c r="M300" s="5" t="s">
        <v>362</v>
      </c>
      <c r="N300" s="35">
        <v>997.6</v>
      </c>
      <c r="O300" s="35">
        <v>408.3</v>
      </c>
      <c r="P300" s="4">
        <f t="shared" si="73"/>
        <v>0.40928227746591822</v>
      </c>
      <c r="Q300" s="11">
        <v>20</v>
      </c>
      <c r="R300" s="35">
        <v>105</v>
      </c>
      <c r="S300" s="35">
        <v>198.7</v>
      </c>
      <c r="T300" s="4">
        <f t="shared" si="74"/>
        <v>1.2692380952380953</v>
      </c>
      <c r="U300" s="11">
        <v>20</v>
      </c>
      <c r="V300" s="35">
        <v>0</v>
      </c>
      <c r="W300" s="35">
        <v>0</v>
      </c>
      <c r="X300" s="4">
        <f t="shared" si="75"/>
        <v>1</v>
      </c>
      <c r="Y300" s="11">
        <v>30</v>
      </c>
      <c r="Z300" s="35">
        <v>5405</v>
      </c>
      <c r="AA300" s="35">
        <v>4078</v>
      </c>
      <c r="AB300" s="4">
        <f t="shared" si="76"/>
        <v>0.75448658649398703</v>
      </c>
      <c r="AC300" s="11">
        <v>10</v>
      </c>
      <c r="AD300" s="11">
        <v>399</v>
      </c>
      <c r="AE300" s="11">
        <v>437</v>
      </c>
      <c r="AF300" s="4">
        <f t="shared" si="77"/>
        <v>1.0952380952380953</v>
      </c>
      <c r="AG300" s="11">
        <v>20</v>
      </c>
      <c r="AH300" s="5" t="s">
        <v>362</v>
      </c>
      <c r="AI300" s="5" t="s">
        <v>362</v>
      </c>
      <c r="AJ300" s="5" t="s">
        <v>362</v>
      </c>
      <c r="AK300" s="5" t="s">
        <v>362</v>
      </c>
      <c r="AL300" s="5" t="s">
        <v>362</v>
      </c>
      <c r="AM300" s="5" t="s">
        <v>362</v>
      </c>
      <c r="AN300" s="5" t="s">
        <v>362</v>
      </c>
      <c r="AO300" s="5" t="s">
        <v>362</v>
      </c>
      <c r="AP300" s="44">
        <f t="shared" si="86"/>
        <v>0.91118742750174597</v>
      </c>
      <c r="AQ300" s="45">
        <v>1197</v>
      </c>
      <c r="AR300" s="35">
        <f t="shared" si="78"/>
        <v>326.45454545454544</v>
      </c>
      <c r="AS300" s="35">
        <f t="shared" si="79"/>
        <v>297.5</v>
      </c>
      <c r="AT300" s="35">
        <f t="shared" si="80"/>
        <v>-28.954545454545439</v>
      </c>
      <c r="AU300" s="35">
        <v>83.1</v>
      </c>
      <c r="AV300" s="35">
        <v>105.6</v>
      </c>
      <c r="AW300" s="35">
        <f t="shared" si="81"/>
        <v>108.8</v>
      </c>
      <c r="AX300" s="35"/>
      <c r="AY300" s="35">
        <f t="shared" si="82"/>
        <v>108.8</v>
      </c>
      <c r="AZ300" s="35">
        <v>0</v>
      </c>
      <c r="BA300" s="35">
        <f t="shared" si="83"/>
        <v>108.8</v>
      </c>
      <c r="BB300" s="35">
        <f>MIN(BA300,54.4)</f>
        <v>54.4</v>
      </c>
      <c r="BC300" s="35">
        <f t="shared" si="84"/>
        <v>54.4</v>
      </c>
      <c r="BD300" s="35">
        <v>59.5</v>
      </c>
      <c r="BE300" s="35">
        <f t="shared" si="85"/>
        <v>-5.0999999999999996</v>
      </c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9"/>
      <c r="BU300" s="9"/>
      <c r="BV300" s="9"/>
      <c r="BW300" s="9"/>
      <c r="BX300" s="9"/>
      <c r="BY300" s="9"/>
      <c r="BZ300" s="9"/>
      <c r="CA300" s="9"/>
      <c r="CB300" s="9"/>
      <c r="CC300" s="9"/>
      <c r="CD300" s="9"/>
      <c r="CE300" s="9"/>
      <c r="CF300" s="9"/>
      <c r="CG300" s="9"/>
      <c r="CH300" s="9"/>
      <c r="CI300" s="9"/>
      <c r="CJ300" s="9"/>
      <c r="CK300" s="9"/>
      <c r="CL300" s="9"/>
      <c r="CM300" s="9"/>
      <c r="CN300" s="9"/>
      <c r="CO300" s="9"/>
      <c r="CP300" s="9"/>
      <c r="CQ300" s="10"/>
      <c r="CR300" s="9"/>
      <c r="CS300" s="9"/>
      <c r="CT300" s="9"/>
      <c r="CU300" s="9"/>
      <c r="CV300" s="9"/>
      <c r="CW300" s="9"/>
      <c r="CX300" s="9"/>
      <c r="CY300" s="9"/>
      <c r="CZ300" s="9"/>
      <c r="DA300" s="9"/>
      <c r="DB300" s="9"/>
      <c r="DC300" s="9"/>
      <c r="DD300" s="9"/>
      <c r="DE300" s="9"/>
      <c r="DF300" s="9"/>
      <c r="DG300" s="9"/>
      <c r="DH300" s="9"/>
      <c r="DI300" s="9"/>
      <c r="DJ300" s="9"/>
      <c r="DK300" s="9"/>
      <c r="DL300" s="9"/>
      <c r="DM300" s="9"/>
      <c r="DN300" s="9"/>
      <c r="DO300" s="9"/>
      <c r="DP300" s="9"/>
      <c r="DQ300" s="9"/>
      <c r="DR300" s="9"/>
      <c r="DS300" s="10"/>
      <c r="DT300" s="9"/>
      <c r="DU300" s="9"/>
      <c r="DV300" s="9"/>
      <c r="DW300" s="9"/>
      <c r="DX300" s="9"/>
      <c r="DY300" s="9"/>
      <c r="DZ300" s="9"/>
      <c r="EA300" s="9"/>
      <c r="EB300" s="9"/>
      <c r="EC300" s="9"/>
      <c r="ED300" s="9"/>
      <c r="EE300" s="9"/>
      <c r="EF300" s="9"/>
      <c r="EG300" s="9"/>
      <c r="EH300" s="9"/>
      <c r="EI300" s="9"/>
      <c r="EJ300" s="9"/>
      <c r="EK300" s="9"/>
      <c r="EL300" s="9"/>
      <c r="EM300" s="9"/>
      <c r="EN300" s="9"/>
      <c r="EO300" s="9"/>
      <c r="EP300" s="9"/>
      <c r="EQ300" s="9"/>
      <c r="ER300" s="9"/>
      <c r="ES300" s="9"/>
      <c r="ET300" s="9"/>
      <c r="EU300" s="10"/>
      <c r="EV300" s="9"/>
      <c r="EW300" s="9"/>
      <c r="EX300" s="9"/>
      <c r="EY300" s="9"/>
      <c r="EZ300" s="9"/>
      <c r="FA300" s="9"/>
      <c r="FB300" s="9"/>
      <c r="FC300" s="9"/>
      <c r="FD300" s="9"/>
      <c r="FE300" s="9"/>
      <c r="FF300" s="9"/>
      <c r="FG300" s="9"/>
      <c r="FH300" s="9"/>
      <c r="FI300" s="9"/>
      <c r="FJ300" s="9"/>
      <c r="FK300" s="9"/>
      <c r="FL300" s="9"/>
      <c r="FM300" s="9"/>
      <c r="FN300" s="9"/>
      <c r="FO300" s="9"/>
      <c r="FP300" s="9"/>
      <c r="FQ300" s="9"/>
      <c r="FR300" s="9"/>
      <c r="FS300" s="9"/>
      <c r="FT300" s="9"/>
      <c r="FU300" s="9"/>
      <c r="FV300" s="9"/>
      <c r="FW300" s="10"/>
      <c r="FX300" s="9"/>
      <c r="FY300" s="9"/>
      <c r="FZ300" s="9"/>
      <c r="GA300" s="9"/>
      <c r="GB300" s="9"/>
      <c r="GC300" s="9"/>
      <c r="GD300" s="9"/>
      <c r="GE300" s="9"/>
      <c r="GF300" s="9"/>
      <c r="GG300" s="9"/>
      <c r="GH300" s="9"/>
      <c r="GI300" s="9"/>
      <c r="GJ300" s="9"/>
      <c r="GK300" s="9"/>
      <c r="GL300" s="9"/>
      <c r="GM300" s="9"/>
      <c r="GN300" s="9"/>
      <c r="GO300" s="9"/>
      <c r="GP300" s="9"/>
      <c r="GQ300" s="9"/>
      <c r="GR300" s="9"/>
      <c r="GS300" s="9"/>
      <c r="GT300" s="9"/>
      <c r="GU300" s="9"/>
      <c r="GV300" s="9"/>
      <c r="GW300" s="9"/>
      <c r="GX300" s="9"/>
      <c r="GY300" s="10"/>
      <c r="GZ300" s="9"/>
      <c r="HA300" s="9"/>
    </row>
    <row r="301" spans="1:209" s="2" customFormat="1" ht="17" customHeight="1">
      <c r="A301" s="46" t="s">
        <v>294</v>
      </c>
      <c r="B301" s="35">
        <v>206314</v>
      </c>
      <c r="C301" s="35">
        <v>352537.4</v>
      </c>
      <c r="D301" s="4">
        <f t="shared" si="72"/>
        <v>1.2508742014599106</v>
      </c>
      <c r="E301" s="11">
        <v>10</v>
      </c>
      <c r="F301" s="5" t="s">
        <v>362</v>
      </c>
      <c r="G301" s="5" t="s">
        <v>362</v>
      </c>
      <c r="H301" s="5" t="s">
        <v>362</v>
      </c>
      <c r="I301" s="5" t="s">
        <v>362</v>
      </c>
      <c r="J301" s="5" t="s">
        <v>362</v>
      </c>
      <c r="K301" s="5" t="s">
        <v>362</v>
      </c>
      <c r="L301" s="5" t="s">
        <v>362</v>
      </c>
      <c r="M301" s="5" t="s">
        <v>362</v>
      </c>
      <c r="N301" s="35">
        <v>9951.5</v>
      </c>
      <c r="O301" s="35">
        <v>5153.8</v>
      </c>
      <c r="P301" s="4">
        <f t="shared" si="73"/>
        <v>0.51789177510927997</v>
      </c>
      <c r="Q301" s="11">
        <v>20</v>
      </c>
      <c r="R301" s="35">
        <v>0</v>
      </c>
      <c r="S301" s="35">
        <v>0</v>
      </c>
      <c r="T301" s="4">
        <f t="shared" si="74"/>
        <v>1</v>
      </c>
      <c r="U301" s="11">
        <v>40</v>
      </c>
      <c r="V301" s="35">
        <v>0</v>
      </c>
      <c r="W301" s="35">
        <v>0</v>
      </c>
      <c r="X301" s="4">
        <f t="shared" si="75"/>
        <v>1</v>
      </c>
      <c r="Y301" s="11">
        <v>10</v>
      </c>
      <c r="Z301" s="35">
        <v>219858</v>
      </c>
      <c r="AA301" s="35">
        <v>104617</v>
      </c>
      <c r="AB301" s="4">
        <f t="shared" si="76"/>
        <v>0.47583895059538428</v>
      </c>
      <c r="AC301" s="11">
        <v>10</v>
      </c>
      <c r="AD301" s="11">
        <v>51</v>
      </c>
      <c r="AE301" s="11">
        <v>56</v>
      </c>
      <c r="AF301" s="4">
        <f t="shared" si="77"/>
        <v>1.0980392156862746</v>
      </c>
      <c r="AG301" s="11">
        <v>20</v>
      </c>
      <c r="AH301" s="5" t="s">
        <v>362</v>
      </c>
      <c r="AI301" s="5" t="s">
        <v>362</v>
      </c>
      <c r="AJ301" s="5" t="s">
        <v>362</v>
      </c>
      <c r="AK301" s="5" t="s">
        <v>362</v>
      </c>
      <c r="AL301" s="5" t="s">
        <v>362</v>
      </c>
      <c r="AM301" s="5" t="s">
        <v>362</v>
      </c>
      <c r="AN301" s="5" t="s">
        <v>362</v>
      </c>
      <c r="AO301" s="5" t="s">
        <v>362</v>
      </c>
      <c r="AP301" s="44">
        <f t="shared" si="86"/>
        <v>0.90532501214967298</v>
      </c>
      <c r="AQ301" s="45">
        <v>60</v>
      </c>
      <c r="AR301" s="35">
        <f t="shared" si="78"/>
        <v>16.363636363636363</v>
      </c>
      <c r="AS301" s="35">
        <f t="shared" si="79"/>
        <v>14.8</v>
      </c>
      <c r="AT301" s="35">
        <f t="shared" si="80"/>
        <v>-1.5636363636363626</v>
      </c>
      <c r="AU301" s="35">
        <v>5</v>
      </c>
      <c r="AV301" s="35">
        <v>4.8</v>
      </c>
      <c r="AW301" s="35">
        <f t="shared" si="81"/>
        <v>5</v>
      </c>
      <c r="AX301" s="35"/>
      <c r="AY301" s="35">
        <f t="shared" si="82"/>
        <v>5</v>
      </c>
      <c r="AZ301" s="35">
        <v>0</v>
      </c>
      <c r="BA301" s="35">
        <f t="shared" si="83"/>
        <v>5</v>
      </c>
      <c r="BB301" s="35">
        <f>MIN(BA301,2.3)</f>
        <v>2.2999999999999998</v>
      </c>
      <c r="BC301" s="35">
        <f t="shared" si="84"/>
        <v>2.7</v>
      </c>
      <c r="BD301" s="35">
        <v>3.4</v>
      </c>
      <c r="BE301" s="35">
        <f t="shared" si="85"/>
        <v>-0.7</v>
      </c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9"/>
      <c r="BU301" s="9"/>
      <c r="BV301" s="9"/>
      <c r="BW301" s="9"/>
      <c r="BX301" s="9"/>
      <c r="BY301" s="9"/>
      <c r="BZ301" s="9"/>
      <c r="CA301" s="9"/>
      <c r="CB301" s="9"/>
      <c r="CC301" s="9"/>
      <c r="CD301" s="9"/>
      <c r="CE301" s="9"/>
      <c r="CF301" s="9"/>
      <c r="CG301" s="9"/>
      <c r="CH301" s="9"/>
      <c r="CI301" s="9"/>
      <c r="CJ301" s="9"/>
      <c r="CK301" s="9"/>
      <c r="CL301" s="9"/>
      <c r="CM301" s="9"/>
      <c r="CN301" s="9"/>
      <c r="CO301" s="9"/>
      <c r="CP301" s="9"/>
      <c r="CQ301" s="10"/>
      <c r="CR301" s="9"/>
      <c r="CS301" s="9"/>
      <c r="CT301" s="9"/>
      <c r="CU301" s="9"/>
      <c r="CV301" s="9"/>
      <c r="CW301" s="9"/>
      <c r="CX301" s="9"/>
      <c r="CY301" s="9"/>
      <c r="CZ301" s="9"/>
      <c r="DA301" s="9"/>
      <c r="DB301" s="9"/>
      <c r="DC301" s="9"/>
      <c r="DD301" s="9"/>
      <c r="DE301" s="9"/>
      <c r="DF301" s="9"/>
      <c r="DG301" s="9"/>
      <c r="DH301" s="9"/>
      <c r="DI301" s="9"/>
      <c r="DJ301" s="9"/>
      <c r="DK301" s="9"/>
      <c r="DL301" s="9"/>
      <c r="DM301" s="9"/>
      <c r="DN301" s="9"/>
      <c r="DO301" s="9"/>
      <c r="DP301" s="9"/>
      <c r="DQ301" s="9"/>
      <c r="DR301" s="9"/>
      <c r="DS301" s="10"/>
      <c r="DT301" s="9"/>
      <c r="DU301" s="9"/>
      <c r="DV301" s="9"/>
      <c r="DW301" s="9"/>
      <c r="DX301" s="9"/>
      <c r="DY301" s="9"/>
      <c r="DZ301" s="9"/>
      <c r="EA301" s="9"/>
      <c r="EB301" s="9"/>
      <c r="EC301" s="9"/>
      <c r="ED301" s="9"/>
      <c r="EE301" s="9"/>
      <c r="EF301" s="9"/>
      <c r="EG301" s="9"/>
      <c r="EH301" s="9"/>
      <c r="EI301" s="9"/>
      <c r="EJ301" s="9"/>
      <c r="EK301" s="9"/>
      <c r="EL301" s="9"/>
      <c r="EM301" s="9"/>
      <c r="EN301" s="9"/>
      <c r="EO301" s="9"/>
      <c r="EP301" s="9"/>
      <c r="EQ301" s="9"/>
      <c r="ER301" s="9"/>
      <c r="ES301" s="9"/>
      <c r="ET301" s="9"/>
      <c r="EU301" s="10"/>
      <c r="EV301" s="9"/>
      <c r="EW301" s="9"/>
      <c r="EX301" s="9"/>
      <c r="EY301" s="9"/>
      <c r="EZ301" s="9"/>
      <c r="FA301" s="9"/>
      <c r="FB301" s="9"/>
      <c r="FC301" s="9"/>
      <c r="FD301" s="9"/>
      <c r="FE301" s="9"/>
      <c r="FF301" s="9"/>
      <c r="FG301" s="9"/>
      <c r="FH301" s="9"/>
      <c r="FI301" s="9"/>
      <c r="FJ301" s="9"/>
      <c r="FK301" s="9"/>
      <c r="FL301" s="9"/>
      <c r="FM301" s="9"/>
      <c r="FN301" s="9"/>
      <c r="FO301" s="9"/>
      <c r="FP301" s="9"/>
      <c r="FQ301" s="9"/>
      <c r="FR301" s="9"/>
      <c r="FS301" s="9"/>
      <c r="FT301" s="9"/>
      <c r="FU301" s="9"/>
      <c r="FV301" s="9"/>
      <c r="FW301" s="10"/>
      <c r="FX301" s="9"/>
      <c r="FY301" s="9"/>
      <c r="FZ301" s="9"/>
      <c r="GA301" s="9"/>
      <c r="GB301" s="9"/>
      <c r="GC301" s="9"/>
      <c r="GD301" s="9"/>
      <c r="GE301" s="9"/>
      <c r="GF301" s="9"/>
      <c r="GG301" s="9"/>
      <c r="GH301" s="9"/>
      <c r="GI301" s="9"/>
      <c r="GJ301" s="9"/>
      <c r="GK301" s="9"/>
      <c r="GL301" s="9"/>
      <c r="GM301" s="9"/>
      <c r="GN301" s="9"/>
      <c r="GO301" s="9"/>
      <c r="GP301" s="9"/>
      <c r="GQ301" s="9"/>
      <c r="GR301" s="9"/>
      <c r="GS301" s="9"/>
      <c r="GT301" s="9"/>
      <c r="GU301" s="9"/>
      <c r="GV301" s="9"/>
      <c r="GW301" s="9"/>
      <c r="GX301" s="9"/>
      <c r="GY301" s="10"/>
      <c r="GZ301" s="9"/>
      <c r="HA301" s="9"/>
    </row>
    <row r="302" spans="1:209" s="2" customFormat="1" ht="17" customHeight="1">
      <c r="A302" s="46" t="s">
        <v>295</v>
      </c>
      <c r="B302" s="35">
        <v>71479</v>
      </c>
      <c r="C302" s="35">
        <v>83204</v>
      </c>
      <c r="D302" s="4">
        <f t="shared" si="72"/>
        <v>1.1640341918605464</v>
      </c>
      <c r="E302" s="11">
        <v>10</v>
      </c>
      <c r="F302" s="5" t="s">
        <v>362</v>
      </c>
      <c r="G302" s="5" t="s">
        <v>362</v>
      </c>
      <c r="H302" s="5" t="s">
        <v>362</v>
      </c>
      <c r="I302" s="5" t="s">
        <v>362</v>
      </c>
      <c r="J302" s="5" t="s">
        <v>362</v>
      </c>
      <c r="K302" s="5" t="s">
        <v>362</v>
      </c>
      <c r="L302" s="5" t="s">
        <v>362</v>
      </c>
      <c r="M302" s="5" t="s">
        <v>362</v>
      </c>
      <c r="N302" s="35">
        <v>1337.7</v>
      </c>
      <c r="O302" s="35">
        <v>988.1</v>
      </c>
      <c r="P302" s="4">
        <f t="shared" si="73"/>
        <v>0.738655901921208</v>
      </c>
      <c r="Q302" s="11">
        <v>20</v>
      </c>
      <c r="R302" s="35">
        <v>325</v>
      </c>
      <c r="S302" s="35">
        <v>517.5</v>
      </c>
      <c r="T302" s="4">
        <f t="shared" si="74"/>
        <v>1.2392307692307691</v>
      </c>
      <c r="U302" s="11">
        <v>30</v>
      </c>
      <c r="V302" s="35">
        <v>0</v>
      </c>
      <c r="W302" s="35">
        <v>0</v>
      </c>
      <c r="X302" s="4">
        <f t="shared" si="75"/>
        <v>1</v>
      </c>
      <c r="Y302" s="11">
        <v>20</v>
      </c>
      <c r="Z302" s="35">
        <v>10810</v>
      </c>
      <c r="AA302" s="35">
        <v>5956</v>
      </c>
      <c r="AB302" s="4">
        <f t="shared" si="76"/>
        <v>0.55097132284921368</v>
      </c>
      <c r="AC302" s="11">
        <v>10</v>
      </c>
      <c r="AD302" s="11">
        <v>625</v>
      </c>
      <c r="AE302" s="11">
        <v>695</v>
      </c>
      <c r="AF302" s="4">
        <f t="shared" si="77"/>
        <v>1.1120000000000001</v>
      </c>
      <c r="AG302" s="11">
        <v>20</v>
      </c>
      <c r="AH302" s="5" t="s">
        <v>362</v>
      </c>
      <c r="AI302" s="5" t="s">
        <v>362</v>
      </c>
      <c r="AJ302" s="5" t="s">
        <v>362</v>
      </c>
      <c r="AK302" s="5" t="s">
        <v>362</v>
      </c>
      <c r="AL302" s="5" t="s">
        <v>362</v>
      </c>
      <c r="AM302" s="5" t="s">
        <v>362</v>
      </c>
      <c r="AN302" s="5" t="s">
        <v>362</v>
      </c>
      <c r="AO302" s="5" t="s">
        <v>362</v>
      </c>
      <c r="AP302" s="44">
        <f t="shared" si="86"/>
        <v>1.0121826932949529</v>
      </c>
      <c r="AQ302" s="45">
        <v>619</v>
      </c>
      <c r="AR302" s="35">
        <f t="shared" si="78"/>
        <v>168.81818181818181</v>
      </c>
      <c r="AS302" s="35">
        <f t="shared" si="79"/>
        <v>170.9</v>
      </c>
      <c r="AT302" s="35">
        <f t="shared" si="80"/>
        <v>2.0818181818181927</v>
      </c>
      <c r="AU302" s="35">
        <v>59.2</v>
      </c>
      <c r="AV302" s="35">
        <v>58.5</v>
      </c>
      <c r="AW302" s="35">
        <f t="shared" si="81"/>
        <v>53.2</v>
      </c>
      <c r="AX302" s="35"/>
      <c r="AY302" s="35">
        <f t="shared" si="82"/>
        <v>53.2</v>
      </c>
      <c r="AZ302" s="35">
        <v>0</v>
      </c>
      <c r="BA302" s="35">
        <f t="shared" si="83"/>
        <v>53.2</v>
      </c>
      <c r="BB302" s="35">
        <f>MIN(BA302,24.8)</f>
        <v>24.8</v>
      </c>
      <c r="BC302" s="35">
        <f t="shared" si="84"/>
        <v>28.4</v>
      </c>
      <c r="BD302" s="35">
        <v>36.200000000000003</v>
      </c>
      <c r="BE302" s="35">
        <f t="shared" si="85"/>
        <v>-7.8</v>
      </c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9"/>
      <c r="BU302" s="9"/>
      <c r="BV302" s="9"/>
      <c r="BW302" s="9"/>
      <c r="BX302" s="9"/>
      <c r="BY302" s="9"/>
      <c r="BZ302" s="9"/>
      <c r="CA302" s="9"/>
      <c r="CB302" s="9"/>
      <c r="CC302" s="9"/>
      <c r="CD302" s="9"/>
      <c r="CE302" s="9"/>
      <c r="CF302" s="9"/>
      <c r="CG302" s="9"/>
      <c r="CH302" s="9"/>
      <c r="CI302" s="9"/>
      <c r="CJ302" s="9"/>
      <c r="CK302" s="9"/>
      <c r="CL302" s="9"/>
      <c r="CM302" s="9"/>
      <c r="CN302" s="9"/>
      <c r="CO302" s="9"/>
      <c r="CP302" s="9"/>
      <c r="CQ302" s="10"/>
      <c r="CR302" s="9"/>
      <c r="CS302" s="9"/>
      <c r="CT302" s="9"/>
      <c r="CU302" s="9"/>
      <c r="CV302" s="9"/>
      <c r="CW302" s="9"/>
      <c r="CX302" s="9"/>
      <c r="CY302" s="9"/>
      <c r="CZ302" s="9"/>
      <c r="DA302" s="9"/>
      <c r="DB302" s="9"/>
      <c r="DC302" s="9"/>
      <c r="DD302" s="9"/>
      <c r="DE302" s="9"/>
      <c r="DF302" s="9"/>
      <c r="DG302" s="9"/>
      <c r="DH302" s="9"/>
      <c r="DI302" s="9"/>
      <c r="DJ302" s="9"/>
      <c r="DK302" s="9"/>
      <c r="DL302" s="9"/>
      <c r="DM302" s="9"/>
      <c r="DN302" s="9"/>
      <c r="DO302" s="9"/>
      <c r="DP302" s="9"/>
      <c r="DQ302" s="9"/>
      <c r="DR302" s="9"/>
      <c r="DS302" s="10"/>
      <c r="DT302" s="9"/>
      <c r="DU302" s="9"/>
      <c r="DV302" s="9"/>
      <c r="DW302" s="9"/>
      <c r="DX302" s="9"/>
      <c r="DY302" s="9"/>
      <c r="DZ302" s="9"/>
      <c r="EA302" s="9"/>
      <c r="EB302" s="9"/>
      <c r="EC302" s="9"/>
      <c r="ED302" s="9"/>
      <c r="EE302" s="9"/>
      <c r="EF302" s="9"/>
      <c r="EG302" s="9"/>
      <c r="EH302" s="9"/>
      <c r="EI302" s="9"/>
      <c r="EJ302" s="9"/>
      <c r="EK302" s="9"/>
      <c r="EL302" s="9"/>
      <c r="EM302" s="9"/>
      <c r="EN302" s="9"/>
      <c r="EO302" s="9"/>
      <c r="EP302" s="9"/>
      <c r="EQ302" s="9"/>
      <c r="ER302" s="9"/>
      <c r="ES302" s="9"/>
      <c r="ET302" s="9"/>
      <c r="EU302" s="10"/>
      <c r="EV302" s="9"/>
      <c r="EW302" s="9"/>
      <c r="EX302" s="9"/>
      <c r="EY302" s="9"/>
      <c r="EZ302" s="9"/>
      <c r="FA302" s="9"/>
      <c r="FB302" s="9"/>
      <c r="FC302" s="9"/>
      <c r="FD302" s="9"/>
      <c r="FE302" s="9"/>
      <c r="FF302" s="9"/>
      <c r="FG302" s="9"/>
      <c r="FH302" s="9"/>
      <c r="FI302" s="9"/>
      <c r="FJ302" s="9"/>
      <c r="FK302" s="9"/>
      <c r="FL302" s="9"/>
      <c r="FM302" s="9"/>
      <c r="FN302" s="9"/>
      <c r="FO302" s="9"/>
      <c r="FP302" s="9"/>
      <c r="FQ302" s="9"/>
      <c r="FR302" s="9"/>
      <c r="FS302" s="9"/>
      <c r="FT302" s="9"/>
      <c r="FU302" s="9"/>
      <c r="FV302" s="9"/>
      <c r="FW302" s="10"/>
      <c r="FX302" s="9"/>
      <c r="FY302" s="9"/>
      <c r="FZ302" s="9"/>
      <c r="GA302" s="9"/>
      <c r="GB302" s="9"/>
      <c r="GC302" s="9"/>
      <c r="GD302" s="9"/>
      <c r="GE302" s="9"/>
      <c r="GF302" s="9"/>
      <c r="GG302" s="9"/>
      <c r="GH302" s="9"/>
      <c r="GI302" s="9"/>
      <c r="GJ302" s="9"/>
      <c r="GK302" s="9"/>
      <c r="GL302" s="9"/>
      <c r="GM302" s="9"/>
      <c r="GN302" s="9"/>
      <c r="GO302" s="9"/>
      <c r="GP302" s="9"/>
      <c r="GQ302" s="9"/>
      <c r="GR302" s="9"/>
      <c r="GS302" s="9"/>
      <c r="GT302" s="9"/>
      <c r="GU302" s="9"/>
      <c r="GV302" s="9"/>
      <c r="GW302" s="9"/>
      <c r="GX302" s="9"/>
      <c r="GY302" s="10"/>
      <c r="GZ302" s="9"/>
      <c r="HA302" s="9"/>
    </row>
    <row r="303" spans="1:209" s="2" customFormat="1" ht="17" customHeight="1">
      <c r="A303" s="46" t="s">
        <v>296</v>
      </c>
      <c r="B303" s="35">
        <v>62603</v>
      </c>
      <c r="C303" s="35">
        <v>67927.100000000006</v>
      </c>
      <c r="D303" s="4">
        <f t="shared" ref="D303:D366" si="87">IF(E303=0,0,IF(B303=0,1,IF(C303&lt;0,0,IF(C303/B303&gt;1.2,IF((C303/B303-1.2)*0.1+1.2&gt;1.3,1.3,(C303/B303-1.2)*0.1+1.2),C303/B303))))</f>
        <v>1.0850454451064646</v>
      </c>
      <c r="E303" s="11">
        <v>10</v>
      </c>
      <c r="F303" s="5" t="s">
        <v>362</v>
      </c>
      <c r="G303" s="5" t="s">
        <v>362</v>
      </c>
      <c r="H303" s="5" t="s">
        <v>362</v>
      </c>
      <c r="I303" s="5" t="s">
        <v>362</v>
      </c>
      <c r="J303" s="5" t="s">
        <v>362</v>
      </c>
      <c r="K303" s="5" t="s">
        <v>362</v>
      </c>
      <c r="L303" s="5" t="s">
        <v>362</v>
      </c>
      <c r="M303" s="5" t="s">
        <v>362</v>
      </c>
      <c r="N303" s="35">
        <v>1074.7</v>
      </c>
      <c r="O303" s="35">
        <v>815.2</v>
      </c>
      <c r="P303" s="4">
        <f t="shared" ref="P303:P366" si="88">IF(Q303=0,0,IF(N303=0,1,IF(O303&lt;0,0,IF(O303/N303&gt;1.2,IF((O303/N303-1.2)*0.1+1.2&gt;1.3,1.3,(O303/N303-1.2)*0.1+1.2),O303/N303))))</f>
        <v>0.75853726621382711</v>
      </c>
      <c r="Q303" s="11">
        <v>20</v>
      </c>
      <c r="R303" s="35">
        <v>430</v>
      </c>
      <c r="S303" s="35">
        <v>430.4</v>
      </c>
      <c r="T303" s="4">
        <f t="shared" ref="T303:T366" si="89">IF(U303=0,0,IF(R303=0,1,IF(S303&lt;0,0,IF(S303/R303&gt;1.2,IF((S303/R303-1.2)*0.1+1.2&gt;1.3,1.3,(S303/R303-1.2)*0.1+1.2),S303/R303))))</f>
        <v>1.0009302325581395</v>
      </c>
      <c r="U303" s="11">
        <v>30</v>
      </c>
      <c r="V303" s="35">
        <v>0</v>
      </c>
      <c r="W303" s="35">
        <v>0</v>
      </c>
      <c r="X303" s="4">
        <f t="shared" ref="X303:X366" si="90">IF(Y303=0,0,IF(V303=0,1,IF(W303&lt;0,0,IF(W303/V303&gt;1.2,IF((W303/V303-1.2)*0.1+1.2&gt;1.3,1.3,(W303/V303-1.2)*0.1+1.2),W303/V303))))</f>
        <v>1</v>
      </c>
      <c r="Y303" s="11">
        <v>20</v>
      </c>
      <c r="Z303" s="35">
        <v>69489</v>
      </c>
      <c r="AA303" s="35">
        <v>59235</v>
      </c>
      <c r="AB303" s="4">
        <f t="shared" ref="AB303:AB366" si="91">IF(AC303=0,0,IF(Z303=0,1,IF(AA303&lt;0,0,IF(AA303/Z303&gt;1.2,IF((AA303/Z303-1.2)*0.1+1.2&gt;1.3,1.3,(AA303/Z303-1.2)*0.1+1.2),AA303/Z303))))</f>
        <v>0.85243707637179988</v>
      </c>
      <c r="AC303" s="11">
        <v>10</v>
      </c>
      <c r="AD303" s="11">
        <v>386</v>
      </c>
      <c r="AE303" s="11">
        <v>396</v>
      </c>
      <c r="AF303" s="4">
        <f t="shared" ref="AF303:AF366" si="92">IF(AG303=0,0,IF(AD303=0,1,IF(AE303&lt;0,0,IF(AE303/AD303&gt;1.2,IF((AE303/AD303-1.2)*0.1+1.2&gt;1.3,1.3,(AE303/AD303-1.2)*0.1+1.2),AE303/AD303))))</f>
        <v>1.0259067357512954</v>
      </c>
      <c r="AG303" s="11">
        <v>20</v>
      </c>
      <c r="AH303" s="5" t="s">
        <v>362</v>
      </c>
      <c r="AI303" s="5" t="s">
        <v>362</v>
      </c>
      <c r="AJ303" s="5" t="s">
        <v>362</v>
      </c>
      <c r="AK303" s="5" t="s">
        <v>362</v>
      </c>
      <c r="AL303" s="5" t="s">
        <v>362</v>
      </c>
      <c r="AM303" s="5" t="s">
        <v>362</v>
      </c>
      <c r="AN303" s="5" t="s">
        <v>362</v>
      </c>
      <c r="AO303" s="5" t="s">
        <v>362</v>
      </c>
      <c r="AP303" s="44">
        <f t="shared" si="86"/>
        <v>0.95537829300753896</v>
      </c>
      <c r="AQ303" s="45">
        <v>438</v>
      </c>
      <c r="AR303" s="35">
        <f t="shared" ref="AR303:AR366" si="93">AQ303/11*3</f>
        <v>119.45454545454547</v>
      </c>
      <c r="AS303" s="35">
        <f t="shared" ref="AS303:AS366" si="94">ROUND(AP303*AR303,1)</f>
        <v>114.1</v>
      </c>
      <c r="AT303" s="35">
        <f t="shared" ref="AT303:AT366" si="95">AS303-AR303</f>
        <v>-5.3545454545454731</v>
      </c>
      <c r="AU303" s="35">
        <v>38.700000000000003</v>
      </c>
      <c r="AV303" s="35">
        <v>43.5</v>
      </c>
      <c r="AW303" s="35">
        <f t="shared" ref="AW303:AW366" si="96">ROUND(AS303-SUM(AU303:AV303),1)</f>
        <v>31.9</v>
      </c>
      <c r="AX303" s="35"/>
      <c r="AY303" s="35">
        <f t="shared" ref="AY303:AY366" si="97">IF(OR(AW303&lt;0,AX303="+"),0,AW303)</f>
        <v>31.9</v>
      </c>
      <c r="AZ303" s="35">
        <v>0</v>
      </c>
      <c r="BA303" s="35">
        <f t="shared" ref="BA303:BA366" si="98">AY303+AZ303</f>
        <v>31.9</v>
      </c>
      <c r="BB303" s="35">
        <f>MIN(BA303,19.9)</f>
        <v>19.899999999999999</v>
      </c>
      <c r="BC303" s="35">
        <f t="shared" ref="BC303:BC366" si="99">IF((BA303-BB303)&gt;0,ROUND(BA303-BB303,1),0)</f>
        <v>12</v>
      </c>
      <c r="BD303" s="35">
        <v>13.3</v>
      </c>
      <c r="BE303" s="35">
        <f t="shared" ref="BE303:BE366" si="100">ROUND(BC303-BD303,1)</f>
        <v>-1.3</v>
      </c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9"/>
      <c r="BU303" s="9"/>
      <c r="BV303" s="9"/>
      <c r="BW303" s="9"/>
      <c r="BX303" s="9"/>
      <c r="BY303" s="9"/>
      <c r="BZ303" s="9"/>
      <c r="CA303" s="9"/>
      <c r="CB303" s="9"/>
      <c r="CC303" s="9"/>
      <c r="CD303" s="9"/>
      <c r="CE303" s="9"/>
      <c r="CF303" s="9"/>
      <c r="CG303" s="9"/>
      <c r="CH303" s="9"/>
      <c r="CI303" s="9"/>
      <c r="CJ303" s="9"/>
      <c r="CK303" s="9"/>
      <c r="CL303" s="9"/>
      <c r="CM303" s="9"/>
      <c r="CN303" s="9"/>
      <c r="CO303" s="9"/>
      <c r="CP303" s="9"/>
      <c r="CQ303" s="10"/>
      <c r="CR303" s="9"/>
      <c r="CS303" s="9"/>
      <c r="CT303" s="9"/>
      <c r="CU303" s="9"/>
      <c r="CV303" s="9"/>
      <c r="CW303" s="9"/>
      <c r="CX303" s="9"/>
      <c r="CY303" s="9"/>
      <c r="CZ303" s="9"/>
      <c r="DA303" s="9"/>
      <c r="DB303" s="9"/>
      <c r="DC303" s="9"/>
      <c r="DD303" s="9"/>
      <c r="DE303" s="9"/>
      <c r="DF303" s="9"/>
      <c r="DG303" s="9"/>
      <c r="DH303" s="9"/>
      <c r="DI303" s="9"/>
      <c r="DJ303" s="9"/>
      <c r="DK303" s="9"/>
      <c r="DL303" s="9"/>
      <c r="DM303" s="9"/>
      <c r="DN303" s="9"/>
      <c r="DO303" s="9"/>
      <c r="DP303" s="9"/>
      <c r="DQ303" s="9"/>
      <c r="DR303" s="9"/>
      <c r="DS303" s="10"/>
      <c r="DT303" s="9"/>
      <c r="DU303" s="9"/>
      <c r="DV303" s="9"/>
      <c r="DW303" s="9"/>
      <c r="DX303" s="9"/>
      <c r="DY303" s="9"/>
      <c r="DZ303" s="9"/>
      <c r="EA303" s="9"/>
      <c r="EB303" s="9"/>
      <c r="EC303" s="9"/>
      <c r="ED303" s="9"/>
      <c r="EE303" s="9"/>
      <c r="EF303" s="9"/>
      <c r="EG303" s="9"/>
      <c r="EH303" s="9"/>
      <c r="EI303" s="9"/>
      <c r="EJ303" s="9"/>
      <c r="EK303" s="9"/>
      <c r="EL303" s="9"/>
      <c r="EM303" s="9"/>
      <c r="EN303" s="9"/>
      <c r="EO303" s="9"/>
      <c r="EP303" s="9"/>
      <c r="EQ303" s="9"/>
      <c r="ER303" s="9"/>
      <c r="ES303" s="9"/>
      <c r="ET303" s="9"/>
      <c r="EU303" s="10"/>
      <c r="EV303" s="9"/>
      <c r="EW303" s="9"/>
      <c r="EX303" s="9"/>
      <c r="EY303" s="9"/>
      <c r="EZ303" s="9"/>
      <c r="FA303" s="9"/>
      <c r="FB303" s="9"/>
      <c r="FC303" s="9"/>
      <c r="FD303" s="9"/>
      <c r="FE303" s="9"/>
      <c r="FF303" s="9"/>
      <c r="FG303" s="9"/>
      <c r="FH303" s="9"/>
      <c r="FI303" s="9"/>
      <c r="FJ303" s="9"/>
      <c r="FK303" s="9"/>
      <c r="FL303" s="9"/>
      <c r="FM303" s="9"/>
      <c r="FN303" s="9"/>
      <c r="FO303" s="9"/>
      <c r="FP303" s="9"/>
      <c r="FQ303" s="9"/>
      <c r="FR303" s="9"/>
      <c r="FS303" s="9"/>
      <c r="FT303" s="9"/>
      <c r="FU303" s="9"/>
      <c r="FV303" s="9"/>
      <c r="FW303" s="10"/>
      <c r="FX303" s="9"/>
      <c r="FY303" s="9"/>
      <c r="FZ303" s="9"/>
      <c r="GA303" s="9"/>
      <c r="GB303" s="9"/>
      <c r="GC303" s="9"/>
      <c r="GD303" s="9"/>
      <c r="GE303" s="9"/>
      <c r="GF303" s="9"/>
      <c r="GG303" s="9"/>
      <c r="GH303" s="9"/>
      <c r="GI303" s="9"/>
      <c r="GJ303" s="9"/>
      <c r="GK303" s="9"/>
      <c r="GL303" s="9"/>
      <c r="GM303" s="9"/>
      <c r="GN303" s="9"/>
      <c r="GO303" s="9"/>
      <c r="GP303" s="9"/>
      <c r="GQ303" s="9"/>
      <c r="GR303" s="9"/>
      <c r="GS303" s="9"/>
      <c r="GT303" s="9"/>
      <c r="GU303" s="9"/>
      <c r="GV303" s="9"/>
      <c r="GW303" s="9"/>
      <c r="GX303" s="9"/>
      <c r="GY303" s="10"/>
      <c r="GZ303" s="9"/>
      <c r="HA303" s="9"/>
    </row>
    <row r="304" spans="1:209" s="2" customFormat="1" ht="17" customHeight="1">
      <c r="A304" s="46" t="s">
        <v>297</v>
      </c>
      <c r="B304" s="35">
        <v>169699</v>
      </c>
      <c r="C304" s="35">
        <v>21857.8</v>
      </c>
      <c r="D304" s="4">
        <f t="shared" si="87"/>
        <v>0.12880335181704075</v>
      </c>
      <c r="E304" s="11">
        <v>10</v>
      </c>
      <c r="F304" s="5" t="s">
        <v>362</v>
      </c>
      <c r="G304" s="5" t="s">
        <v>362</v>
      </c>
      <c r="H304" s="5" t="s">
        <v>362</v>
      </c>
      <c r="I304" s="5" t="s">
        <v>362</v>
      </c>
      <c r="J304" s="5" t="s">
        <v>362</v>
      </c>
      <c r="K304" s="5" t="s">
        <v>362</v>
      </c>
      <c r="L304" s="5" t="s">
        <v>362</v>
      </c>
      <c r="M304" s="5" t="s">
        <v>362</v>
      </c>
      <c r="N304" s="35">
        <v>5532.9</v>
      </c>
      <c r="O304" s="35">
        <v>2921.5</v>
      </c>
      <c r="P304" s="4">
        <f t="shared" si="88"/>
        <v>0.5280232789314826</v>
      </c>
      <c r="Q304" s="11">
        <v>20</v>
      </c>
      <c r="R304" s="35">
        <v>7</v>
      </c>
      <c r="S304" s="35">
        <v>0</v>
      </c>
      <c r="T304" s="4">
        <f t="shared" si="89"/>
        <v>0</v>
      </c>
      <c r="U304" s="11">
        <v>35</v>
      </c>
      <c r="V304" s="35">
        <v>0</v>
      </c>
      <c r="W304" s="35">
        <v>0</v>
      </c>
      <c r="X304" s="4">
        <f t="shared" si="90"/>
        <v>1</v>
      </c>
      <c r="Y304" s="11">
        <v>15</v>
      </c>
      <c r="Z304" s="35">
        <v>61768</v>
      </c>
      <c r="AA304" s="35">
        <v>68600</v>
      </c>
      <c r="AB304" s="4">
        <f t="shared" si="91"/>
        <v>1.1106074342701722</v>
      </c>
      <c r="AC304" s="11">
        <v>10</v>
      </c>
      <c r="AD304" s="11">
        <v>140</v>
      </c>
      <c r="AE304" s="11">
        <v>49</v>
      </c>
      <c r="AF304" s="4">
        <f t="shared" si="92"/>
        <v>0.35</v>
      </c>
      <c r="AG304" s="11">
        <v>20</v>
      </c>
      <c r="AH304" s="5" t="s">
        <v>362</v>
      </c>
      <c r="AI304" s="5" t="s">
        <v>362</v>
      </c>
      <c r="AJ304" s="5" t="s">
        <v>362</v>
      </c>
      <c r="AK304" s="5" t="s">
        <v>362</v>
      </c>
      <c r="AL304" s="5" t="s">
        <v>362</v>
      </c>
      <c r="AM304" s="5" t="s">
        <v>362</v>
      </c>
      <c r="AN304" s="5" t="s">
        <v>362</v>
      </c>
      <c r="AO304" s="5" t="s">
        <v>362</v>
      </c>
      <c r="AP304" s="44">
        <f t="shared" ref="AP304:AP367" si="101">(D304*E304+P304*Q304+T304*U304+X304*Y304+AB304*AC304+AF304*AG304)/(E304+Q304+U304+Y304+AC304+AG304)</f>
        <v>0.40867794035910709</v>
      </c>
      <c r="AQ304" s="45">
        <v>1363</v>
      </c>
      <c r="AR304" s="35">
        <f t="shared" si="93"/>
        <v>371.72727272727275</v>
      </c>
      <c r="AS304" s="35">
        <f t="shared" si="94"/>
        <v>151.9</v>
      </c>
      <c r="AT304" s="35">
        <f t="shared" si="95"/>
        <v>-219.82727272727274</v>
      </c>
      <c r="AU304" s="35">
        <v>48.2</v>
      </c>
      <c r="AV304" s="35">
        <v>55.9</v>
      </c>
      <c r="AW304" s="35">
        <f t="shared" si="96"/>
        <v>47.8</v>
      </c>
      <c r="AX304" s="35"/>
      <c r="AY304" s="35">
        <f t="shared" si="97"/>
        <v>47.8</v>
      </c>
      <c r="AZ304" s="35">
        <v>0</v>
      </c>
      <c r="BA304" s="35">
        <f t="shared" si="98"/>
        <v>47.8</v>
      </c>
      <c r="BB304" s="35">
        <f>MIN(BA304,15.8)</f>
        <v>15.8</v>
      </c>
      <c r="BC304" s="35">
        <f t="shared" si="99"/>
        <v>32</v>
      </c>
      <c r="BD304" s="35">
        <v>5.9</v>
      </c>
      <c r="BE304" s="35">
        <f t="shared" si="100"/>
        <v>26.1</v>
      </c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9"/>
      <c r="BU304" s="9"/>
      <c r="BV304" s="9"/>
      <c r="BW304" s="9"/>
      <c r="BX304" s="9"/>
      <c r="BY304" s="9"/>
      <c r="BZ304" s="9"/>
      <c r="CA304" s="9"/>
      <c r="CB304" s="9"/>
      <c r="CC304" s="9"/>
      <c r="CD304" s="9"/>
      <c r="CE304" s="9"/>
      <c r="CF304" s="9"/>
      <c r="CG304" s="9"/>
      <c r="CH304" s="9"/>
      <c r="CI304" s="9"/>
      <c r="CJ304" s="9"/>
      <c r="CK304" s="9"/>
      <c r="CL304" s="9"/>
      <c r="CM304" s="9"/>
      <c r="CN304" s="9"/>
      <c r="CO304" s="9"/>
      <c r="CP304" s="9"/>
      <c r="CQ304" s="10"/>
      <c r="CR304" s="9"/>
      <c r="CS304" s="9"/>
      <c r="CT304" s="9"/>
      <c r="CU304" s="9"/>
      <c r="CV304" s="9"/>
      <c r="CW304" s="9"/>
      <c r="CX304" s="9"/>
      <c r="CY304" s="9"/>
      <c r="CZ304" s="9"/>
      <c r="DA304" s="9"/>
      <c r="DB304" s="9"/>
      <c r="DC304" s="9"/>
      <c r="DD304" s="9"/>
      <c r="DE304" s="9"/>
      <c r="DF304" s="9"/>
      <c r="DG304" s="9"/>
      <c r="DH304" s="9"/>
      <c r="DI304" s="9"/>
      <c r="DJ304" s="9"/>
      <c r="DK304" s="9"/>
      <c r="DL304" s="9"/>
      <c r="DM304" s="9"/>
      <c r="DN304" s="9"/>
      <c r="DO304" s="9"/>
      <c r="DP304" s="9"/>
      <c r="DQ304" s="9"/>
      <c r="DR304" s="9"/>
      <c r="DS304" s="10"/>
      <c r="DT304" s="9"/>
      <c r="DU304" s="9"/>
      <c r="DV304" s="9"/>
      <c r="DW304" s="9"/>
      <c r="DX304" s="9"/>
      <c r="DY304" s="9"/>
      <c r="DZ304" s="9"/>
      <c r="EA304" s="9"/>
      <c r="EB304" s="9"/>
      <c r="EC304" s="9"/>
      <c r="ED304" s="9"/>
      <c r="EE304" s="9"/>
      <c r="EF304" s="9"/>
      <c r="EG304" s="9"/>
      <c r="EH304" s="9"/>
      <c r="EI304" s="9"/>
      <c r="EJ304" s="9"/>
      <c r="EK304" s="9"/>
      <c r="EL304" s="9"/>
      <c r="EM304" s="9"/>
      <c r="EN304" s="9"/>
      <c r="EO304" s="9"/>
      <c r="EP304" s="9"/>
      <c r="EQ304" s="9"/>
      <c r="ER304" s="9"/>
      <c r="ES304" s="9"/>
      <c r="ET304" s="9"/>
      <c r="EU304" s="10"/>
      <c r="EV304" s="9"/>
      <c r="EW304" s="9"/>
      <c r="EX304" s="9"/>
      <c r="EY304" s="9"/>
      <c r="EZ304" s="9"/>
      <c r="FA304" s="9"/>
      <c r="FB304" s="9"/>
      <c r="FC304" s="9"/>
      <c r="FD304" s="9"/>
      <c r="FE304" s="9"/>
      <c r="FF304" s="9"/>
      <c r="FG304" s="9"/>
      <c r="FH304" s="9"/>
      <c r="FI304" s="9"/>
      <c r="FJ304" s="9"/>
      <c r="FK304" s="9"/>
      <c r="FL304" s="9"/>
      <c r="FM304" s="9"/>
      <c r="FN304" s="9"/>
      <c r="FO304" s="9"/>
      <c r="FP304" s="9"/>
      <c r="FQ304" s="9"/>
      <c r="FR304" s="9"/>
      <c r="FS304" s="9"/>
      <c r="FT304" s="9"/>
      <c r="FU304" s="9"/>
      <c r="FV304" s="9"/>
      <c r="FW304" s="10"/>
      <c r="FX304" s="9"/>
      <c r="FY304" s="9"/>
      <c r="FZ304" s="9"/>
      <c r="GA304" s="9"/>
      <c r="GB304" s="9"/>
      <c r="GC304" s="9"/>
      <c r="GD304" s="9"/>
      <c r="GE304" s="9"/>
      <c r="GF304" s="9"/>
      <c r="GG304" s="9"/>
      <c r="GH304" s="9"/>
      <c r="GI304" s="9"/>
      <c r="GJ304" s="9"/>
      <c r="GK304" s="9"/>
      <c r="GL304" s="9"/>
      <c r="GM304" s="9"/>
      <c r="GN304" s="9"/>
      <c r="GO304" s="9"/>
      <c r="GP304" s="9"/>
      <c r="GQ304" s="9"/>
      <c r="GR304" s="9"/>
      <c r="GS304" s="9"/>
      <c r="GT304" s="9"/>
      <c r="GU304" s="9"/>
      <c r="GV304" s="9"/>
      <c r="GW304" s="9"/>
      <c r="GX304" s="9"/>
      <c r="GY304" s="10"/>
      <c r="GZ304" s="9"/>
      <c r="HA304" s="9"/>
    </row>
    <row r="305" spans="1:209" s="2" customFormat="1" ht="17" customHeight="1">
      <c r="A305" s="18" t="s">
        <v>298</v>
      </c>
      <c r="B305" s="6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35"/>
      <c r="AA305" s="35"/>
      <c r="AB305" s="11"/>
      <c r="AC305" s="11"/>
      <c r="AD305" s="11"/>
      <c r="AE305" s="11"/>
      <c r="AF305" s="11"/>
      <c r="AG305" s="11"/>
      <c r="AH305" s="11"/>
      <c r="AI305" s="11"/>
      <c r="AJ305" s="11"/>
      <c r="AK305" s="11"/>
      <c r="AL305" s="11"/>
      <c r="AM305" s="11"/>
      <c r="AN305" s="11"/>
      <c r="AO305" s="11"/>
      <c r="AP305" s="11"/>
      <c r="AQ305" s="11"/>
      <c r="AR305" s="11"/>
      <c r="AS305" s="11"/>
      <c r="AT305" s="11"/>
      <c r="AU305" s="11"/>
      <c r="AV305" s="11"/>
      <c r="AW305" s="11"/>
      <c r="AX305" s="11"/>
      <c r="AY305" s="11"/>
      <c r="AZ305" s="11"/>
      <c r="BA305" s="11"/>
      <c r="BB305" s="11"/>
      <c r="BC305" s="35"/>
      <c r="BD305" s="35"/>
      <c r="BE305" s="35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9"/>
      <c r="BU305" s="9"/>
      <c r="BV305" s="9"/>
      <c r="BW305" s="9"/>
      <c r="BX305" s="9"/>
      <c r="BY305" s="9"/>
      <c r="BZ305" s="9"/>
      <c r="CA305" s="9"/>
      <c r="CB305" s="9"/>
      <c r="CC305" s="9"/>
      <c r="CD305" s="9"/>
      <c r="CE305" s="9"/>
      <c r="CF305" s="9"/>
      <c r="CG305" s="9"/>
      <c r="CH305" s="9"/>
      <c r="CI305" s="9"/>
      <c r="CJ305" s="9"/>
      <c r="CK305" s="9"/>
      <c r="CL305" s="9"/>
      <c r="CM305" s="9"/>
      <c r="CN305" s="9"/>
      <c r="CO305" s="9"/>
      <c r="CP305" s="9"/>
      <c r="CQ305" s="10"/>
      <c r="CR305" s="9"/>
      <c r="CS305" s="9"/>
      <c r="CT305" s="9"/>
      <c r="CU305" s="9"/>
      <c r="CV305" s="9"/>
      <c r="CW305" s="9"/>
      <c r="CX305" s="9"/>
      <c r="CY305" s="9"/>
      <c r="CZ305" s="9"/>
      <c r="DA305" s="9"/>
      <c r="DB305" s="9"/>
      <c r="DC305" s="9"/>
      <c r="DD305" s="9"/>
      <c r="DE305" s="9"/>
      <c r="DF305" s="9"/>
      <c r="DG305" s="9"/>
      <c r="DH305" s="9"/>
      <c r="DI305" s="9"/>
      <c r="DJ305" s="9"/>
      <c r="DK305" s="9"/>
      <c r="DL305" s="9"/>
      <c r="DM305" s="9"/>
      <c r="DN305" s="9"/>
      <c r="DO305" s="9"/>
      <c r="DP305" s="9"/>
      <c r="DQ305" s="9"/>
      <c r="DR305" s="9"/>
      <c r="DS305" s="10"/>
      <c r="DT305" s="9"/>
      <c r="DU305" s="9"/>
      <c r="DV305" s="9"/>
      <c r="DW305" s="9"/>
      <c r="DX305" s="9"/>
      <c r="DY305" s="9"/>
      <c r="DZ305" s="9"/>
      <c r="EA305" s="9"/>
      <c r="EB305" s="9"/>
      <c r="EC305" s="9"/>
      <c r="ED305" s="9"/>
      <c r="EE305" s="9"/>
      <c r="EF305" s="9"/>
      <c r="EG305" s="9"/>
      <c r="EH305" s="9"/>
      <c r="EI305" s="9"/>
      <c r="EJ305" s="9"/>
      <c r="EK305" s="9"/>
      <c r="EL305" s="9"/>
      <c r="EM305" s="9"/>
      <c r="EN305" s="9"/>
      <c r="EO305" s="9"/>
      <c r="EP305" s="9"/>
      <c r="EQ305" s="9"/>
      <c r="ER305" s="9"/>
      <c r="ES305" s="9"/>
      <c r="ET305" s="9"/>
      <c r="EU305" s="10"/>
      <c r="EV305" s="9"/>
      <c r="EW305" s="9"/>
      <c r="EX305" s="9"/>
      <c r="EY305" s="9"/>
      <c r="EZ305" s="9"/>
      <c r="FA305" s="9"/>
      <c r="FB305" s="9"/>
      <c r="FC305" s="9"/>
      <c r="FD305" s="9"/>
      <c r="FE305" s="9"/>
      <c r="FF305" s="9"/>
      <c r="FG305" s="9"/>
      <c r="FH305" s="9"/>
      <c r="FI305" s="9"/>
      <c r="FJ305" s="9"/>
      <c r="FK305" s="9"/>
      <c r="FL305" s="9"/>
      <c r="FM305" s="9"/>
      <c r="FN305" s="9"/>
      <c r="FO305" s="9"/>
      <c r="FP305" s="9"/>
      <c r="FQ305" s="9"/>
      <c r="FR305" s="9"/>
      <c r="FS305" s="9"/>
      <c r="FT305" s="9"/>
      <c r="FU305" s="9"/>
      <c r="FV305" s="9"/>
      <c r="FW305" s="10"/>
      <c r="FX305" s="9"/>
      <c r="FY305" s="9"/>
      <c r="FZ305" s="9"/>
      <c r="GA305" s="9"/>
      <c r="GB305" s="9"/>
      <c r="GC305" s="9"/>
      <c r="GD305" s="9"/>
      <c r="GE305" s="9"/>
      <c r="GF305" s="9"/>
      <c r="GG305" s="9"/>
      <c r="GH305" s="9"/>
      <c r="GI305" s="9"/>
      <c r="GJ305" s="9"/>
      <c r="GK305" s="9"/>
      <c r="GL305" s="9"/>
      <c r="GM305" s="9"/>
      <c r="GN305" s="9"/>
      <c r="GO305" s="9"/>
      <c r="GP305" s="9"/>
      <c r="GQ305" s="9"/>
      <c r="GR305" s="9"/>
      <c r="GS305" s="9"/>
      <c r="GT305" s="9"/>
      <c r="GU305" s="9"/>
      <c r="GV305" s="9"/>
      <c r="GW305" s="9"/>
      <c r="GX305" s="9"/>
      <c r="GY305" s="10"/>
      <c r="GZ305" s="9"/>
      <c r="HA305" s="9"/>
    </row>
    <row r="306" spans="1:209" s="2" customFormat="1" ht="17" customHeight="1">
      <c r="A306" s="46" t="s">
        <v>299</v>
      </c>
      <c r="B306" s="35">
        <v>5764</v>
      </c>
      <c r="C306" s="35">
        <v>5571</v>
      </c>
      <c r="D306" s="4">
        <f t="shared" si="87"/>
        <v>0.96651630811936151</v>
      </c>
      <c r="E306" s="11">
        <v>10</v>
      </c>
      <c r="F306" s="5" t="s">
        <v>362</v>
      </c>
      <c r="G306" s="5" t="s">
        <v>362</v>
      </c>
      <c r="H306" s="5" t="s">
        <v>362</v>
      </c>
      <c r="I306" s="5" t="s">
        <v>362</v>
      </c>
      <c r="J306" s="5" t="s">
        <v>362</v>
      </c>
      <c r="K306" s="5" t="s">
        <v>362</v>
      </c>
      <c r="L306" s="5" t="s">
        <v>362</v>
      </c>
      <c r="M306" s="5" t="s">
        <v>362</v>
      </c>
      <c r="N306" s="35">
        <v>2201.1999999999998</v>
      </c>
      <c r="O306" s="35">
        <v>1817.5</v>
      </c>
      <c r="P306" s="4">
        <f t="shared" si="88"/>
        <v>0.82568598946029448</v>
      </c>
      <c r="Q306" s="11">
        <v>20</v>
      </c>
      <c r="R306" s="35">
        <v>0</v>
      </c>
      <c r="S306" s="35">
        <v>0</v>
      </c>
      <c r="T306" s="4">
        <f t="shared" si="89"/>
        <v>1</v>
      </c>
      <c r="U306" s="11">
        <v>20</v>
      </c>
      <c r="V306" s="35">
        <v>0</v>
      </c>
      <c r="W306" s="35">
        <v>0</v>
      </c>
      <c r="X306" s="4">
        <f t="shared" si="90"/>
        <v>1</v>
      </c>
      <c r="Y306" s="11">
        <v>30</v>
      </c>
      <c r="Z306" s="35">
        <v>8198</v>
      </c>
      <c r="AA306" s="35">
        <v>9477</v>
      </c>
      <c r="AB306" s="4">
        <f t="shared" si="91"/>
        <v>1.1560136618687484</v>
      </c>
      <c r="AC306" s="11">
        <v>5</v>
      </c>
      <c r="AD306" s="11">
        <v>26</v>
      </c>
      <c r="AE306" s="11">
        <v>27</v>
      </c>
      <c r="AF306" s="4">
        <f t="shared" si="92"/>
        <v>1.0384615384615385</v>
      </c>
      <c r="AG306" s="11">
        <v>20</v>
      </c>
      <c r="AH306" s="5" t="s">
        <v>362</v>
      </c>
      <c r="AI306" s="5" t="s">
        <v>362</v>
      </c>
      <c r="AJ306" s="5" t="s">
        <v>362</v>
      </c>
      <c r="AK306" s="5" t="s">
        <v>362</v>
      </c>
      <c r="AL306" s="5" t="s">
        <v>362</v>
      </c>
      <c r="AM306" s="5" t="s">
        <v>362</v>
      </c>
      <c r="AN306" s="5" t="s">
        <v>362</v>
      </c>
      <c r="AO306" s="5" t="s">
        <v>362</v>
      </c>
      <c r="AP306" s="44">
        <f t="shared" si="101"/>
        <v>0.97836363760927647</v>
      </c>
      <c r="AQ306" s="45">
        <v>28</v>
      </c>
      <c r="AR306" s="35">
        <f t="shared" si="93"/>
        <v>7.6363636363636367</v>
      </c>
      <c r="AS306" s="35">
        <f t="shared" si="94"/>
        <v>7.5</v>
      </c>
      <c r="AT306" s="35">
        <f t="shared" si="95"/>
        <v>-0.13636363636363669</v>
      </c>
      <c r="AU306" s="35">
        <v>2.6</v>
      </c>
      <c r="AV306" s="35">
        <v>2.4</v>
      </c>
      <c r="AW306" s="35">
        <f t="shared" si="96"/>
        <v>2.5</v>
      </c>
      <c r="AX306" s="35"/>
      <c r="AY306" s="35">
        <f t="shared" si="97"/>
        <v>2.5</v>
      </c>
      <c r="AZ306" s="35">
        <v>0</v>
      </c>
      <c r="BA306" s="35">
        <f t="shared" si="98"/>
        <v>2.5</v>
      </c>
      <c r="BB306" s="35">
        <f>MIN(BA306,1.3)</f>
        <v>1.3</v>
      </c>
      <c r="BC306" s="35">
        <f t="shared" si="99"/>
        <v>1.2</v>
      </c>
      <c r="BD306" s="35">
        <v>1.1000000000000001</v>
      </c>
      <c r="BE306" s="35">
        <f t="shared" si="100"/>
        <v>0.1</v>
      </c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9"/>
      <c r="BU306" s="9"/>
      <c r="BV306" s="9"/>
      <c r="BW306" s="9"/>
      <c r="BX306" s="9"/>
      <c r="BY306" s="9"/>
      <c r="BZ306" s="9"/>
      <c r="CA306" s="9"/>
      <c r="CB306" s="9"/>
      <c r="CC306" s="9"/>
      <c r="CD306" s="9"/>
      <c r="CE306" s="9"/>
      <c r="CF306" s="9"/>
      <c r="CG306" s="9"/>
      <c r="CH306" s="9"/>
      <c r="CI306" s="9"/>
      <c r="CJ306" s="9"/>
      <c r="CK306" s="9"/>
      <c r="CL306" s="9"/>
      <c r="CM306" s="9"/>
      <c r="CN306" s="9"/>
      <c r="CO306" s="9"/>
      <c r="CP306" s="9"/>
      <c r="CQ306" s="10"/>
      <c r="CR306" s="9"/>
      <c r="CS306" s="9"/>
      <c r="CT306" s="9"/>
      <c r="CU306" s="9"/>
      <c r="CV306" s="9"/>
      <c r="CW306" s="9"/>
      <c r="CX306" s="9"/>
      <c r="CY306" s="9"/>
      <c r="CZ306" s="9"/>
      <c r="DA306" s="9"/>
      <c r="DB306" s="9"/>
      <c r="DC306" s="9"/>
      <c r="DD306" s="9"/>
      <c r="DE306" s="9"/>
      <c r="DF306" s="9"/>
      <c r="DG306" s="9"/>
      <c r="DH306" s="9"/>
      <c r="DI306" s="9"/>
      <c r="DJ306" s="9"/>
      <c r="DK306" s="9"/>
      <c r="DL306" s="9"/>
      <c r="DM306" s="9"/>
      <c r="DN306" s="9"/>
      <c r="DO306" s="9"/>
      <c r="DP306" s="9"/>
      <c r="DQ306" s="9"/>
      <c r="DR306" s="9"/>
      <c r="DS306" s="10"/>
      <c r="DT306" s="9"/>
      <c r="DU306" s="9"/>
      <c r="DV306" s="9"/>
      <c r="DW306" s="9"/>
      <c r="DX306" s="9"/>
      <c r="DY306" s="9"/>
      <c r="DZ306" s="9"/>
      <c r="EA306" s="9"/>
      <c r="EB306" s="9"/>
      <c r="EC306" s="9"/>
      <c r="ED306" s="9"/>
      <c r="EE306" s="9"/>
      <c r="EF306" s="9"/>
      <c r="EG306" s="9"/>
      <c r="EH306" s="9"/>
      <c r="EI306" s="9"/>
      <c r="EJ306" s="9"/>
      <c r="EK306" s="9"/>
      <c r="EL306" s="9"/>
      <c r="EM306" s="9"/>
      <c r="EN306" s="9"/>
      <c r="EO306" s="9"/>
      <c r="EP306" s="9"/>
      <c r="EQ306" s="9"/>
      <c r="ER306" s="9"/>
      <c r="ES306" s="9"/>
      <c r="ET306" s="9"/>
      <c r="EU306" s="10"/>
      <c r="EV306" s="9"/>
      <c r="EW306" s="9"/>
      <c r="EX306" s="9"/>
      <c r="EY306" s="9"/>
      <c r="EZ306" s="9"/>
      <c r="FA306" s="9"/>
      <c r="FB306" s="9"/>
      <c r="FC306" s="9"/>
      <c r="FD306" s="9"/>
      <c r="FE306" s="9"/>
      <c r="FF306" s="9"/>
      <c r="FG306" s="9"/>
      <c r="FH306" s="9"/>
      <c r="FI306" s="9"/>
      <c r="FJ306" s="9"/>
      <c r="FK306" s="9"/>
      <c r="FL306" s="9"/>
      <c r="FM306" s="9"/>
      <c r="FN306" s="9"/>
      <c r="FO306" s="9"/>
      <c r="FP306" s="9"/>
      <c r="FQ306" s="9"/>
      <c r="FR306" s="9"/>
      <c r="FS306" s="9"/>
      <c r="FT306" s="9"/>
      <c r="FU306" s="9"/>
      <c r="FV306" s="9"/>
      <c r="FW306" s="10"/>
      <c r="FX306" s="9"/>
      <c r="FY306" s="9"/>
      <c r="FZ306" s="9"/>
      <c r="GA306" s="9"/>
      <c r="GB306" s="9"/>
      <c r="GC306" s="9"/>
      <c r="GD306" s="9"/>
      <c r="GE306" s="9"/>
      <c r="GF306" s="9"/>
      <c r="GG306" s="9"/>
      <c r="GH306" s="9"/>
      <c r="GI306" s="9"/>
      <c r="GJ306" s="9"/>
      <c r="GK306" s="9"/>
      <c r="GL306" s="9"/>
      <c r="GM306" s="9"/>
      <c r="GN306" s="9"/>
      <c r="GO306" s="9"/>
      <c r="GP306" s="9"/>
      <c r="GQ306" s="9"/>
      <c r="GR306" s="9"/>
      <c r="GS306" s="9"/>
      <c r="GT306" s="9"/>
      <c r="GU306" s="9"/>
      <c r="GV306" s="9"/>
      <c r="GW306" s="9"/>
      <c r="GX306" s="9"/>
      <c r="GY306" s="10"/>
      <c r="GZ306" s="9"/>
      <c r="HA306" s="9"/>
    </row>
    <row r="307" spans="1:209" s="2" customFormat="1" ht="17" customHeight="1">
      <c r="A307" s="46" t="s">
        <v>300</v>
      </c>
      <c r="B307" s="35">
        <v>45551</v>
      </c>
      <c r="C307" s="35">
        <v>63750</v>
      </c>
      <c r="D307" s="4">
        <f t="shared" si="87"/>
        <v>1.219953019692213</v>
      </c>
      <c r="E307" s="11">
        <v>10</v>
      </c>
      <c r="F307" s="5" t="s">
        <v>362</v>
      </c>
      <c r="G307" s="5" t="s">
        <v>362</v>
      </c>
      <c r="H307" s="5" t="s">
        <v>362</v>
      </c>
      <c r="I307" s="5" t="s">
        <v>362</v>
      </c>
      <c r="J307" s="5" t="s">
        <v>362</v>
      </c>
      <c r="K307" s="5" t="s">
        <v>362</v>
      </c>
      <c r="L307" s="5" t="s">
        <v>362</v>
      </c>
      <c r="M307" s="5" t="s">
        <v>362</v>
      </c>
      <c r="N307" s="35">
        <v>2983.3</v>
      </c>
      <c r="O307" s="35">
        <v>2195.4</v>
      </c>
      <c r="P307" s="4">
        <f t="shared" si="88"/>
        <v>0.73589649046358063</v>
      </c>
      <c r="Q307" s="11">
        <v>20</v>
      </c>
      <c r="R307" s="35">
        <v>100</v>
      </c>
      <c r="S307" s="35">
        <v>113.5</v>
      </c>
      <c r="T307" s="4">
        <f t="shared" si="89"/>
        <v>1.135</v>
      </c>
      <c r="U307" s="11">
        <v>15</v>
      </c>
      <c r="V307" s="35">
        <v>12.9</v>
      </c>
      <c r="W307" s="35">
        <v>15</v>
      </c>
      <c r="X307" s="4">
        <f t="shared" si="90"/>
        <v>1.1627906976744187</v>
      </c>
      <c r="Y307" s="11">
        <v>35</v>
      </c>
      <c r="Z307" s="35">
        <v>31258</v>
      </c>
      <c r="AA307" s="35">
        <v>56514</v>
      </c>
      <c r="AB307" s="4">
        <f t="shared" si="91"/>
        <v>1.2607985155800114</v>
      </c>
      <c r="AC307" s="11">
        <v>5</v>
      </c>
      <c r="AD307" s="11">
        <v>171</v>
      </c>
      <c r="AE307" s="11">
        <v>130</v>
      </c>
      <c r="AF307" s="4">
        <f t="shared" si="92"/>
        <v>0.76023391812865493</v>
      </c>
      <c r="AG307" s="11">
        <v>20</v>
      </c>
      <c r="AH307" s="5" t="s">
        <v>362</v>
      </c>
      <c r="AI307" s="5" t="s">
        <v>362</v>
      </c>
      <c r="AJ307" s="5" t="s">
        <v>362</v>
      </c>
      <c r="AK307" s="5" t="s">
        <v>362</v>
      </c>
      <c r="AL307" s="5" t="s">
        <v>362</v>
      </c>
      <c r="AM307" s="5" t="s">
        <v>362</v>
      </c>
      <c r="AN307" s="5" t="s">
        <v>362</v>
      </c>
      <c r="AO307" s="5" t="s">
        <v>362</v>
      </c>
      <c r="AP307" s="44">
        <f t="shared" si="101"/>
        <v>1.0109410034787767</v>
      </c>
      <c r="AQ307" s="45">
        <v>86</v>
      </c>
      <c r="AR307" s="35">
        <f t="shared" si="93"/>
        <v>23.454545454545453</v>
      </c>
      <c r="AS307" s="35">
        <f t="shared" si="94"/>
        <v>23.7</v>
      </c>
      <c r="AT307" s="35">
        <f t="shared" si="95"/>
        <v>0.24545454545454604</v>
      </c>
      <c r="AU307" s="35">
        <v>8.5</v>
      </c>
      <c r="AV307" s="35">
        <v>7.9</v>
      </c>
      <c r="AW307" s="35">
        <f t="shared" si="96"/>
        <v>7.3</v>
      </c>
      <c r="AX307" s="35"/>
      <c r="AY307" s="35">
        <f t="shared" si="97"/>
        <v>7.3</v>
      </c>
      <c r="AZ307" s="35">
        <v>0</v>
      </c>
      <c r="BA307" s="35">
        <f t="shared" si="98"/>
        <v>7.3</v>
      </c>
      <c r="BB307" s="35">
        <f>MIN(BA307,3.9)</f>
        <v>3.9</v>
      </c>
      <c r="BC307" s="35">
        <f t="shared" si="99"/>
        <v>3.4</v>
      </c>
      <c r="BD307" s="35">
        <v>3.1</v>
      </c>
      <c r="BE307" s="35">
        <f t="shared" si="100"/>
        <v>0.3</v>
      </c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9"/>
      <c r="BU307" s="9"/>
      <c r="BV307" s="9"/>
      <c r="BW307" s="9"/>
      <c r="BX307" s="9"/>
      <c r="BY307" s="9"/>
      <c r="BZ307" s="9"/>
      <c r="CA307" s="9"/>
      <c r="CB307" s="9"/>
      <c r="CC307" s="9"/>
      <c r="CD307" s="9"/>
      <c r="CE307" s="9"/>
      <c r="CF307" s="9"/>
      <c r="CG307" s="9"/>
      <c r="CH307" s="9"/>
      <c r="CI307" s="9"/>
      <c r="CJ307" s="9"/>
      <c r="CK307" s="9"/>
      <c r="CL307" s="9"/>
      <c r="CM307" s="9"/>
      <c r="CN307" s="9"/>
      <c r="CO307" s="9"/>
      <c r="CP307" s="9"/>
      <c r="CQ307" s="10"/>
      <c r="CR307" s="9"/>
      <c r="CS307" s="9"/>
      <c r="CT307" s="9"/>
      <c r="CU307" s="9"/>
      <c r="CV307" s="9"/>
      <c r="CW307" s="9"/>
      <c r="CX307" s="9"/>
      <c r="CY307" s="9"/>
      <c r="CZ307" s="9"/>
      <c r="DA307" s="9"/>
      <c r="DB307" s="9"/>
      <c r="DC307" s="9"/>
      <c r="DD307" s="9"/>
      <c r="DE307" s="9"/>
      <c r="DF307" s="9"/>
      <c r="DG307" s="9"/>
      <c r="DH307" s="9"/>
      <c r="DI307" s="9"/>
      <c r="DJ307" s="9"/>
      <c r="DK307" s="9"/>
      <c r="DL307" s="9"/>
      <c r="DM307" s="9"/>
      <c r="DN307" s="9"/>
      <c r="DO307" s="9"/>
      <c r="DP307" s="9"/>
      <c r="DQ307" s="9"/>
      <c r="DR307" s="9"/>
      <c r="DS307" s="10"/>
      <c r="DT307" s="9"/>
      <c r="DU307" s="9"/>
      <c r="DV307" s="9"/>
      <c r="DW307" s="9"/>
      <c r="DX307" s="9"/>
      <c r="DY307" s="9"/>
      <c r="DZ307" s="9"/>
      <c r="EA307" s="9"/>
      <c r="EB307" s="9"/>
      <c r="EC307" s="9"/>
      <c r="ED307" s="9"/>
      <c r="EE307" s="9"/>
      <c r="EF307" s="9"/>
      <c r="EG307" s="9"/>
      <c r="EH307" s="9"/>
      <c r="EI307" s="9"/>
      <c r="EJ307" s="9"/>
      <c r="EK307" s="9"/>
      <c r="EL307" s="9"/>
      <c r="EM307" s="9"/>
      <c r="EN307" s="9"/>
      <c r="EO307" s="9"/>
      <c r="EP307" s="9"/>
      <c r="EQ307" s="9"/>
      <c r="ER307" s="9"/>
      <c r="ES307" s="9"/>
      <c r="ET307" s="9"/>
      <c r="EU307" s="10"/>
      <c r="EV307" s="9"/>
      <c r="EW307" s="9"/>
      <c r="EX307" s="9"/>
      <c r="EY307" s="9"/>
      <c r="EZ307" s="9"/>
      <c r="FA307" s="9"/>
      <c r="FB307" s="9"/>
      <c r="FC307" s="9"/>
      <c r="FD307" s="9"/>
      <c r="FE307" s="9"/>
      <c r="FF307" s="9"/>
      <c r="FG307" s="9"/>
      <c r="FH307" s="9"/>
      <c r="FI307" s="9"/>
      <c r="FJ307" s="9"/>
      <c r="FK307" s="9"/>
      <c r="FL307" s="9"/>
      <c r="FM307" s="9"/>
      <c r="FN307" s="9"/>
      <c r="FO307" s="9"/>
      <c r="FP307" s="9"/>
      <c r="FQ307" s="9"/>
      <c r="FR307" s="9"/>
      <c r="FS307" s="9"/>
      <c r="FT307" s="9"/>
      <c r="FU307" s="9"/>
      <c r="FV307" s="9"/>
      <c r="FW307" s="10"/>
      <c r="FX307" s="9"/>
      <c r="FY307" s="9"/>
      <c r="FZ307" s="9"/>
      <c r="GA307" s="9"/>
      <c r="GB307" s="9"/>
      <c r="GC307" s="9"/>
      <c r="GD307" s="9"/>
      <c r="GE307" s="9"/>
      <c r="GF307" s="9"/>
      <c r="GG307" s="9"/>
      <c r="GH307" s="9"/>
      <c r="GI307" s="9"/>
      <c r="GJ307" s="9"/>
      <c r="GK307" s="9"/>
      <c r="GL307" s="9"/>
      <c r="GM307" s="9"/>
      <c r="GN307" s="9"/>
      <c r="GO307" s="9"/>
      <c r="GP307" s="9"/>
      <c r="GQ307" s="9"/>
      <c r="GR307" s="9"/>
      <c r="GS307" s="9"/>
      <c r="GT307" s="9"/>
      <c r="GU307" s="9"/>
      <c r="GV307" s="9"/>
      <c r="GW307" s="9"/>
      <c r="GX307" s="9"/>
      <c r="GY307" s="10"/>
      <c r="GZ307" s="9"/>
      <c r="HA307" s="9"/>
    </row>
    <row r="308" spans="1:209" s="2" customFormat="1" ht="17" customHeight="1">
      <c r="A308" s="46" t="s">
        <v>301</v>
      </c>
      <c r="B308" s="35">
        <v>1444</v>
      </c>
      <c r="C308" s="35">
        <v>1412</v>
      </c>
      <c r="D308" s="4">
        <f t="shared" si="87"/>
        <v>0.97783933518005539</v>
      </c>
      <c r="E308" s="11">
        <v>10</v>
      </c>
      <c r="F308" s="5" t="s">
        <v>362</v>
      </c>
      <c r="G308" s="5" t="s">
        <v>362</v>
      </c>
      <c r="H308" s="5" t="s">
        <v>362</v>
      </c>
      <c r="I308" s="5" t="s">
        <v>362</v>
      </c>
      <c r="J308" s="5" t="s">
        <v>362</v>
      </c>
      <c r="K308" s="5" t="s">
        <v>362</v>
      </c>
      <c r="L308" s="5" t="s">
        <v>362</v>
      </c>
      <c r="M308" s="5" t="s">
        <v>362</v>
      </c>
      <c r="N308" s="35">
        <v>1186</v>
      </c>
      <c r="O308" s="35">
        <v>558.6</v>
      </c>
      <c r="P308" s="4">
        <f t="shared" si="88"/>
        <v>0.47099494097807759</v>
      </c>
      <c r="Q308" s="11">
        <v>20</v>
      </c>
      <c r="R308" s="35">
        <v>0</v>
      </c>
      <c r="S308" s="35">
        <v>0</v>
      </c>
      <c r="T308" s="4">
        <f t="shared" si="89"/>
        <v>1</v>
      </c>
      <c r="U308" s="11">
        <v>10</v>
      </c>
      <c r="V308" s="35">
        <v>12.5</v>
      </c>
      <c r="W308" s="35">
        <v>14.8</v>
      </c>
      <c r="X308" s="4">
        <f t="shared" si="90"/>
        <v>1.1840000000000002</v>
      </c>
      <c r="Y308" s="11">
        <v>40</v>
      </c>
      <c r="Z308" s="35">
        <v>2256</v>
      </c>
      <c r="AA308" s="35">
        <v>1958</v>
      </c>
      <c r="AB308" s="4">
        <f t="shared" si="91"/>
        <v>0.86790780141843971</v>
      </c>
      <c r="AC308" s="11">
        <v>5</v>
      </c>
      <c r="AD308" s="11">
        <v>38</v>
      </c>
      <c r="AE308" s="11">
        <v>38</v>
      </c>
      <c r="AF308" s="4">
        <f t="shared" si="92"/>
        <v>1</v>
      </c>
      <c r="AG308" s="11">
        <v>20</v>
      </c>
      <c r="AH308" s="5" t="s">
        <v>362</v>
      </c>
      <c r="AI308" s="5" t="s">
        <v>362</v>
      </c>
      <c r="AJ308" s="5" t="s">
        <v>362</v>
      </c>
      <c r="AK308" s="5" t="s">
        <v>362</v>
      </c>
      <c r="AL308" s="5" t="s">
        <v>362</v>
      </c>
      <c r="AM308" s="5" t="s">
        <v>362</v>
      </c>
      <c r="AN308" s="5" t="s">
        <v>362</v>
      </c>
      <c r="AO308" s="5" t="s">
        <v>362</v>
      </c>
      <c r="AP308" s="44">
        <f t="shared" si="101"/>
        <v>0.96093172550908867</v>
      </c>
      <c r="AQ308" s="45">
        <v>635</v>
      </c>
      <c r="AR308" s="35">
        <f t="shared" si="93"/>
        <v>173.18181818181819</v>
      </c>
      <c r="AS308" s="35">
        <f t="shared" si="94"/>
        <v>166.4</v>
      </c>
      <c r="AT308" s="35">
        <f t="shared" si="95"/>
        <v>-6.7818181818181813</v>
      </c>
      <c r="AU308" s="35">
        <v>62.3</v>
      </c>
      <c r="AV308" s="35">
        <v>57.3</v>
      </c>
      <c r="AW308" s="35">
        <f t="shared" si="96"/>
        <v>46.8</v>
      </c>
      <c r="AX308" s="35"/>
      <c r="AY308" s="35">
        <f t="shared" si="97"/>
        <v>46.8</v>
      </c>
      <c r="AZ308" s="35">
        <v>0</v>
      </c>
      <c r="BA308" s="35">
        <f t="shared" si="98"/>
        <v>46.8</v>
      </c>
      <c r="BB308" s="35">
        <f>MIN(BA308,3.1)</f>
        <v>3.1</v>
      </c>
      <c r="BC308" s="35">
        <f t="shared" si="99"/>
        <v>43.7</v>
      </c>
      <c r="BD308" s="35">
        <v>44.5</v>
      </c>
      <c r="BE308" s="35">
        <f t="shared" si="100"/>
        <v>-0.8</v>
      </c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9"/>
      <c r="BU308" s="9"/>
      <c r="BV308" s="9"/>
      <c r="BW308" s="9"/>
      <c r="BX308" s="9"/>
      <c r="BY308" s="9"/>
      <c r="BZ308" s="9"/>
      <c r="CA308" s="9"/>
      <c r="CB308" s="9"/>
      <c r="CC308" s="9"/>
      <c r="CD308" s="9"/>
      <c r="CE308" s="9"/>
      <c r="CF308" s="9"/>
      <c r="CG308" s="9"/>
      <c r="CH308" s="9"/>
      <c r="CI308" s="9"/>
      <c r="CJ308" s="9"/>
      <c r="CK308" s="9"/>
      <c r="CL308" s="9"/>
      <c r="CM308" s="9"/>
      <c r="CN308" s="9"/>
      <c r="CO308" s="9"/>
      <c r="CP308" s="9"/>
      <c r="CQ308" s="10"/>
      <c r="CR308" s="9"/>
      <c r="CS308" s="9"/>
      <c r="CT308" s="9"/>
      <c r="CU308" s="9"/>
      <c r="CV308" s="9"/>
      <c r="CW308" s="9"/>
      <c r="CX308" s="9"/>
      <c r="CY308" s="9"/>
      <c r="CZ308" s="9"/>
      <c r="DA308" s="9"/>
      <c r="DB308" s="9"/>
      <c r="DC308" s="9"/>
      <c r="DD308" s="9"/>
      <c r="DE308" s="9"/>
      <c r="DF308" s="9"/>
      <c r="DG308" s="9"/>
      <c r="DH308" s="9"/>
      <c r="DI308" s="9"/>
      <c r="DJ308" s="9"/>
      <c r="DK308" s="9"/>
      <c r="DL308" s="9"/>
      <c r="DM308" s="9"/>
      <c r="DN308" s="9"/>
      <c r="DO308" s="9"/>
      <c r="DP308" s="9"/>
      <c r="DQ308" s="9"/>
      <c r="DR308" s="9"/>
      <c r="DS308" s="10"/>
      <c r="DT308" s="9"/>
      <c r="DU308" s="9"/>
      <c r="DV308" s="9"/>
      <c r="DW308" s="9"/>
      <c r="DX308" s="9"/>
      <c r="DY308" s="9"/>
      <c r="DZ308" s="9"/>
      <c r="EA308" s="9"/>
      <c r="EB308" s="9"/>
      <c r="EC308" s="9"/>
      <c r="ED308" s="9"/>
      <c r="EE308" s="9"/>
      <c r="EF308" s="9"/>
      <c r="EG308" s="9"/>
      <c r="EH308" s="9"/>
      <c r="EI308" s="9"/>
      <c r="EJ308" s="9"/>
      <c r="EK308" s="9"/>
      <c r="EL308" s="9"/>
      <c r="EM308" s="9"/>
      <c r="EN308" s="9"/>
      <c r="EO308" s="9"/>
      <c r="EP308" s="9"/>
      <c r="EQ308" s="9"/>
      <c r="ER308" s="9"/>
      <c r="ES308" s="9"/>
      <c r="ET308" s="9"/>
      <c r="EU308" s="10"/>
      <c r="EV308" s="9"/>
      <c r="EW308" s="9"/>
      <c r="EX308" s="9"/>
      <c r="EY308" s="9"/>
      <c r="EZ308" s="9"/>
      <c r="FA308" s="9"/>
      <c r="FB308" s="9"/>
      <c r="FC308" s="9"/>
      <c r="FD308" s="9"/>
      <c r="FE308" s="9"/>
      <c r="FF308" s="9"/>
      <c r="FG308" s="9"/>
      <c r="FH308" s="9"/>
      <c r="FI308" s="9"/>
      <c r="FJ308" s="9"/>
      <c r="FK308" s="9"/>
      <c r="FL308" s="9"/>
      <c r="FM308" s="9"/>
      <c r="FN308" s="9"/>
      <c r="FO308" s="9"/>
      <c r="FP308" s="9"/>
      <c r="FQ308" s="9"/>
      <c r="FR308" s="9"/>
      <c r="FS308" s="9"/>
      <c r="FT308" s="9"/>
      <c r="FU308" s="9"/>
      <c r="FV308" s="9"/>
      <c r="FW308" s="10"/>
      <c r="FX308" s="9"/>
      <c r="FY308" s="9"/>
      <c r="FZ308" s="9"/>
      <c r="GA308" s="9"/>
      <c r="GB308" s="9"/>
      <c r="GC308" s="9"/>
      <c r="GD308" s="9"/>
      <c r="GE308" s="9"/>
      <c r="GF308" s="9"/>
      <c r="GG308" s="9"/>
      <c r="GH308" s="9"/>
      <c r="GI308" s="9"/>
      <c r="GJ308" s="9"/>
      <c r="GK308" s="9"/>
      <c r="GL308" s="9"/>
      <c r="GM308" s="9"/>
      <c r="GN308" s="9"/>
      <c r="GO308" s="9"/>
      <c r="GP308" s="9"/>
      <c r="GQ308" s="9"/>
      <c r="GR308" s="9"/>
      <c r="GS308" s="9"/>
      <c r="GT308" s="9"/>
      <c r="GU308" s="9"/>
      <c r="GV308" s="9"/>
      <c r="GW308" s="9"/>
      <c r="GX308" s="9"/>
      <c r="GY308" s="10"/>
      <c r="GZ308" s="9"/>
      <c r="HA308" s="9"/>
    </row>
    <row r="309" spans="1:209" s="2" customFormat="1" ht="17" customHeight="1">
      <c r="A309" s="46" t="s">
        <v>302</v>
      </c>
      <c r="B309" s="35">
        <v>1899</v>
      </c>
      <c r="C309" s="35">
        <v>1643.5</v>
      </c>
      <c r="D309" s="4">
        <f t="shared" si="87"/>
        <v>0.86545550289626116</v>
      </c>
      <c r="E309" s="11">
        <v>10</v>
      </c>
      <c r="F309" s="5" t="s">
        <v>362</v>
      </c>
      <c r="G309" s="5" t="s">
        <v>362</v>
      </c>
      <c r="H309" s="5" t="s">
        <v>362</v>
      </c>
      <c r="I309" s="5" t="s">
        <v>362</v>
      </c>
      <c r="J309" s="5" t="s">
        <v>362</v>
      </c>
      <c r="K309" s="5" t="s">
        <v>362</v>
      </c>
      <c r="L309" s="5" t="s">
        <v>362</v>
      </c>
      <c r="M309" s="5" t="s">
        <v>362</v>
      </c>
      <c r="N309" s="35">
        <v>185.8</v>
      </c>
      <c r="O309" s="35">
        <v>152.69999999999999</v>
      </c>
      <c r="P309" s="4">
        <f t="shared" si="88"/>
        <v>0.82185145317545738</v>
      </c>
      <c r="Q309" s="11">
        <v>20</v>
      </c>
      <c r="R309" s="35">
        <v>150</v>
      </c>
      <c r="S309" s="35">
        <v>160.1</v>
      </c>
      <c r="T309" s="4">
        <f t="shared" si="89"/>
        <v>1.0673333333333332</v>
      </c>
      <c r="U309" s="11">
        <v>20</v>
      </c>
      <c r="V309" s="35">
        <v>5.0999999999999996</v>
      </c>
      <c r="W309" s="35">
        <v>5.3</v>
      </c>
      <c r="X309" s="4">
        <f t="shared" si="90"/>
        <v>1.0392156862745099</v>
      </c>
      <c r="Y309" s="11">
        <v>30</v>
      </c>
      <c r="Z309" s="35">
        <v>2477</v>
      </c>
      <c r="AA309" s="35">
        <v>3806</v>
      </c>
      <c r="AB309" s="4">
        <f t="shared" si="91"/>
        <v>1.2336536132418248</v>
      </c>
      <c r="AC309" s="11">
        <v>5</v>
      </c>
      <c r="AD309" s="11">
        <v>139</v>
      </c>
      <c r="AE309" s="11">
        <v>129</v>
      </c>
      <c r="AF309" s="4">
        <f t="shared" si="92"/>
        <v>0.92805755395683454</v>
      </c>
      <c r="AG309" s="11">
        <v>20</v>
      </c>
      <c r="AH309" s="5" t="s">
        <v>362</v>
      </c>
      <c r="AI309" s="5" t="s">
        <v>362</v>
      </c>
      <c r="AJ309" s="5" t="s">
        <v>362</v>
      </c>
      <c r="AK309" s="5" t="s">
        <v>362</v>
      </c>
      <c r="AL309" s="5" t="s">
        <v>362</v>
      </c>
      <c r="AM309" s="5" t="s">
        <v>362</v>
      </c>
      <c r="AN309" s="5" t="s">
        <v>362</v>
      </c>
      <c r="AO309" s="5" t="s">
        <v>362</v>
      </c>
      <c r="AP309" s="44">
        <f t="shared" si="101"/>
        <v>0.97470609993066226</v>
      </c>
      <c r="AQ309" s="45">
        <v>892</v>
      </c>
      <c r="AR309" s="35">
        <f t="shared" si="93"/>
        <v>243.27272727272728</v>
      </c>
      <c r="AS309" s="35">
        <f t="shared" si="94"/>
        <v>237.1</v>
      </c>
      <c r="AT309" s="35">
        <f t="shared" si="95"/>
        <v>-6.1727272727272862</v>
      </c>
      <c r="AU309" s="35">
        <v>85.6</v>
      </c>
      <c r="AV309" s="35">
        <v>69.5</v>
      </c>
      <c r="AW309" s="35">
        <f t="shared" si="96"/>
        <v>82</v>
      </c>
      <c r="AX309" s="35"/>
      <c r="AY309" s="35">
        <f t="shared" si="97"/>
        <v>82</v>
      </c>
      <c r="AZ309" s="35">
        <v>0</v>
      </c>
      <c r="BA309" s="35">
        <f t="shared" si="98"/>
        <v>82</v>
      </c>
      <c r="BB309" s="35">
        <f>MIN(BA309,40.5)</f>
        <v>40.5</v>
      </c>
      <c r="BC309" s="35">
        <f t="shared" si="99"/>
        <v>41.5</v>
      </c>
      <c r="BD309" s="35">
        <v>38.4</v>
      </c>
      <c r="BE309" s="35">
        <f t="shared" si="100"/>
        <v>3.1</v>
      </c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9"/>
      <c r="BU309" s="9"/>
      <c r="BV309" s="9"/>
      <c r="BW309" s="9"/>
      <c r="BX309" s="9"/>
      <c r="BY309" s="9"/>
      <c r="BZ309" s="9"/>
      <c r="CA309" s="9"/>
      <c r="CB309" s="9"/>
      <c r="CC309" s="9"/>
      <c r="CD309" s="9"/>
      <c r="CE309" s="9"/>
      <c r="CF309" s="9"/>
      <c r="CG309" s="9"/>
      <c r="CH309" s="9"/>
      <c r="CI309" s="9"/>
      <c r="CJ309" s="9"/>
      <c r="CK309" s="9"/>
      <c r="CL309" s="9"/>
      <c r="CM309" s="9"/>
      <c r="CN309" s="9"/>
      <c r="CO309" s="9"/>
      <c r="CP309" s="9"/>
      <c r="CQ309" s="10"/>
      <c r="CR309" s="9"/>
      <c r="CS309" s="9"/>
      <c r="CT309" s="9"/>
      <c r="CU309" s="9"/>
      <c r="CV309" s="9"/>
      <c r="CW309" s="9"/>
      <c r="CX309" s="9"/>
      <c r="CY309" s="9"/>
      <c r="CZ309" s="9"/>
      <c r="DA309" s="9"/>
      <c r="DB309" s="9"/>
      <c r="DC309" s="9"/>
      <c r="DD309" s="9"/>
      <c r="DE309" s="9"/>
      <c r="DF309" s="9"/>
      <c r="DG309" s="9"/>
      <c r="DH309" s="9"/>
      <c r="DI309" s="9"/>
      <c r="DJ309" s="9"/>
      <c r="DK309" s="9"/>
      <c r="DL309" s="9"/>
      <c r="DM309" s="9"/>
      <c r="DN309" s="9"/>
      <c r="DO309" s="9"/>
      <c r="DP309" s="9"/>
      <c r="DQ309" s="9"/>
      <c r="DR309" s="9"/>
      <c r="DS309" s="10"/>
      <c r="DT309" s="9"/>
      <c r="DU309" s="9"/>
      <c r="DV309" s="9"/>
      <c r="DW309" s="9"/>
      <c r="DX309" s="9"/>
      <c r="DY309" s="9"/>
      <c r="DZ309" s="9"/>
      <c r="EA309" s="9"/>
      <c r="EB309" s="9"/>
      <c r="EC309" s="9"/>
      <c r="ED309" s="9"/>
      <c r="EE309" s="9"/>
      <c r="EF309" s="9"/>
      <c r="EG309" s="9"/>
      <c r="EH309" s="9"/>
      <c r="EI309" s="9"/>
      <c r="EJ309" s="9"/>
      <c r="EK309" s="9"/>
      <c r="EL309" s="9"/>
      <c r="EM309" s="9"/>
      <c r="EN309" s="9"/>
      <c r="EO309" s="9"/>
      <c r="EP309" s="9"/>
      <c r="EQ309" s="9"/>
      <c r="ER309" s="9"/>
      <c r="ES309" s="9"/>
      <c r="ET309" s="9"/>
      <c r="EU309" s="10"/>
      <c r="EV309" s="9"/>
      <c r="EW309" s="9"/>
      <c r="EX309" s="9"/>
      <c r="EY309" s="9"/>
      <c r="EZ309" s="9"/>
      <c r="FA309" s="9"/>
      <c r="FB309" s="9"/>
      <c r="FC309" s="9"/>
      <c r="FD309" s="9"/>
      <c r="FE309" s="9"/>
      <c r="FF309" s="9"/>
      <c r="FG309" s="9"/>
      <c r="FH309" s="9"/>
      <c r="FI309" s="9"/>
      <c r="FJ309" s="9"/>
      <c r="FK309" s="9"/>
      <c r="FL309" s="9"/>
      <c r="FM309" s="9"/>
      <c r="FN309" s="9"/>
      <c r="FO309" s="9"/>
      <c r="FP309" s="9"/>
      <c r="FQ309" s="9"/>
      <c r="FR309" s="9"/>
      <c r="FS309" s="9"/>
      <c r="FT309" s="9"/>
      <c r="FU309" s="9"/>
      <c r="FV309" s="9"/>
      <c r="FW309" s="10"/>
      <c r="FX309" s="9"/>
      <c r="FY309" s="9"/>
      <c r="FZ309" s="9"/>
      <c r="GA309" s="9"/>
      <c r="GB309" s="9"/>
      <c r="GC309" s="9"/>
      <c r="GD309" s="9"/>
      <c r="GE309" s="9"/>
      <c r="GF309" s="9"/>
      <c r="GG309" s="9"/>
      <c r="GH309" s="9"/>
      <c r="GI309" s="9"/>
      <c r="GJ309" s="9"/>
      <c r="GK309" s="9"/>
      <c r="GL309" s="9"/>
      <c r="GM309" s="9"/>
      <c r="GN309" s="9"/>
      <c r="GO309" s="9"/>
      <c r="GP309" s="9"/>
      <c r="GQ309" s="9"/>
      <c r="GR309" s="9"/>
      <c r="GS309" s="9"/>
      <c r="GT309" s="9"/>
      <c r="GU309" s="9"/>
      <c r="GV309" s="9"/>
      <c r="GW309" s="9"/>
      <c r="GX309" s="9"/>
      <c r="GY309" s="10"/>
      <c r="GZ309" s="9"/>
      <c r="HA309" s="9"/>
    </row>
    <row r="310" spans="1:209" s="2" customFormat="1" ht="17" customHeight="1">
      <c r="A310" s="46" t="s">
        <v>303</v>
      </c>
      <c r="B310" s="35">
        <v>0</v>
      </c>
      <c r="C310" s="35">
        <v>0</v>
      </c>
      <c r="D310" s="4">
        <f t="shared" si="87"/>
        <v>0</v>
      </c>
      <c r="E310" s="11">
        <v>0</v>
      </c>
      <c r="F310" s="5" t="s">
        <v>362</v>
      </c>
      <c r="G310" s="5" t="s">
        <v>362</v>
      </c>
      <c r="H310" s="5" t="s">
        <v>362</v>
      </c>
      <c r="I310" s="5" t="s">
        <v>362</v>
      </c>
      <c r="J310" s="5" t="s">
        <v>362</v>
      </c>
      <c r="K310" s="5" t="s">
        <v>362</v>
      </c>
      <c r="L310" s="5" t="s">
        <v>362</v>
      </c>
      <c r="M310" s="5" t="s">
        <v>362</v>
      </c>
      <c r="N310" s="35">
        <v>161.4</v>
      </c>
      <c r="O310" s="35">
        <v>369.9</v>
      </c>
      <c r="P310" s="4">
        <f t="shared" si="88"/>
        <v>1.3</v>
      </c>
      <c r="Q310" s="11">
        <v>20</v>
      </c>
      <c r="R310" s="35">
        <v>65</v>
      </c>
      <c r="S310" s="35">
        <v>73.400000000000006</v>
      </c>
      <c r="T310" s="4">
        <f t="shared" si="89"/>
        <v>1.1292307692307693</v>
      </c>
      <c r="U310" s="11">
        <v>20</v>
      </c>
      <c r="V310" s="35">
        <v>13</v>
      </c>
      <c r="W310" s="35">
        <v>13.4</v>
      </c>
      <c r="X310" s="4">
        <f t="shared" si="90"/>
        <v>1.0307692307692309</v>
      </c>
      <c r="Y310" s="11">
        <v>30</v>
      </c>
      <c r="Z310" s="35">
        <v>2321</v>
      </c>
      <c r="AA310" s="35">
        <v>2054</v>
      </c>
      <c r="AB310" s="4">
        <f t="shared" si="91"/>
        <v>0.88496337785437307</v>
      </c>
      <c r="AC310" s="11">
        <v>5</v>
      </c>
      <c r="AD310" s="11">
        <v>99</v>
      </c>
      <c r="AE310" s="11">
        <v>85</v>
      </c>
      <c r="AF310" s="4">
        <f t="shared" si="92"/>
        <v>0.85858585858585856</v>
      </c>
      <c r="AG310" s="11">
        <v>20</v>
      </c>
      <c r="AH310" s="5" t="s">
        <v>362</v>
      </c>
      <c r="AI310" s="5" t="s">
        <v>362</v>
      </c>
      <c r="AJ310" s="5" t="s">
        <v>362</v>
      </c>
      <c r="AK310" s="5" t="s">
        <v>362</v>
      </c>
      <c r="AL310" s="5" t="s">
        <v>362</v>
      </c>
      <c r="AM310" s="5" t="s">
        <v>362</v>
      </c>
      <c r="AN310" s="5" t="s">
        <v>362</v>
      </c>
      <c r="AO310" s="5" t="s">
        <v>362</v>
      </c>
      <c r="AP310" s="44">
        <f t="shared" si="101"/>
        <v>1.0642550144071721</v>
      </c>
      <c r="AQ310" s="45">
        <v>610</v>
      </c>
      <c r="AR310" s="35">
        <f t="shared" si="93"/>
        <v>166.36363636363637</v>
      </c>
      <c r="AS310" s="35">
        <f t="shared" si="94"/>
        <v>177.1</v>
      </c>
      <c r="AT310" s="35">
        <f t="shared" si="95"/>
        <v>10.73636363636362</v>
      </c>
      <c r="AU310" s="35">
        <v>67.8</v>
      </c>
      <c r="AV310" s="35">
        <v>59.4</v>
      </c>
      <c r="AW310" s="35">
        <f t="shared" si="96"/>
        <v>49.9</v>
      </c>
      <c r="AX310" s="35"/>
      <c r="AY310" s="35">
        <f t="shared" si="97"/>
        <v>49.9</v>
      </c>
      <c r="AZ310" s="35">
        <v>0</v>
      </c>
      <c r="BA310" s="35">
        <f t="shared" si="98"/>
        <v>49.9</v>
      </c>
      <c r="BB310" s="35">
        <f>MIN(BA310,27.7)</f>
        <v>27.7</v>
      </c>
      <c r="BC310" s="35">
        <f t="shared" si="99"/>
        <v>22.2</v>
      </c>
      <c r="BD310" s="35">
        <v>23.8</v>
      </c>
      <c r="BE310" s="35">
        <f t="shared" si="100"/>
        <v>-1.6</v>
      </c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9"/>
      <c r="BU310" s="9"/>
      <c r="BV310" s="9"/>
      <c r="BW310" s="9"/>
      <c r="BX310" s="9"/>
      <c r="BY310" s="9"/>
      <c r="BZ310" s="9"/>
      <c r="CA310" s="9"/>
      <c r="CB310" s="9"/>
      <c r="CC310" s="9"/>
      <c r="CD310" s="9"/>
      <c r="CE310" s="9"/>
      <c r="CF310" s="9"/>
      <c r="CG310" s="9"/>
      <c r="CH310" s="9"/>
      <c r="CI310" s="9"/>
      <c r="CJ310" s="9"/>
      <c r="CK310" s="9"/>
      <c r="CL310" s="9"/>
      <c r="CM310" s="9"/>
      <c r="CN310" s="9"/>
      <c r="CO310" s="9"/>
      <c r="CP310" s="9"/>
      <c r="CQ310" s="10"/>
      <c r="CR310" s="9"/>
      <c r="CS310" s="9"/>
      <c r="CT310" s="9"/>
      <c r="CU310" s="9"/>
      <c r="CV310" s="9"/>
      <c r="CW310" s="9"/>
      <c r="CX310" s="9"/>
      <c r="CY310" s="9"/>
      <c r="CZ310" s="9"/>
      <c r="DA310" s="9"/>
      <c r="DB310" s="9"/>
      <c r="DC310" s="9"/>
      <c r="DD310" s="9"/>
      <c r="DE310" s="9"/>
      <c r="DF310" s="9"/>
      <c r="DG310" s="9"/>
      <c r="DH310" s="9"/>
      <c r="DI310" s="9"/>
      <c r="DJ310" s="9"/>
      <c r="DK310" s="9"/>
      <c r="DL310" s="9"/>
      <c r="DM310" s="9"/>
      <c r="DN310" s="9"/>
      <c r="DO310" s="9"/>
      <c r="DP310" s="9"/>
      <c r="DQ310" s="9"/>
      <c r="DR310" s="9"/>
      <c r="DS310" s="10"/>
      <c r="DT310" s="9"/>
      <c r="DU310" s="9"/>
      <c r="DV310" s="9"/>
      <c r="DW310" s="9"/>
      <c r="DX310" s="9"/>
      <c r="DY310" s="9"/>
      <c r="DZ310" s="9"/>
      <c r="EA310" s="9"/>
      <c r="EB310" s="9"/>
      <c r="EC310" s="9"/>
      <c r="ED310" s="9"/>
      <c r="EE310" s="9"/>
      <c r="EF310" s="9"/>
      <c r="EG310" s="9"/>
      <c r="EH310" s="9"/>
      <c r="EI310" s="9"/>
      <c r="EJ310" s="9"/>
      <c r="EK310" s="9"/>
      <c r="EL310" s="9"/>
      <c r="EM310" s="9"/>
      <c r="EN310" s="9"/>
      <c r="EO310" s="9"/>
      <c r="EP310" s="9"/>
      <c r="EQ310" s="9"/>
      <c r="ER310" s="9"/>
      <c r="ES310" s="9"/>
      <c r="ET310" s="9"/>
      <c r="EU310" s="10"/>
      <c r="EV310" s="9"/>
      <c r="EW310" s="9"/>
      <c r="EX310" s="9"/>
      <c r="EY310" s="9"/>
      <c r="EZ310" s="9"/>
      <c r="FA310" s="9"/>
      <c r="FB310" s="9"/>
      <c r="FC310" s="9"/>
      <c r="FD310" s="9"/>
      <c r="FE310" s="9"/>
      <c r="FF310" s="9"/>
      <c r="FG310" s="9"/>
      <c r="FH310" s="9"/>
      <c r="FI310" s="9"/>
      <c r="FJ310" s="9"/>
      <c r="FK310" s="9"/>
      <c r="FL310" s="9"/>
      <c r="FM310" s="9"/>
      <c r="FN310" s="9"/>
      <c r="FO310" s="9"/>
      <c r="FP310" s="9"/>
      <c r="FQ310" s="9"/>
      <c r="FR310" s="9"/>
      <c r="FS310" s="9"/>
      <c r="FT310" s="9"/>
      <c r="FU310" s="9"/>
      <c r="FV310" s="9"/>
      <c r="FW310" s="10"/>
      <c r="FX310" s="9"/>
      <c r="FY310" s="9"/>
      <c r="FZ310" s="9"/>
      <c r="GA310" s="9"/>
      <c r="GB310" s="9"/>
      <c r="GC310" s="9"/>
      <c r="GD310" s="9"/>
      <c r="GE310" s="9"/>
      <c r="GF310" s="9"/>
      <c r="GG310" s="9"/>
      <c r="GH310" s="9"/>
      <c r="GI310" s="9"/>
      <c r="GJ310" s="9"/>
      <c r="GK310" s="9"/>
      <c r="GL310" s="9"/>
      <c r="GM310" s="9"/>
      <c r="GN310" s="9"/>
      <c r="GO310" s="9"/>
      <c r="GP310" s="9"/>
      <c r="GQ310" s="9"/>
      <c r="GR310" s="9"/>
      <c r="GS310" s="9"/>
      <c r="GT310" s="9"/>
      <c r="GU310" s="9"/>
      <c r="GV310" s="9"/>
      <c r="GW310" s="9"/>
      <c r="GX310" s="9"/>
      <c r="GY310" s="10"/>
      <c r="GZ310" s="9"/>
      <c r="HA310" s="9"/>
    </row>
    <row r="311" spans="1:209" s="2" customFormat="1" ht="17" customHeight="1">
      <c r="A311" s="46" t="s">
        <v>304</v>
      </c>
      <c r="B311" s="35">
        <v>40703</v>
      </c>
      <c r="C311" s="35">
        <v>36341.5</v>
      </c>
      <c r="D311" s="4">
        <f t="shared" si="87"/>
        <v>0.89284573618652185</v>
      </c>
      <c r="E311" s="11">
        <v>10</v>
      </c>
      <c r="F311" s="5" t="s">
        <v>362</v>
      </c>
      <c r="G311" s="5" t="s">
        <v>362</v>
      </c>
      <c r="H311" s="5" t="s">
        <v>362</v>
      </c>
      <c r="I311" s="5" t="s">
        <v>362</v>
      </c>
      <c r="J311" s="5" t="s">
        <v>362</v>
      </c>
      <c r="K311" s="5" t="s">
        <v>362</v>
      </c>
      <c r="L311" s="5" t="s">
        <v>362</v>
      </c>
      <c r="M311" s="5" t="s">
        <v>362</v>
      </c>
      <c r="N311" s="35">
        <v>599.20000000000005</v>
      </c>
      <c r="O311" s="35">
        <v>602.29999999999995</v>
      </c>
      <c r="P311" s="4">
        <f t="shared" si="88"/>
        <v>1.0051735647530038</v>
      </c>
      <c r="Q311" s="11">
        <v>20</v>
      </c>
      <c r="R311" s="35">
        <v>42</v>
      </c>
      <c r="S311" s="35">
        <v>46.2</v>
      </c>
      <c r="T311" s="4">
        <f t="shared" si="89"/>
        <v>1.1000000000000001</v>
      </c>
      <c r="U311" s="11">
        <v>20</v>
      </c>
      <c r="V311" s="35">
        <v>15</v>
      </c>
      <c r="W311" s="35">
        <v>17.8</v>
      </c>
      <c r="X311" s="4">
        <f t="shared" si="90"/>
        <v>1.1866666666666668</v>
      </c>
      <c r="Y311" s="11">
        <v>30</v>
      </c>
      <c r="Z311" s="35">
        <v>43413</v>
      </c>
      <c r="AA311" s="35">
        <v>31298</v>
      </c>
      <c r="AB311" s="4">
        <f t="shared" si="91"/>
        <v>0.72093612512381089</v>
      </c>
      <c r="AC311" s="11">
        <v>5</v>
      </c>
      <c r="AD311" s="11">
        <v>125</v>
      </c>
      <c r="AE311" s="11">
        <v>115</v>
      </c>
      <c r="AF311" s="4">
        <f t="shared" si="92"/>
        <v>0.92</v>
      </c>
      <c r="AG311" s="11">
        <v>20</v>
      </c>
      <c r="AH311" s="5" t="s">
        <v>362</v>
      </c>
      <c r="AI311" s="5" t="s">
        <v>362</v>
      </c>
      <c r="AJ311" s="5" t="s">
        <v>362</v>
      </c>
      <c r="AK311" s="5" t="s">
        <v>362</v>
      </c>
      <c r="AL311" s="5" t="s">
        <v>362</v>
      </c>
      <c r="AM311" s="5" t="s">
        <v>362</v>
      </c>
      <c r="AN311" s="5" t="s">
        <v>362</v>
      </c>
      <c r="AO311" s="5" t="s">
        <v>362</v>
      </c>
      <c r="AP311" s="44">
        <f t="shared" si="101"/>
        <v>1.0346343741194701</v>
      </c>
      <c r="AQ311" s="45">
        <v>430</v>
      </c>
      <c r="AR311" s="35">
        <f t="shared" si="93"/>
        <v>117.27272727272728</v>
      </c>
      <c r="AS311" s="35">
        <f t="shared" si="94"/>
        <v>121.3</v>
      </c>
      <c r="AT311" s="35">
        <f t="shared" si="95"/>
        <v>4.0272727272727167</v>
      </c>
      <c r="AU311" s="35">
        <v>36.700000000000003</v>
      </c>
      <c r="AV311" s="35">
        <v>45</v>
      </c>
      <c r="AW311" s="35">
        <f t="shared" si="96"/>
        <v>39.6</v>
      </c>
      <c r="AX311" s="35"/>
      <c r="AY311" s="35">
        <f t="shared" si="97"/>
        <v>39.6</v>
      </c>
      <c r="AZ311" s="35">
        <v>0</v>
      </c>
      <c r="BA311" s="35">
        <f t="shared" si="98"/>
        <v>39.6</v>
      </c>
      <c r="BB311" s="35">
        <f>MIN(BA311,19.5)</f>
        <v>19.5</v>
      </c>
      <c r="BC311" s="35">
        <f t="shared" si="99"/>
        <v>20.100000000000001</v>
      </c>
      <c r="BD311" s="35">
        <v>22</v>
      </c>
      <c r="BE311" s="35">
        <f t="shared" si="100"/>
        <v>-1.9</v>
      </c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9"/>
      <c r="BU311" s="9"/>
      <c r="BV311" s="9"/>
      <c r="BW311" s="9"/>
      <c r="BX311" s="9"/>
      <c r="BY311" s="9"/>
      <c r="BZ311" s="9"/>
      <c r="CA311" s="9"/>
      <c r="CB311" s="9"/>
      <c r="CC311" s="9"/>
      <c r="CD311" s="9"/>
      <c r="CE311" s="9"/>
      <c r="CF311" s="9"/>
      <c r="CG311" s="9"/>
      <c r="CH311" s="9"/>
      <c r="CI311" s="9"/>
      <c r="CJ311" s="9"/>
      <c r="CK311" s="9"/>
      <c r="CL311" s="9"/>
      <c r="CM311" s="9"/>
      <c r="CN311" s="9"/>
      <c r="CO311" s="9"/>
      <c r="CP311" s="9"/>
      <c r="CQ311" s="10"/>
      <c r="CR311" s="9"/>
      <c r="CS311" s="9"/>
      <c r="CT311" s="9"/>
      <c r="CU311" s="9"/>
      <c r="CV311" s="9"/>
      <c r="CW311" s="9"/>
      <c r="CX311" s="9"/>
      <c r="CY311" s="9"/>
      <c r="CZ311" s="9"/>
      <c r="DA311" s="9"/>
      <c r="DB311" s="9"/>
      <c r="DC311" s="9"/>
      <c r="DD311" s="9"/>
      <c r="DE311" s="9"/>
      <c r="DF311" s="9"/>
      <c r="DG311" s="9"/>
      <c r="DH311" s="9"/>
      <c r="DI311" s="9"/>
      <c r="DJ311" s="9"/>
      <c r="DK311" s="9"/>
      <c r="DL311" s="9"/>
      <c r="DM311" s="9"/>
      <c r="DN311" s="9"/>
      <c r="DO311" s="9"/>
      <c r="DP311" s="9"/>
      <c r="DQ311" s="9"/>
      <c r="DR311" s="9"/>
      <c r="DS311" s="10"/>
      <c r="DT311" s="9"/>
      <c r="DU311" s="9"/>
      <c r="DV311" s="9"/>
      <c r="DW311" s="9"/>
      <c r="DX311" s="9"/>
      <c r="DY311" s="9"/>
      <c r="DZ311" s="9"/>
      <c r="EA311" s="9"/>
      <c r="EB311" s="9"/>
      <c r="EC311" s="9"/>
      <c r="ED311" s="9"/>
      <c r="EE311" s="9"/>
      <c r="EF311" s="9"/>
      <c r="EG311" s="9"/>
      <c r="EH311" s="9"/>
      <c r="EI311" s="9"/>
      <c r="EJ311" s="9"/>
      <c r="EK311" s="9"/>
      <c r="EL311" s="9"/>
      <c r="EM311" s="9"/>
      <c r="EN311" s="9"/>
      <c r="EO311" s="9"/>
      <c r="EP311" s="9"/>
      <c r="EQ311" s="9"/>
      <c r="ER311" s="9"/>
      <c r="ES311" s="9"/>
      <c r="ET311" s="9"/>
      <c r="EU311" s="10"/>
      <c r="EV311" s="9"/>
      <c r="EW311" s="9"/>
      <c r="EX311" s="9"/>
      <c r="EY311" s="9"/>
      <c r="EZ311" s="9"/>
      <c r="FA311" s="9"/>
      <c r="FB311" s="9"/>
      <c r="FC311" s="9"/>
      <c r="FD311" s="9"/>
      <c r="FE311" s="9"/>
      <c r="FF311" s="9"/>
      <c r="FG311" s="9"/>
      <c r="FH311" s="9"/>
      <c r="FI311" s="9"/>
      <c r="FJ311" s="9"/>
      <c r="FK311" s="9"/>
      <c r="FL311" s="9"/>
      <c r="FM311" s="9"/>
      <c r="FN311" s="9"/>
      <c r="FO311" s="9"/>
      <c r="FP311" s="9"/>
      <c r="FQ311" s="9"/>
      <c r="FR311" s="9"/>
      <c r="FS311" s="9"/>
      <c r="FT311" s="9"/>
      <c r="FU311" s="9"/>
      <c r="FV311" s="9"/>
      <c r="FW311" s="10"/>
      <c r="FX311" s="9"/>
      <c r="FY311" s="9"/>
      <c r="FZ311" s="9"/>
      <c r="GA311" s="9"/>
      <c r="GB311" s="9"/>
      <c r="GC311" s="9"/>
      <c r="GD311" s="9"/>
      <c r="GE311" s="9"/>
      <c r="GF311" s="9"/>
      <c r="GG311" s="9"/>
      <c r="GH311" s="9"/>
      <c r="GI311" s="9"/>
      <c r="GJ311" s="9"/>
      <c r="GK311" s="9"/>
      <c r="GL311" s="9"/>
      <c r="GM311" s="9"/>
      <c r="GN311" s="9"/>
      <c r="GO311" s="9"/>
      <c r="GP311" s="9"/>
      <c r="GQ311" s="9"/>
      <c r="GR311" s="9"/>
      <c r="GS311" s="9"/>
      <c r="GT311" s="9"/>
      <c r="GU311" s="9"/>
      <c r="GV311" s="9"/>
      <c r="GW311" s="9"/>
      <c r="GX311" s="9"/>
      <c r="GY311" s="10"/>
      <c r="GZ311" s="9"/>
      <c r="HA311" s="9"/>
    </row>
    <row r="312" spans="1:209" s="2" customFormat="1" ht="17" customHeight="1">
      <c r="A312" s="46" t="s">
        <v>305</v>
      </c>
      <c r="B312" s="35">
        <v>14300</v>
      </c>
      <c r="C312" s="35">
        <v>13467.4</v>
      </c>
      <c r="D312" s="4">
        <f t="shared" si="87"/>
        <v>0.94177622377622372</v>
      </c>
      <c r="E312" s="11">
        <v>10</v>
      </c>
      <c r="F312" s="5" t="s">
        <v>362</v>
      </c>
      <c r="G312" s="5" t="s">
        <v>362</v>
      </c>
      <c r="H312" s="5" t="s">
        <v>362</v>
      </c>
      <c r="I312" s="5" t="s">
        <v>362</v>
      </c>
      <c r="J312" s="5" t="s">
        <v>362</v>
      </c>
      <c r="K312" s="5" t="s">
        <v>362</v>
      </c>
      <c r="L312" s="5" t="s">
        <v>362</v>
      </c>
      <c r="M312" s="5" t="s">
        <v>362</v>
      </c>
      <c r="N312" s="35">
        <v>1575.1</v>
      </c>
      <c r="O312" s="35">
        <v>848.8</v>
      </c>
      <c r="P312" s="4">
        <f t="shared" si="88"/>
        <v>0.53888641990984698</v>
      </c>
      <c r="Q312" s="11">
        <v>20</v>
      </c>
      <c r="R312" s="35">
        <v>0</v>
      </c>
      <c r="S312" s="35">
        <v>0</v>
      </c>
      <c r="T312" s="4">
        <f t="shared" si="89"/>
        <v>1</v>
      </c>
      <c r="U312" s="11">
        <v>20</v>
      </c>
      <c r="V312" s="35">
        <v>0</v>
      </c>
      <c r="W312" s="35">
        <v>0</v>
      </c>
      <c r="X312" s="4">
        <f t="shared" si="90"/>
        <v>1</v>
      </c>
      <c r="Y312" s="11">
        <v>30</v>
      </c>
      <c r="Z312" s="35">
        <v>53261</v>
      </c>
      <c r="AA312" s="35">
        <v>29667</v>
      </c>
      <c r="AB312" s="4">
        <f t="shared" si="91"/>
        <v>0.55701169711421117</v>
      </c>
      <c r="AC312" s="11">
        <v>5</v>
      </c>
      <c r="AD312" s="11">
        <v>12</v>
      </c>
      <c r="AE312" s="11">
        <v>15</v>
      </c>
      <c r="AF312" s="4">
        <f t="shared" si="92"/>
        <v>1.2050000000000001</v>
      </c>
      <c r="AG312" s="11">
        <v>20</v>
      </c>
      <c r="AH312" s="5" t="s">
        <v>362</v>
      </c>
      <c r="AI312" s="5" t="s">
        <v>362</v>
      </c>
      <c r="AJ312" s="5" t="s">
        <v>362</v>
      </c>
      <c r="AK312" s="5" t="s">
        <v>362</v>
      </c>
      <c r="AL312" s="5" t="s">
        <v>362</v>
      </c>
      <c r="AM312" s="5" t="s">
        <v>362</v>
      </c>
      <c r="AN312" s="5" t="s">
        <v>362</v>
      </c>
      <c r="AO312" s="5" t="s">
        <v>362</v>
      </c>
      <c r="AP312" s="44">
        <f t="shared" si="101"/>
        <v>0.9245766583002879</v>
      </c>
      <c r="AQ312" s="45">
        <v>696</v>
      </c>
      <c r="AR312" s="35">
        <f t="shared" si="93"/>
        <v>189.81818181818181</v>
      </c>
      <c r="AS312" s="35">
        <f t="shared" si="94"/>
        <v>175.5</v>
      </c>
      <c r="AT312" s="35">
        <f t="shared" si="95"/>
        <v>-14.318181818181813</v>
      </c>
      <c r="AU312" s="35">
        <v>69.599999999999994</v>
      </c>
      <c r="AV312" s="35">
        <v>46.3</v>
      </c>
      <c r="AW312" s="35">
        <f t="shared" si="96"/>
        <v>59.6</v>
      </c>
      <c r="AX312" s="35"/>
      <c r="AY312" s="35">
        <f t="shared" si="97"/>
        <v>59.6</v>
      </c>
      <c r="AZ312" s="35">
        <v>0</v>
      </c>
      <c r="BA312" s="35">
        <f t="shared" si="98"/>
        <v>59.6</v>
      </c>
      <c r="BB312" s="35">
        <f>MIN(BA312,31.6)</f>
        <v>31.6</v>
      </c>
      <c r="BC312" s="35">
        <f>IF((BA312-BB312)&gt;0,ROUND(BA312-BB312,1),0)</f>
        <v>28</v>
      </c>
      <c r="BD312" s="35">
        <v>31.5</v>
      </c>
      <c r="BE312" s="35">
        <f t="shared" si="100"/>
        <v>-3.5</v>
      </c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9"/>
      <c r="BU312" s="9"/>
      <c r="BV312" s="9"/>
      <c r="BW312" s="9"/>
      <c r="BX312" s="9"/>
      <c r="BY312" s="9"/>
      <c r="BZ312" s="9"/>
      <c r="CA312" s="9"/>
      <c r="CB312" s="9"/>
      <c r="CC312" s="9"/>
      <c r="CD312" s="9"/>
      <c r="CE312" s="9"/>
      <c r="CF312" s="9"/>
      <c r="CG312" s="9"/>
      <c r="CH312" s="9"/>
      <c r="CI312" s="9"/>
      <c r="CJ312" s="9"/>
      <c r="CK312" s="9"/>
      <c r="CL312" s="9"/>
      <c r="CM312" s="9"/>
      <c r="CN312" s="9"/>
      <c r="CO312" s="9"/>
      <c r="CP312" s="9"/>
      <c r="CQ312" s="10"/>
      <c r="CR312" s="9"/>
      <c r="CS312" s="9"/>
      <c r="CT312" s="9"/>
      <c r="CU312" s="9"/>
      <c r="CV312" s="9"/>
      <c r="CW312" s="9"/>
      <c r="CX312" s="9"/>
      <c r="CY312" s="9"/>
      <c r="CZ312" s="9"/>
      <c r="DA312" s="9"/>
      <c r="DB312" s="9"/>
      <c r="DC312" s="9"/>
      <c r="DD312" s="9"/>
      <c r="DE312" s="9"/>
      <c r="DF312" s="9"/>
      <c r="DG312" s="9"/>
      <c r="DH312" s="9"/>
      <c r="DI312" s="9"/>
      <c r="DJ312" s="9"/>
      <c r="DK312" s="9"/>
      <c r="DL312" s="9"/>
      <c r="DM312" s="9"/>
      <c r="DN312" s="9"/>
      <c r="DO312" s="9"/>
      <c r="DP312" s="9"/>
      <c r="DQ312" s="9"/>
      <c r="DR312" s="9"/>
      <c r="DS312" s="10"/>
      <c r="DT312" s="9"/>
      <c r="DU312" s="9"/>
      <c r="DV312" s="9"/>
      <c r="DW312" s="9"/>
      <c r="DX312" s="9"/>
      <c r="DY312" s="9"/>
      <c r="DZ312" s="9"/>
      <c r="EA312" s="9"/>
      <c r="EB312" s="9"/>
      <c r="EC312" s="9"/>
      <c r="ED312" s="9"/>
      <c r="EE312" s="9"/>
      <c r="EF312" s="9"/>
      <c r="EG312" s="9"/>
      <c r="EH312" s="9"/>
      <c r="EI312" s="9"/>
      <c r="EJ312" s="9"/>
      <c r="EK312" s="9"/>
      <c r="EL312" s="9"/>
      <c r="EM312" s="9"/>
      <c r="EN312" s="9"/>
      <c r="EO312" s="9"/>
      <c r="EP312" s="9"/>
      <c r="EQ312" s="9"/>
      <c r="ER312" s="9"/>
      <c r="ES312" s="9"/>
      <c r="ET312" s="9"/>
      <c r="EU312" s="10"/>
      <c r="EV312" s="9"/>
      <c r="EW312" s="9"/>
      <c r="EX312" s="9"/>
      <c r="EY312" s="9"/>
      <c r="EZ312" s="9"/>
      <c r="FA312" s="9"/>
      <c r="FB312" s="9"/>
      <c r="FC312" s="9"/>
      <c r="FD312" s="9"/>
      <c r="FE312" s="9"/>
      <c r="FF312" s="9"/>
      <c r="FG312" s="9"/>
      <c r="FH312" s="9"/>
      <c r="FI312" s="9"/>
      <c r="FJ312" s="9"/>
      <c r="FK312" s="9"/>
      <c r="FL312" s="9"/>
      <c r="FM312" s="9"/>
      <c r="FN312" s="9"/>
      <c r="FO312" s="9"/>
      <c r="FP312" s="9"/>
      <c r="FQ312" s="9"/>
      <c r="FR312" s="9"/>
      <c r="FS312" s="9"/>
      <c r="FT312" s="9"/>
      <c r="FU312" s="9"/>
      <c r="FV312" s="9"/>
      <c r="FW312" s="10"/>
      <c r="FX312" s="9"/>
      <c r="FY312" s="9"/>
      <c r="FZ312" s="9"/>
      <c r="GA312" s="9"/>
      <c r="GB312" s="9"/>
      <c r="GC312" s="9"/>
      <c r="GD312" s="9"/>
      <c r="GE312" s="9"/>
      <c r="GF312" s="9"/>
      <c r="GG312" s="9"/>
      <c r="GH312" s="9"/>
      <c r="GI312" s="9"/>
      <c r="GJ312" s="9"/>
      <c r="GK312" s="9"/>
      <c r="GL312" s="9"/>
      <c r="GM312" s="9"/>
      <c r="GN312" s="9"/>
      <c r="GO312" s="9"/>
      <c r="GP312" s="9"/>
      <c r="GQ312" s="9"/>
      <c r="GR312" s="9"/>
      <c r="GS312" s="9"/>
      <c r="GT312" s="9"/>
      <c r="GU312" s="9"/>
      <c r="GV312" s="9"/>
      <c r="GW312" s="9"/>
      <c r="GX312" s="9"/>
      <c r="GY312" s="10"/>
      <c r="GZ312" s="9"/>
      <c r="HA312" s="9"/>
    </row>
    <row r="313" spans="1:209" s="2" customFormat="1" ht="17" customHeight="1">
      <c r="A313" s="46" t="s">
        <v>306</v>
      </c>
      <c r="B313" s="35">
        <v>3900</v>
      </c>
      <c r="C313" s="35">
        <v>7120</v>
      </c>
      <c r="D313" s="4">
        <f t="shared" si="87"/>
        <v>1.2625641025641026</v>
      </c>
      <c r="E313" s="11">
        <v>10</v>
      </c>
      <c r="F313" s="5" t="s">
        <v>362</v>
      </c>
      <c r="G313" s="5" t="s">
        <v>362</v>
      </c>
      <c r="H313" s="5" t="s">
        <v>362</v>
      </c>
      <c r="I313" s="5" t="s">
        <v>362</v>
      </c>
      <c r="J313" s="5" t="s">
        <v>362</v>
      </c>
      <c r="K313" s="5" t="s">
        <v>362</v>
      </c>
      <c r="L313" s="5" t="s">
        <v>362</v>
      </c>
      <c r="M313" s="5" t="s">
        <v>362</v>
      </c>
      <c r="N313" s="35">
        <v>760.5</v>
      </c>
      <c r="O313" s="35">
        <v>558.1</v>
      </c>
      <c r="P313" s="4">
        <f t="shared" si="88"/>
        <v>0.7338593030900723</v>
      </c>
      <c r="Q313" s="11">
        <v>20</v>
      </c>
      <c r="R313" s="35">
        <v>60</v>
      </c>
      <c r="S313" s="35">
        <v>71.8</v>
      </c>
      <c r="T313" s="4">
        <f t="shared" si="89"/>
        <v>1.1966666666666665</v>
      </c>
      <c r="U313" s="11">
        <v>30</v>
      </c>
      <c r="V313" s="35">
        <v>0</v>
      </c>
      <c r="W313" s="35">
        <v>0</v>
      </c>
      <c r="X313" s="4">
        <f t="shared" si="90"/>
        <v>1</v>
      </c>
      <c r="Y313" s="11">
        <v>20</v>
      </c>
      <c r="Z313" s="35">
        <v>3700</v>
      </c>
      <c r="AA313" s="35">
        <v>13820</v>
      </c>
      <c r="AB313" s="4">
        <f t="shared" si="91"/>
        <v>1.3</v>
      </c>
      <c r="AC313" s="11">
        <v>5</v>
      </c>
      <c r="AD313" s="11">
        <v>128</v>
      </c>
      <c r="AE313" s="11">
        <v>132</v>
      </c>
      <c r="AF313" s="4">
        <f t="shared" si="92"/>
        <v>1.03125</v>
      </c>
      <c r="AG313" s="11">
        <v>20</v>
      </c>
      <c r="AH313" s="5" t="s">
        <v>362</v>
      </c>
      <c r="AI313" s="5" t="s">
        <v>362</v>
      </c>
      <c r="AJ313" s="5" t="s">
        <v>362</v>
      </c>
      <c r="AK313" s="5" t="s">
        <v>362</v>
      </c>
      <c r="AL313" s="5" t="s">
        <v>362</v>
      </c>
      <c r="AM313" s="5" t="s">
        <v>362</v>
      </c>
      <c r="AN313" s="5" t="s">
        <v>362</v>
      </c>
      <c r="AO313" s="5" t="s">
        <v>362</v>
      </c>
      <c r="AP313" s="44">
        <f t="shared" si="101"/>
        <v>1.050741210356595</v>
      </c>
      <c r="AQ313" s="45">
        <v>595</v>
      </c>
      <c r="AR313" s="35">
        <f t="shared" si="93"/>
        <v>162.27272727272728</v>
      </c>
      <c r="AS313" s="35">
        <f t="shared" si="94"/>
        <v>170.5</v>
      </c>
      <c r="AT313" s="35">
        <f t="shared" si="95"/>
        <v>8.2272727272727195</v>
      </c>
      <c r="AU313" s="35">
        <v>49.3</v>
      </c>
      <c r="AV313" s="35">
        <v>55.5</v>
      </c>
      <c r="AW313" s="35">
        <f t="shared" si="96"/>
        <v>65.7</v>
      </c>
      <c r="AX313" s="35"/>
      <c r="AY313" s="35">
        <f t="shared" si="97"/>
        <v>65.7</v>
      </c>
      <c r="AZ313" s="35">
        <v>0</v>
      </c>
      <c r="BA313" s="35">
        <f t="shared" si="98"/>
        <v>65.7</v>
      </c>
      <c r="BB313" s="35">
        <f>MIN(BA313,19.5)</f>
        <v>19.5</v>
      </c>
      <c r="BC313" s="35">
        <f t="shared" si="99"/>
        <v>46.2</v>
      </c>
      <c r="BD313" s="35">
        <v>44.2</v>
      </c>
      <c r="BE313" s="35">
        <f t="shared" si="100"/>
        <v>2</v>
      </c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9"/>
      <c r="BU313" s="9"/>
      <c r="BV313" s="9"/>
      <c r="BW313" s="9"/>
      <c r="BX313" s="9"/>
      <c r="BY313" s="9"/>
      <c r="BZ313" s="9"/>
      <c r="CA313" s="9"/>
      <c r="CB313" s="9"/>
      <c r="CC313" s="9"/>
      <c r="CD313" s="9"/>
      <c r="CE313" s="9"/>
      <c r="CF313" s="9"/>
      <c r="CG313" s="9"/>
      <c r="CH313" s="9"/>
      <c r="CI313" s="9"/>
      <c r="CJ313" s="9"/>
      <c r="CK313" s="9"/>
      <c r="CL313" s="9"/>
      <c r="CM313" s="9"/>
      <c r="CN313" s="9"/>
      <c r="CO313" s="9"/>
      <c r="CP313" s="9"/>
      <c r="CQ313" s="10"/>
      <c r="CR313" s="9"/>
      <c r="CS313" s="9"/>
      <c r="CT313" s="9"/>
      <c r="CU313" s="9"/>
      <c r="CV313" s="9"/>
      <c r="CW313" s="9"/>
      <c r="CX313" s="9"/>
      <c r="CY313" s="9"/>
      <c r="CZ313" s="9"/>
      <c r="DA313" s="9"/>
      <c r="DB313" s="9"/>
      <c r="DC313" s="9"/>
      <c r="DD313" s="9"/>
      <c r="DE313" s="9"/>
      <c r="DF313" s="9"/>
      <c r="DG313" s="9"/>
      <c r="DH313" s="9"/>
      <c r="DI313" s="9"/>
      <c r="DJ313" s="9"/>
      <c r="DK313" s="9"/>
      <c r="DL313" s="9"/>
      <c r="DM313" s="9"/>
      <c r="DN313" s="9"/>
      <c r="DO313" s="9"/>
      <c r="DP313" s="9"/>
      <c r="DQ313" s="9"/>
      <c r="DR313" s="9"/>
      <c r="DS313" s="10"/>
      <c r="DT313" s="9"/>
      <c r="DU313" s="9"/>
      <c r="DV313" s="9"/>
      <c r="DW313" s="9"/>
      <c r="DX313" s="9"/>
      <c r="DY313" s="9"/>
      <c r="DZ313" s="9"/>
      <c r="EA313" s="9"/>
      <c r="EB313" s="9"/>
      <c r="EC313" s="9"/>
      <c r="ED313" s="9"/>
      <c r="EE313" s="9"/>
      <c r="EF313" s="9"/>
      <c r="EG313" s="9"/>
      <c r="EH313" s="9"/>
      <c r="EI313" s="9"/>
      <c r="EJ313" s="9"/>
      <c r="EK313" s="9"/>
      <c r="EL313" s="9"/>
      <c r="EM313" s="9"/>
      <c r="EN313" s="9"/>
      <c r="EO313" s="9"/>
      <c r="EP313" s="9"/>
      <c r="EQ313" s="9"/>
      <c r="ER313" s="9"/>
      <c r="ES313" s="9"/>
      <c r="ET313" s="9"/>
      <c r="EU313" s="10"/>
      <c r="EV313" s="9"/>
      <c r="EW313" s="9"/>
      <c r="EX313" s="9"/>
      <c r="EY313" s="9"/>
      <c r="EZ313" s="9"/>
      <c r="FA313" s="9"/>
      <c r="FB313" s="9"/>
      <c r="FC313" s="9"/>
      <c r="FD313" s="9"/>
      <c r="FE313" s="9"/>
      <c r="FF313" s="9"/>
      <c r="FG313" s="9"/>
      <c r="FH313" s="9"/>
      <c r="FI313" s="9"/>
      <c r="FJ313" s="9"/>
      <c r="FK313" s="9"/>
      <c r="FL313" s="9"/>
      <c r="FM313" s="9"/>
      <c r="FN313" s="9"/>
      <c r="FO313" s="9"/>
      <c r="FP313" s="9"/>
      <c r="FQ313" s="9"/>
      <c r="FR313" s="9"/>
      <c r="FS313" s="9"/>
      <c r="FT313" s="9"/>
      <c r="FU313" s="9"/>
      <c r="FV313" s="9"/>
      <c r="FW313" s="10"/>
      <c r="FX313" s="9"/>
      <c r="FY313" s="9"/>
      <c r="FZ313" s="9"/>
      <c r="GA313" s="9"/>
      <c r="GB313" s="9"/>
      <c r="GC313" s="9"/>
      <c r="GD313" s="9"/>
      <c r="GE313" s="9"/>
      <c r="GF313" s="9"/>
      <c r="GG313" s="9"/>
      <c r="GH313" s="9"/>
      <c r="GI313" s="9"/>
      <c r="GJ313" s="9"/>
      <c r="GK313" s="9"/>
      <c r="GL313" s="9"/>
      <c r="GM313" s="9"/>
      <c r="GN313" s="9"/>
      <c r="GO313" s="9"/>
      <c r="GP313" s="9"/>
      <c r="GQ313" s="9"/>
      <c r="GR313" s="9"/>
      <c r="GS313" s="9"/>
      <c r="GT313" s="9"/>
      <c r="GU313" s="9"/>
      <c r="GV313" s="9"/>
      <c r="GW313" s="9"/>
      <c r="GX313" s="9"/>
      <c r="GY313" s="10"/>
      <c r="GZ313" s="9"/>
      <c r="HA313" s="9"/>
    </row>
    <row r="314" spans="1:209" s="2" customFormat="1" ht="17" customHeight="1">
      <c r="A314" s="46" t="s">
        <v>307</v>
      </c>
      <c r="B314" s="35">
        <v>0</v>
      </c>
      <c r="C314" s="35">
        <v>0</v>
      </c>
      <c r="D314" s="4">
        <f t="shared" si="87"/>
        <v>0</v>
      </c>
      <c r="E314" s="11">
        <v>0</v>
      </c>
      <c r="F314" s="5" t="s">
        <v>362</v>
      </c>
      <c r="G314" s="5" t="s">
        <v>362</v>
      </c>
      <c r="H314" s="5" t="s">
        <v>362</v>
      </c>
      <c r="I314" s="5" t="s">
        <v>362</v>
      </c>
      <c r="J314" s="5" t="s">
        <v>362</v>
      </c>
      <c r="K314" s="5" t="s">
        <v>362</v>
      </c>
      <c r="L314" s="5" t="s">
        <v>362</v>
      </c>
      <c r="M314" s="5" t="s">
        <v>362</v>
      </c>
      <c r="N314" s="35">
        <v>484.6</v>
      </c>
      <c r="O314" s="35">
        <v>310</v>
      </c>
      <c r="P314" s="4">
        <f t="shared" si="88"/>
        <v>0.63970284770945107</v>
      </c>
      <c r="Q314" s="11">
        <v>20</v>
      </c>
      <c r="R314" s="35">
        <v>60</v>
      </c>
      <c r="S314" s="35">
        <v>70.7</v>
      </c>
      <c r="T314" s="4">
        <f t="shared" si="89"/>
        <v>1.1783333333333335</v>
      </c>
      <c r="U314" s="11">
        <v>10</v>
      </c>
      <c r="V314" s="35">
        <v>0</v>
      </c>
      <c r="W314" s="35">
        <v>0</v>
      </c>
      <c r="X314" s="4">
        <f t="shared" si="90"/>
        <v>1</v>
      </c>
      <c r="Y314" s="11">
        <v>40</v>
      </c>
      <c r="Z314" s="35">
        <v>81825</v>
      </c>
      <c r="AA314" s="35">
        <v>81100</v>
      </c>
      <c r="AB314" s="4">
        <f t="shared" si="91"/>
        <v>0.99113962725328442</v>
      </c>
      <c r="AC314" s="11">
        <v>5</v>
      </c>
      <c r="AD314" s="11">
        <v>215</v>
      </c>
      <c r="AE314" s="11">
        <v>241</v>
      </c>
      <c r="AF314" s="4">
        <f t="shared" si="92"/>
        <v>1.1209302325581396</v>
      </c>
      <c r="AG314" s="11">
        <v>20</v>
      </c>
      <c r="AH314" s="5" t="s">
        <v>362</v>
      </c>
      <c r="AI314" s="5" t="s">
        <v>362</v>
      </c>
      <c r="AJ314" s="5" t="s">
        <v>362</v>
      </c>
      <c r="AK314" s="5" t="s">
        <v>362</v>
      </c>
      <c r="AL314" s="5" t="s">
        <v>362</v>
      </c>
      <c r="AM314" s="5" t="s">
        <v>362</v>
      </c>
      <c r="AN314" s="5" t="s">
        <v>362</v>
      </c>
      <c r="AO314" s="5" t="s">
        <v>362</v>
      </c>
      <c r="AP314" s="44">
        <f t="shared" si="101"/>
        <v>0.96791255868370063</v>
      </c>
      <c r="AQ314" s="45">
        <v>918</v>
      </c>
      <c r="AR314" s="35">
        <f t="shared" si="93"/>
        <v>250.36363636363637</v>
      </c>
      <c r="AS314" s="35">
        <f t="shared" si="94"/>
        <v>242.3</v>
      </c>
      <c r="AT314" s="35">
        <f t="shared" si="95"/>
        <v>-8.0636363636363626</v>
      </c>
      <c r="AU314" s="35">
        <v>73.900000000000006</v>
      </c>
      <c r="AV314" s="35">
        <v>81.8</v>
      </c>
      <c r="AW314" s="35">
        <f t="shared" si="96"/>
        <v>86.6</v>
      </c>
      <c r="AX314" s="35"/>
      <c r="AY314" s="35">
        <f t="shared" si="97"/>
        <v>86.6</v>
      </c>
      <c r="AZ314" s="35">
        <v>0</v>
      </c>
      <c r="BA314" s="35">
        <f t="shared" si="98"/>
        <v>86.6</v>
      </c>
      <c r="BB314" s="35">
        <f>MIN(BA314,33.8)</f>
        <v>33.799999999999997</v>
      </c>
      <c r="BC314" s="35">
        <f t="shared" si="99"/>
        <v>52.8</v>
      </c>
      <c r="BD314" s="35">
        <v>52.5</v>
      </c>
      <c r="BE314" s="35">
        <f t="shared" si="100"/>
        <v>0.3</v>
      </c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9"/>
      <c r="BU314" s="9"/>
      <c r="BV314" s="9"/>
      <c r="BW314" s="9"/>
      <c r="BX314" s="9"/>
      <c r="BY314" s="9"/>
      <c r="BZ314" s="9"/>
      <c r="CA314" s="9"/>
      <c r="CB314" s="9"/>
      <c r="CC314" s="9"/>
      <c r="CD314" s="9"/>
      <c r="CE314" s="9"/>
      <c r="CF314" s="9"/>
      <c r="CG314" s="9"/>
      <c r="CH314" s="9"/>
      <c r="CI314" s="9"/>
      <c r="CJ314" s="9"/>
      <c r="CK314" s="9"/>
      <c r="CL314" s="9"/>
      <c r="CM314" s="9"/>
      <c r="CN314" s="9"/>
      <c r="CO314" s="9"/>
      <c r="CP314" s="9"/>
      <c r="CQ314" s="10"/>
      <c r="CR314" s="9"/>
      <c r="CS314" s="9"/>
      <c r="CT314" s="9"/>
      <c r="CU314" s="9"/>
      <c r="CV314" s="9"/>
      <c r="CW314" s="9"/>
      <c r="CX314" s="9"/>
      <c r="CY314" s="9"/>
      <c r="CZ314" s="9"/>
      <c r="DA314" s="9"/>
      <c r="DB314" s="9"/>
      <c r="DC314" s="9"/>
      <c r="DD314" s="9"/>
      <c r="DE314" s="9"/>
      <c r="DF314" s="9"/>
      <c r="DG314" s="9"/>
      <c r="DH314" s="9"/>
      <c r="DI314" s="9"/>
      <c r="DJ314" s="9"/>
      <c r="DK314" s="9"/>
      <c r="DL314" s="9"/>
      <c r="DM314" s="9"/>
      <c r="DN314" s="9"/>
      <c r="DO314" s="9"/>
      <c r="DP314" s="9"/>
      <c r="DQ314" s="9"/>
      <c r="DR314" s="9"/>
      <c r="DS314" s="10"/>
      <c r="DT314" s="9"/>
      <c r="DU314" s="9"/>
      <c r="DV314" s="9"/>
      <c r="DW314" s="9"/>
      <c r="DX314" s="9"/>
      <c r="DY314" s="9"/>
      <c r="DZ314" s="9"/>
      <c r="EA314" s="9"/>
      <c r="EB314" s="9"/>
      <c r="EC314" s="9"/>
      <c r="ED314" s="9"/>
      <c r="EE314" s="9"/>
      <c r="EF314" s="9"/>
      <c r="EG314" s="9"/>
      <c r="EH314" s="9"/>
      <c r="EI314" s="9"/>
      <c r="EJ314" s="9"/>
      <c r="EK314" s="9"/>
      <c r="EL314" s="9"/>
      <c r="EM314" s="9"/>
      <c r="EN314" s="9"/>
      <c r="EO314" s="9"/>
      <c r="EP314" s="9"/>
      <c r="EQ314" s="9"/>
      <c r="ER314" s="9"/>
      <c r="ES314" s="9"/>
      <c r="ET314" s="9"/>
      <c r="EU314" s="10"/>
      <c r="EV314" s="9"/>
      <c r="EW314" s="9"/>
      <c r="EX314" s="9"/>
      <c r="EY314" s="9"/>
      <c r="EZ314" s="9"/>
      <c r="FA314" s="9"/>
      <c r="FB314" s="9"/>
      <c r="FC314" s="9"/>
      <c r="FD314" s="9"/>
      <c r="FE314" s="9"/>
      <c r="FF314" s="9"/>
      <c r="FG314" s="9"/>
      <c r="FH314" s="9"/>
      <c r="FI314" s="9"/>
      <c r="FJ314" s="9"/>
      <c r="FK314" s="9"/>
      <c r="FL314" s="9"/>
      <c r="FM314" s="9"/>
      <c r="FN314" s="9"/>
      <c r="FO314" s="9"/>
      <c r="FP314" s="9"/>
      <c r="FQ314" s="9"/>
      <c r="FR314" s="9"/>
      <c r="FS314" s="9"/>
      <c r="FT314" s="9"/>
      <c r="FU314" s="9"/>
      <c r="FV314" s="9"/>
      <c r="FW314" s="10"/>
      <c r="FX314" s="9"/>
      <c r="FY314" s="9"/>
      <c r="FZ314" s="9"/>
      <c r="GA314" s="9"/>
      <c r="GB314" s="9"/>
      <c r="GC314" s="9"/>
      <c r="GD314" s="9"/>
      <c r="GE314" s="9"/>
      <c r="GF314" s="9"/>
      <c r="GG314" s="9"/>
      <c r="GH314" s="9"/>
      <c r="GI314" s="9"/>
      <c r="GJ314" s="9"/>
      <c r="GK314" s="9"/>
      <c r="GL314" s="9"/>
      <c r="GM314" s="9"/>
      <c r="GN314" s="9"/>
      <c r="GO314" s="9"/>
      <c r="GP314" s="9"/>
      <c r="GQ314" s="9"/>
      <c r="GR314" s="9"/>
      <c r="GS314" s="9"/>
      <c r="GT314" s="9"/>
      <c r="GU314" s="9"/>
      <c r="GV314" s="9"/>
      <c r="GW314" s="9"/>
      <c r="GX314" s="9"/>
      <c r="GY314" s="10"/>
      <c r="GZ314" s="9"/>
      <c r="HA314" s="9"/>
    </row>
    <row r="315" spans="1:209" s="2" customFormat="1" ht="17" customHeight="1">
      <c r="A315" s="46" t="s">
        <v>308</v>
      </c>
      <c r="B315" s="35">
        <v>0</v>
      </c>
      <c r="C315" s="35">
        <v>0</v>
      </c>
      <c r="D315" s="4">
        <f t="shared" si="87"/>
        <v>0</v>
      </c>
      <c r="E315" s="11">
        <v>0</v>
      </c>
      <c r="F315" s="5" t="s">
        <v>362</v>
      </c>
      <c r="G315" s="5" t="s">
        <v>362</v>
      </c>
      <c r="H315" s="5" t="s">
        <v>362</v>
      </c>
      <c r="I315" s="5" t="s">
        <v>362</v>
      </c>
      <c r="J315" s="5" t="s">
        <v>362</v>
      </c>
      <c r="K315" s="5" t="s">
        <v>362</v>
      </c>
      <c r="L315" s="5" t="s">
        <v>362</v>
      </c>
      <c r="M315" s="5" t="s">
        <v>362</v>
      </c>
      <c r="N315" s="35">
        <v>1197.5</v>
      </c>
      <c r="O315" s="35">
        <v>514.9</v>
      </c>
      <c r="P315" s="4">
        <f t="shared" si="88"/>
        <v>0.42997912317327763</v>
      </c>
      <c r="Q315" s="11">
        <v>20</v>
      </c>
      <c r="R315" s="35">
        <v>336</v>
      </c>
      <c r="S315" s="35">
        <v>384.3</v>
      </c>
      <c r="T315" s="4">
        <f t="shared" si="89"/>
        <v>1.14375</v>
      </c>
      <c r="U315" s="11">
        <v>40</v>
      </c>
      <c r="V315" s="35">
        <v>0</v>
      </c>
      <c r="W315" s="35">
        <v>0</v>
      </c>
      <c r="X315" s="4">
        <f t="shared" si="90"/>
        <v>1</v>
      </c>
      <c r="Y315" s="11">
        <v>10</v>
      </c>
      <c r="Z315" s="35">
        <v>3927</v>
      </c>
      <c r="AA315" s="35">
        <v>1595</v>
      </c>
      <c r="AB315" s="4">
        <f t="shared" si="91"/>
        <v>0.4061624649859944</v>
      </c>
      <c r="AC315" s="11">
        <v>5</v>
      </c>
      <c r="AD315" s="11">
        <v>190</v>
      </c>
      <c r="AE315" s="11">
        <v>219</v>
      </c>
      <c r="AF315" s="4">
        <f t="shared" si="92"/>
        <v>1.1526315789473685</v>
      </c>
      <c r="AG315" s="11">
        <v>20</v>
      </c>
      <c r="AH315" s="5" t="s">
        <v>362</v>
      </c>
      <c r="AI315" s="5" t="s">
        <v>362</v>
      </c>
      <c r="AJ315" s="5" t="s">
        <v>362</v>
      </c>
      <c r="AK315" s="5" t="s">
        <v>362</v>
      </c>
      <c r="AL315" s="5" t="s">
        <v>362</v>
      </c>
      <c r="AM315" s="5" t="s">
        <v>362</v>
      </c>
      <c r="AN315" s="5" t="s">
        <v>362</v>
      </c>
      <c r="AO315" s="5" t="s">
        <v>362</v>
      </c>
      <c r="AP315" s="44">
        <f t="shared" si="101"/>
        <v>0.94140027755097777</v>
      </c>
      <c r="AQ315" s="45">
        <v>5</v>
      </c>
      <c r="AR315" s="35">
        <f t="shared" si="93"/>
        <v>1.3636363636363635</v>
      </c>
      <c r="AS315" s="35">
        <f t="shared" si="94"/>
        <v>1.3</v>
      </c>
      <c r="AT315" s="35">
        <f t="shared" si="95"/>
        <v>-6.3636363636363491E-2</v>
      </c>
      <c r="AU315" s="35">
        <v>0.5</v>
      </c>
      <c r="AV315" s="35">
        <v>0.4</v>
      </c>
      <c r="AW315" s="35">
        <f t="shared" si="96"/>
        <v>0.4</v>
      </c>
      <c r="AX315" s="35"/>
      <c r="AY315" s="35">
        <f t="shared" si="97"/>
        <v>0.4</v>
      </c>
      <c r="AZ315" s="35">
        <v>0</v>
      </c>
      <c r="BA315" s="35">
        <f t="shared" si="98"/>
        <v>0.4</v>
      </c>
      <c r="BB315" s="35">
        <f>MIN(BA315,0.2)</f>
        <v>0.2</v>
      </c>
      <c r="BC315" s="35">
        <f t="shared" si="99"/>
        <v>0.2</v>
      </c>
      <c r="BD315" s="35">
        <v>0.2</v>
      </c>
      <c r="BE315" s="35">
        <f t="shared" si="100"/>
        <v>0</v>
      </c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9"/>
      <c r="BU315" s="9"/>
      <c r="BV315" s="9"/>
      <c r="BW315" s="9"/>
      <c r="BX315" s="9"/>
      <c r="BY315" s="9"/>
      <c r="BZ315" s="9"/>
      <c r="CA315" s="9"/>
      <c r="CB315" s="9"/>
      <c r="CC315" s="9"/>
      <c r="CD315" s="9"/>
      <c r="CE315" s="9"/>
      <c r="CF315" s="9"/>
      <c r="CG315" s="9"/>
      <c r="CH315" s="9"/>
      <c r="CI315" s="9"/>
      <c r="CJ315" s="9"/>
      <c r="CK315" s="9"/>
      <c r="CL315" s="9"/>
      <c r="CM315" s="9"/>
      <c r="CN315" s="9"/>
      <c r="CO315" s="9"/>
      <c r="CP315" s="9"/>
      <c r="CQ315" s="10"/>
      <c r="CR315" s="9"/>
      <c r="CS315" s="9"/>
      <c r="CT315" s="9"/>
      <c r="CU315" s="9"/>
      <c r="CV315" s="9"/>
      <c r="CW315" s="9"/>
      <c r="CX315" s="9"/>
      <c r="CY315" s="9"/>
      <c r="CZ315" s="9"/>
      <c r="DA315" s="9"/>
      <c r="DB315" s="9"/>
      <c r="DC315" s="9"/>
      <c r="DD315" s="9"/>
      <c r="DE315" s="9"/>
      <c r="DF315" s="9"/>
      <c r="DG315" s="9"/>
      <c r="DH315" s="9"/>
      <c r="DI315" s="9"/>
      <c r="DJ315" s="9"/>
      <c r="DK315" s="9"/>
      <c r="DL315" s="9"/>
      <c r="DM315" s="9"/>
      <c r="DN315" s="9"/>
      <c r="DO315" s="9"/>
      <c r="DP315" s="9"/>
      <c r="DQ315" s="9"/>
      <c r="DR315" s="9"/>
      <c r="DS315" s="10"/>
      <c r="DT315" s="9"/>
      <c r="DU315" s="9"/>
      <c r="DV315" s="9"/>
      <c r="DW315" s="9"/>
      <c r="DX315" s="9"/>
      <c r="DY315" s="9"/>
      <c r="DZ315" s="9"/>
      <c r="EA315" s="9"/>
      <c r="EB315" s="9"/>
      <c r="EC315" s="9"/>
      <c r="ED315" s="9"/>
      <c r="EE315" s="9"/>
      <c r="EF315" s="9"/>
      <c r="EG315" s="9"/>
      <c r="EH315" s="9"/>
      <c r="EI315" s="9"/>
      <c r="EJ315" s="9"/>
      <c r="EK315" s="9"/>
      <c r="EL315" s="9"/>
      <c r="EM315" s="9"/>
      <c r="EN315" s="9"/>
      <c r="EO315" s="9"/>
      <c r="EP315" s="9"/>
      <c r="EQ315" s="9"/>
      <c r="ER315" s="9"/>
      <c r="ES315" s="9"/>
      <c r="ET315" s="9"/>
      <c r="EU315" s="10"/>
      <c r="EV315" s="9"/>
      <c r="EW315" s="9"/>
      <c r="EX315" s="9"/>
      <c r="EY315" s="9"/>
      <c r="EZ315" s="9"/>
      <c r="FA315" s="9"/>
      <c r="FB315" s="9"/>
      <c r="FC315" s="9"/>
      <c r="FD315" s="9"/>
      <c r="FE315" s="9"/>
      <c r="FF315" s="9"/>
      <c r="FG315" s="9"/>
      <c r="FH315" s="9"/>
      <c r="FI315" s="9"/>
      <c r="FJ315" s="9"/>
      <c r="FK315" s="9"/>
      <c r="FL315" s="9"/>
      <c r="FM315" s="9"/>
      <c r="FN315" s="9"/>
      <c r="FO315" s="9"/>
      <c r="FP315" s="9"/>
      <c r="FQ315" s="9"/>
      <c r="FR315" s="9"/>
      <c r="FS315" s="9"/>
      <c r="FT315" s="9"/>
      <c r="FU315" s="9"/>
      <c r="FV315" s="9"/>
      <c r="FW315" s="10"/>
      <c r="FX315" s="9"/>
      <c r="FY315" s="9"/>
      <c r="FZ315" s="9"/>
      <c r="GA315" s="9"/>
      <c r="GB315" s="9"/>
      <c r="GC315" s="9"/>
      <c r="GD315" s="9"/>
      <c r="GE315" s="9"/>
      <c r="GF315" s="9"/>
      <c r="GG315" s="9"/>
      <c r="GH315" s="9"/>
      <c r="GI315" s="9"/>
      <c r="GJ315" s="9"/>
      <c r="GK315" s="9"/>
      <c r="GL315" s="9"/>
      <c r="GM315" s="9"/>
      <c r="GN315" s="9"/>
      <c r="GO315" s="9"/>
      <c r="GP315" s="9"/>
      <c r="GQ315" s="9"/>
      <c r="GR315" s="9"/>
      <c r="GS315" s="9"/>
      <c r="GT315" s="9"/>
      <c r="GU315" s="9"/>
      <c r="GV315" s="9"/>
      <c r="GW315" s="9"/>
      <c r="GX315" s="9"/>
      <c r="GY315" s="10"/>
      <c r="GZ315" s="9"/>
      <c r="HA315" s="9"/>
    </row>
    <row r="316" spans="1:209" s="2" customFormat="1" ht="17" customHeight="1">
      <c r="A316" s="46" t="s">
        <v>309</v>
      </c>
      <c r="B316" s="35">
        <v>330</v>
      </c>
      <c r="C316" s="35">
        <v>15712</v>
      </c>
      <c r="D316" s="4">
        <f t="shared" si="87"/>
        <v>1.3</v>
      </c>
      <c r="E316" s="11">
        <v>10</v>
      </c>
      <c r="F316" s="5" t="s">
        <v>362</v>
      </c>
      <c r="G316" s="5" t="s">
        <v>362</v>
      </c>
      <c r="H316" s="5" t="s">
        <v>362</v>
      </c>
      <c r="I316" s="5" t="s">
        <v>362</v>
      </c>
      <c r="J316" s="5" t="s">
        <v>362</v>
      </c>
      <c r="K316" s="5" t="s">
        <v>362</v>
      </c>
      <c r="L316" s="5" t="s">
        <v>362</v>
      </c>
      <c r="M316" s="5" t="s">
        <v>362</v>
      </c>
      <c r="N316" s="35">
        <v>320.89999999999998</v>
      </c>
      <c r="O316" s="35">
        <v>104.9</v>
      </c>
      <c r="P316" s="4">
        <f t="shared" si="88"/>
        <v>0.32689311311935187</v>
      </c>
      <c r="Q316" s="11">
        <v>20</v>
      </c>
      <c r="R316" s="35">
        <v>0</v>
      </c>
      <c r="S316" s="35">
        <v>1.4</v>
      </c>
      <c r="T316" s="4">
        <f t="shared" si="89"/>
        <v>1</v>
      </c>
      <c r="U316" s="11">
        <v>15</v>
      </c>
      <c r="V316" s="35">
        <v>1.2</v>
      </c>
      <c r="W316" s="35">
        <v>1.4</v>
      </c>
      <c r="X316" s="4">
        <f t="shared" si="90"/>
        <v>1.1666666666666667</v>
      </c>
      <c r="Y316" s="11">
        <v>35</v>
      </c>
      <c r="Z316" s="35">
        <v>2269</v>
      </c>
      <c r="AA316" s="35">
        <v>4285</v>
      </c>
      <c r="AB316" s="4">
        <f t="shared" si="91"/>
        <v>1.2688497135301895</v>
      </c>
      <c r="AC316" s="11">
        <v>5</v>
      </c>
      <c r="AD316" s="11">
        <v>17</v>
      </c>
      <c r="AE316" s="11">
        <v>25</v>
      </c>
      <c r="AF316" s="4">
        <f t="shared" si="92"/>
        <v>1.2270588235294118</v>
      </c>
      <c r="AG316" s="11">
        <v>20</v>
      </c>
      <c r="AH316" s="5" t="s">
        <v>362</v>
      </c>
      <c r="AI316" s="5" t="s">
        <v>362</v>
      </c>
      <c r="AJ316" s="5" t="s">
        <v>362</v>
      </c>
      <c r="AK316" s="5" t="s">
        <v>362</v>
      </c>
      <c r="AL316" s="5" t="s">
        <v>362</v>
      </c>
      <c r="AM316" s="5" t="s">
        <v>362</v>
      </c>
      <c r="AN316" s="5" t="s">
        <v>362</v>
      </c>
      <c r="AO316" s="5" t="s">
        <v>362</v>
      </c>
      <c r="AP316" s="44">
        <f t="shared" si="101"/>
        <v>1.0119678155615195</v>
      </c>
      <c r="AQ316" s="45">
        <v>629</v>
      </c>
      <c r="AR316" s="35">
        <f t="shared" si="93"/>
        <v>171.54545454545453</v>
      </c>
      <c r="AS316" s="35">
        <f t="shared" si="94"/>
        <v>173.6</v>
      </c>
      <c r="AT316" s="35">
        <f t="shared" si="95"/>
        <v>2.0545454545454618</v>
      </c>
      <c r="AU316" s="35">
        <v>61.2</v>
      </c>
      <c r="AV316" s="35">
        <v>51.3</v>
      </c>
      <c r="AW316" s="35">
        <f t="shared" si="96"/>
        <v>61.1</v>
      </c>
      <c r="AX316" s="35"/>
      <c r="AY316" s="35">
        <f t="shared" si="97"/>
        <v>61.1</v>
      </c>
      <c r="AZ316" s="35">
        <v>0</v>
      </c>
      <c r="BA316" s="35">
        <f t="shared" si="98"/>
        <v>61.1</v>
      </c>
      <c r="BB316" s="35">
        <f>MIN(BA316,28.6)</f>
        <v>28.6</v>
      </c>
      <c r="BC316" s="35">
        <f t="shared" si="99"/>
        <v>32.5</v>
      </c>
      <c r="BD316" s="35">
        <v>30.3</v>
      </c>
      <c r="BE316" s="35">
        <f t="shared" si="100"/>
        <v>2.2000000000000002</v>
      </c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9"/>
      <c r="BU316" s="9"/>
      <c r="BV316" s="9"/>
      <c r="BW316" s="9"/>
      <c r="BX316" s="9"/>
      <c r="BY316" s="9"/>
      <c r="BZ316" s="9"/>
      <c r="CA316" s="9"/>
      <c r="CB316" s="9"/>
      <c r="CC316" s="9"/>
      <c r="CD316" s="9"/>
      <c r="CE316" s="9"/>
      <c r="CF316" s="9"/>
      <c r="CG316" s="9"/>
      <c r="CH316" s="9"/>
      <c r="CI316" s="9"/>
      <c r="CJ316" s="9"/>
      <c r="CK316" s="9"/>
      <c r="CL316" s="9"/>
      <c r="CM316" s="9"/>
      <c r="CN316" s="9"/>
      <c r="CO316" s="9"/>
      <c r="CP316" s="9"/>
      <c r="CQ316" s="10"/>
      <c r="CR316" s="9"/>
      <c r="CS316" s="9"/>
      <c r="CT316" s="9"/>
      <c r="CU316" s="9"/>
      <c r="CV316" s="9"/>
      <c r="CW316" s="9"/>
      <c r="CX316" s="9"/>
      <c r="CY316" s="9"/>
      <c r="CZ316" s="9"/>
      <c r="DA316" s="9"/>
      <c r="DB316" s="9"/>
      <c r="DC316" s="9"/>
      <c r="DD316" s="9"/>
      <c r="DE316" s="9"/>
      <c r="DF316" s="9"/>
      <c r="DG316" s="9"/>
      <c r="DH316" s="9"/>
      <c r="DI316" s="9"/>
      <c r="DJ316" s="9"/>
      <c r="DK316" s="9"/>
      <c r="DL316" s="9"/>
      <c r="DM316" s="9"/>
      <c r="DN316" s="9"/>
      <c r="DO316" s="9"/>
      <c r="DP316" s="9"/>
      <c r="DQ316" s="9"/>
      <c r="DR316" s="9"/>
      <c r="DS316" s="10"/>
      <c r="DT316" s="9"/>
      <c r="DU316" s="9"/>
      <c r="DV316" s="9"/>
      <c r="DW316" s="9"/>
      <c r="DX316" s="9"/>
      <c r="DY316" s="9"/>
      <c r="DZ316" s="9"/>
      <c r="EA316" s="9"/>
      <c r="EB316" s="9"/>
      <c r="EC316" s="9"/>
      <c r="ED316" s="9"/>
      <c r="EE316" s="9"/>
      <c r="EF316" s="9"/>
      <c r="EG316" s="9"/>
      <c r="EH316" s="9"/>
      <c r="EI316" s="9"/>
      <c r="EJ316" s="9"/>
      <c r="EK316" s="9"/>
      <c r="EL316" s="9"/>
      <c r="EM316" s="9"/>
      <c r="EN316" s="9"/>
      <c r="EO316" s="9"/>
      <c r="EP316" s="9"/>
      <c r="EQ316" s="9"/>
      <c r="ER316" s="9"/>
      <c r="ES316" s="9"/>
      <c r="ET316" s="9"/>
      <c r="EU316" s="10"/>
      <c r="EV316" s="9"/>
      <c r="EW316" s="9"/>
      <c r="EX316" s="9"/>
      <c r="EY316" s="9"/>
      <c r="EZ316" s="9"/>
      <c r="FA316" s="9"/>
      <c r="FB316" s="9"/>
      <c r="FC316" s="9"/>
      <c r="FD316" s="9"/>
      <c r="FE316" s="9"/>
      <c r="FF316" s="9"/>
      <c r="FG316" s="9"/>
      <c r="FH316" s="9"/>
      <c r="FI316" s="9"/>
      <c r="FJ316" s="9"/>
      <c r="FK316" s="9"/>
      <c r="FL316" s="9"/>
      <c r="FM316" s="9"/>
      <c r="FN316" s="9"/>
      <c r="FO316" s="9"/>
      <c r="FP316" s="9"/>
      <c r="FQ316" s="9"/>
      <c r="FR316" s="9"/>
      <c r="FS316" s="9"/>
      <c r="FT316" s="9"/>
      <c r="FU316" s="9"/>
      <c r="FV316" s="9"/>
      <c r="FW316" s="10"/>
      <c r="FX316" s="9"/>
      <c r="FY316" s="9"/>
      <c r="FZ316" s="9"/>
      <c r="GA316" s="9"/>
      <c r="GB316" s="9"/>
      <c r="GC316" s="9"/>
      <c r="GD316" s="9"/>
      <c r="GE316" s="9"/>
      <c r="GF316" s="9"/>
      <c r="GG316" s="9"/>
      <c r="GH316" s="9"/>
      <c r="GI316" s="9"/>
      <c r="GJ316" s="9"/>
      <c r="GK316" s="9"/>
      <c r="GL316" s="9"/>
      <c r="GM316" s="9"/>
      <c r="GN316" s="9"/>
      <c r="GO316" s="9"/>
      <c r="GP316" s="9"/>
      <c r="GQ316" s="9"/>
      <c r="GR316" s="9"/>
      <c r="GS316" s="9"/>
      <c r="GT316" s="9"/>
      <c r="GU316" s="9"/>
      <c r="GV316" s="9"/>
      <c r="GW316" s="9"/>
      <c r="GX316" s="9"/>
      <c r="GY316" s="10"/>
      <c r="GZ316" s="9"/>
      <c r="HA316" s="9"/>
    </row>
    <row r="317" spans="1:209" s="2" customFormat="1" ht="17" customHeight="1">
      <c r="A317" s="46" t="s">
        <v>310</v>
      </c>
      <c r="B317" s="35">
        <v>2612</v>
      </c>
      <c r="C317" s="35">
        <v>2117.3000000000002</v>
      </c>
      <c r="D317" s="4">
        <f t="shared" si="87"/>
        <v>0.81060490045941813</v>
      </c>
      <c r="E317" s="11">
        <v>10</v>
      </c>
      <c r="F317" s="5" t="s">
        <v>362</v>
      </c>
      <c r="G317" s="5" t="s">
        <v>362</v>
      </c>
      <c r="H317" s="5" t="s">
        <v>362</v>
      </c>
      <c r="I317" s="5" t="s">
        <v>362</v>
      </c>
      <c r="J317" s="5" t="s">
        <v>362</v>
      </c>
      <c r="K317" s="5" t="s">
        <v>362</v>
      </c>
      <c r="L317" s="5" t="s">
        <v>362</v>
      </c>
      <c r="M317" s="5" t="s">
        <v>362</v>
      </c>
      <c r="N317" s="35">
        <v>328.2</v>
      </c>
      <c r="O317" s="35">
        <v>183.9</v>
      </c>
      <c r="P317" s="4">
        <f t="shared" si="88"/>
        <v>0.56032906764168189</v>
      </c>
      <c r="Q317" s="11">
        <v>20</v>
      </c>
      <c r="R317" s="35">
        <v>42</v>
      </c>
      <c r="S317" s="35">
        <v>47.2</v>
      </c>
      <c r="T317" s="4">
        <f t="shared" si="89"/>
        <v>1.1238095238095238</v>
      </c>
      <c r="U317" s="11">
        <v>20</v>
      </c>
      <c r="V317" s="35">
        <v>0</v>
      </c>
      <c r="W317" s="35">
        <v>0</v>
      </c>
      <c r="X317" s="4">
        <f t="shared" si="90"/>
        <v>1</v>
      </c>
      <c r="Y317" s="11">
        <v>30</v>
      </c>
      <c r="Z317" s="35">
        <v>3907</v>
      </c>
      <c r="AA317" s="35">
        <v>4856</v>
      </c>
      <c r="AB317" s="4">
        <f t="shared" si="91"/>
        <v>1.2042897363706169</v>
      </c>
      <c r="AC317" s="11">
        <v>5</v>
      </c>
      <c r="AD317" s="11">
        <v>83</v>
      </c>
      <c r="AE317" s="11">
        <v>83</v>
      </c>
      <c r="AF317" s="4">
        <f t="shared" si="92"/>
        <v>1</v>
      </c>
      <c r="AG317" s="11">
        <v>20</v>
      </c>
      <c r="AH317" s="5" t="s">
        <v>362</v>
      </c>
      <c r="AI317" s="5" t="s">
        <v>362</v>
      </c>
      <c r="AJ317" s="5" t="s">
        <v>362</v>
      </c>
      <c r="AK317" s="5" t="s">
        <v>362</v>
      </c>
      <c r="AL317" s="5" t="s">
        <v>362</v>
      </c>
      <c r="AM317" s="5" t="s">
        <v>362</v>
      </c>
      <c r="AN317" s="5" t="s">
        <v>362</v>
      </c>
      <c r="AO317" s="5" t="s">
        <v>362</v>
      </c>
      <c r="AP317" s="44">
        <f t="shared" si="101"/>
        <v>0.93152637633782276</v>
      </c>
      <c r="AQ317" s="45">
        <v>1119</v>
      </c>
      <c r="AR317" s="35">
        <f t="shared" si="93"/>
        <v>305.18181818181819</v>
      </c>
      <c r="AS317" s="35">
        <f t="shared" si="94"/>
        <v>284.3</v>
      </c>
      <c r="AT317" s="35">
        <f t="shared" si="95"/>
        <v>-20.881818181818176</v>
      </c>
      <c r="AU317" s="35">
        <v>91.5</v>
      </c>
      <c r="AV317" s="35">
        <v>93.1</v>
      </c>
      <c r="AW317" s="35">
        <f t="shared" si="96"/>
        <v>99.7</v>
      </c>
      <c r="AX317" s="35"/>
      <c r="AY317" s="35">
        <f t="shared" si="97"/>
        <v>99.7</v>
      </c>
      <c r="AZ317" s="35">
        <v>0</v>
      </c>
      <c r="BA317" s="35">
        <f t="shared" si="98"/>
        <v>99.7</v>
      </c>
      <c r="BB317" s="35">
        <f>MIN(BA317,50.9)</f>
        <v>50.9</v>
      </c>
      <c r="BC317" s="35">
        <f t="shared" si="99"/>
        <v>48.8</v>
      </c>
      <c r="BD317" s="35">
        <v>44.6</v>
      </c>
      <c r="BE317" s="35">
        <f t="shared" si="100"/>
        <v>4.2</v>
      </c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9"/>
      <c r="BU317" s="9"/>
      <c r="BV317" s="9"/>
      <c r="BW317" s="9"/>
      <c r="BX317" s="9"/>
      <c r="BY317" s="9"/>
      <c r="BZ317" s="9"/>
      <c r="CA317" s="9"/>
      <c r="CB317" s="9"/>
      <c r="CC317" s="9"/>
      <c r="CD317" s="9"/>
      <c r="CE317" s="9"/>
      <c r="CF317" s="9"/>
      <c r="CG317" s="9"/>
      <c r="CH317" s="9"/>
      <c r="CI317" s="9"/>
      <c r="CJ317" s="9"/>
      <c r="CK317" s="9"/>
      <c r="CL317" s="9"/>
      <c r="CM317" s="9"/>
      <c r="CN317" s="9"/>
      <c r="CO317" s="9"/>
      <c r="CP317" s="9"/>
      <c r="CQ317" s="10"/>
      <c r="CR317" s="9"/>
      <c r="CS317" s="9"/>
      <c r="CT317" s="9"/>
      <c r="CU317" s="9"/>
      <c r="CV317" s="9"/>
      <c r="CW317" s="9"/>
      <c r="CX317" s="9"/>
      <c r="CY317" s="9"/>
      <c r="CZ317" s="9"/>
      <c r="DA317" s="9"/>
      <c r="DB317" s="9"/>
      <c r="DC317" s="9"/>
      <c r="DD317" s="9"/>
      <c r="DE317" s="9"/>
      <c r="DF317" s="9"/>
      <c r="DG317" s="9"/>
      <c r="DH317" s="9"/>
      <c r="DI317" s="9"/>
      <c r="DJ317" s="9"/>
      <c r="DK317" s="9"/>
      <c r="DL317" s="9"/>
      <c r="DM317" s="9"/>
      <c r="DN317" s="9"/>
      <c r="DO317" s="9"/>
      <c r="DP317" s="9"/>
      <c r="DQ317" s="9"/>
      <c r="DR317" s="9"/>
      <c r="DS317" s="10"/>
      <c r="DT317" s="9"/>
      <c r="DU317" s="9"/>
      <c r="DV317" s="9"/>
      <c r="DW317" s="9"/>
      <c r="DX317" s="9"/>
      <c r="DY317" s="9"/>
      <c r="DZ317" s="9"/>
      <c r="EA317" s="9"/>
      <c r="EB317" s="9"/>
      <c r="EC317" s="9"/>
      <c r="ED317" s="9"/>
      <c r="EE317" s="9"/>
      <c r="EF317" s="9"/>
      <c r="EG317" s="9"/>
      <c r="EH317" s="9"/>
      <c r="EI317" s="9"/>
      <c r="EJ317" s="9"/>
      <c r="EK317" s="9"/>
      <c r="EL317" s="9"/>
      <c r="EM317" s="9"/>
      <c r="EN317" s="9"/>
      <c r="EO317" s="9"/>
      <c r="EP317" s="9"/>
      <c r="EQ317" s="9"/>
      <c r="ER317" s="9"/>
      <c r="ES317" s="9"/>
      <c r="ET317" s="9"/>
      <c r="EU317" s="10"/>
      <c r="EV317" s="9"/>
      <c r="EW317" s="9"/>
      <c r="EX317" s="9"/>
      <c r="EY317" s="9"/>
      <c r="EZ317" s="9"/>
      <c r="FA317" s="9"/>
      <c r="FB317" s="9"/>
      <c r="FC317" s="9"/>
      <c r="FD317" s="9"/>
      <c r="FE317" s="9"/>
      <c r="FF317" s="9"/>
      <c r="FG317" s="9"/>
      <c r="FH317" s="9"/>
      <c r="FI317" s="9"/>
      <c r="FJ317" s="9"/>
      <c r="FK317" s="9"/>
      <c r="FL317" s="9"/>
      <c r="FM317" s="9"/>
      <c r="FN317" s="9"/>
      <c r="FO317" s="9"/>
      <c r="FP317" s="9"/>
      <c r="FQ317" s="9"/>
      <c r="FR317" s="9"/>
      <c r="FS317" s="9"/>
      <c r="FT317" s="9"/>
      <c r="FU317" s="9"/>
      <c r="FV317" s="9"/>
      <c r="FW317" s="10"/>
      <c r="FX317" s="9"/>
      <c r="FY317" s="9"/>
      <c r="FZ317" s="9"/>
      <c r="GA317" s="9"/>
      <c r="GB317" s="9"/>
      <c r="GC317" s="9"/>
      <c r="GD317" s="9"/>
      <c r="GE317" s="9"/>
      <c r="GF317" s="9"/>
      <c r="GG317" s="9"/>
      <c r="GH317" s="9"/>
      <c r="GI317" s="9"/>
      <c r="GJ317" s="9"/>
      <c r="GK317" s="9"/>
      <c r="GL317" s="9"/>
      <c r="GM317" s="9"/>
      <c r="GN317" s="9"/>
      <c r="GO317" s="9"/>
      <c r="GP317" s="9"/>
      <c r="GQ317" s="9"/>
      <c r="GR317" s="9"/>
      <c r="GS317" s="9"/>
      <c r="GT317" s="9"/>
      <c r="GU317" s="9"/>
      <c r="GV317" s="9"/>
      <c r="GW317" s="9"/>
      <c r="GX317" s="9"/>
      <c r="GY317" s="10"/>
      <c r="GZ317" s="9"/>
      <c r="HA317" s="9"/>
    </row>
    <row r="318" spans="1:209" s="2" customFormat="1" ht="17" customHeight="1">
      <c r="A318" s="46" t="s">
        <v>311</v>
      </c>
      <c r="B318" s="35">
        <v>0</v>
      </c>
      <c r="C318" s="35">
        <v>0</v>
      </c>
      <c r="D318" s="4">
        <f t="shared" si="87"/>
        <v>0</v>
      </c>
      <c r="E318" s="11">
        <v>0</v>
      </c>
      <c r="F318" s="5" t="s">
        <v>362</v>
      </c>
      <c r="G318" s="5" t="s">
        <v>362</v>
      </c>
      <c r="H318" s="5" t="s">
        <v>362</v>
      </c>
      <c r="I318" s="5" t="s">
        <v>362</v>
      </c>
      <c r="J318" s="5" t="s">
        <v>362</v>
      </c>
      <c r="K318" s="5" t="s">
        <v>362</v>
      </c>
      <c r="L318" s="5" t="s">
        <v>362</v>
      </c>
      <c r="M318" s="5" t="s">
        <v>362</v>
      </c>
      <c r="N318" s="35">
        <v>395.2</v>
      </c>
      <c r="O318" s="35">
        <v>73.099999999999994</v>
      </c>
      <c r="P318" s="4">
        <f t="shared" si="88"/>
        <v>0.18496963562753035</v>
      </c>
      <c r="Q318" s="11">
        <v>20</v>
      </c>
      <c r="R318" s="35">
        <v>0</v>
      </c>
      <c r="S318" s="35">
        <v>0</v>
      </c>
      <c r="T318" s="4">
        <f t="shared" si="89"/>
        <v>1</v>
      </c>
      <c r="U318" s="11">
        <v>20</v>
      </c>
      <c r="V318" s="35">
        <v>0</v>
      </c>
      <c r="W318" s="35">
        <v>0</v>
      </c>
      <c r="X318" s="4">
        <f t="shared" si="90"/>
        <v>1</v>
      </c>
      <c r="Y318" s="11">
        <v>30</v>
      </c>
      <c r="Z318" s="35">
        <v>1347</v>
      </c>
      <c r="AA318" s="35">
        <v>1107</v>
      </c>
      <c r="AB318" s="4">
        <f t="shared" si="91"/>
        <v>0.82182628062360796</v>
      </c>
      <c r="AC318" s="11">
        <v>5</v>
      </c>
      <c r="AD318" s="11">
        <v>77</v>
      </c>
      <c r="AE318" s="11">
        <v>77</v>
      </c>
      <c r="AF318" s="4">
        <f t="shared" si="92"/>
        <v>1</v>
      </c>
      <c r="AG318" s="11">
        <v>20</v>
      </c>
      <c r="AH318" s="5" t="s">
        <v>362</v>
      </c>
      <c r="AI318" s="5" t="s">
        <v>362</v>
      </c>
      <c r="AJ318" s="5" t="s">
        <v>362</v>
      </c>
      <c r="AK318" s="5" t="s">
        <v>362</v>
      </c>
      <c r="AL318" s="5" t="s">
        <v>362</v>
      </c>
      <c r="AM318" s="5" t="s">
        <v>362</v>
      </c>
      <c r="AN318" s="5" t="s">
        <v>362</v>
      </c>
      <c r="AO318" s="5" t="s">
        <v>362</v>
      </c>
      <c r="AP318" s="44">
        <f t="shared" si="101"/>
        <v>0.81903709595440677</v>
      </c>
      <c r="AQ318" s="45">
        <v>838</v>
      </c>
      <c r="AR318" s="35">
        <f t="shared" si="93"/>
        <v>228.54545454545456</v>
      </c>
      <c r="AS318" s="35">
        <f t="shared" si="94"/>
        <v>187.2</v>
      </c>
      <c r="AT318" s="35">
        <f t="shared" si="95"/>
        <v>-41.345454545454572</v>
      </c>
      <c r="AU318" s="35">
        <v>56.1</v>
      </c>
      <c r="AV318" s="35">
        <v>57.2</v>
      </c>
      <c r="AW318" s="35">
        <f t="shared" si="96"/>
        <v>73.900000000000006</v>
      </c>
      <c r="AX318" s="35"/>
      <c r="AY318" s="35">
        <f t="shared" si="97"/>
        <v>73.900000000000006</v>
      </c>
      <c r="AZ318" s="35">
        <v>0</v>
      </c>
      <c r="BA318" s="35">
        <f t="shared" si="98"/>
        <v>73.900000000000006</v>
      </c>
      <c r="BB318" s="35">
        <f>MIN(BA318,38.1)</f>
        <v>38.1</v>
      </c>
      <c r="BC318" s="35">
        <f t="shared" si="99"/>
        <v>35.799999999999997</v>
      </c>
      <c r="BD318" s="35">
        <v>35.799999999999997</v>
      </c>
      <c r="BE318" s="35">
        <f t="shared" si="100"/>
        <v>0</v>
      </c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9"/>
      <c r="BU318" s="9"/>
      <c r="BV318" s="9"/>
      <c r="BW318" s="9"/>
      <c r="BX318" s="9"/>
      <c r="BY318" s="9"/>
      <c r="BZ318" s="9"/>
      <c r="CA318" s="9"/>
      <c r="CB318" s="9"/>
      <c r="CC318" s="9"/>
      <c r="CD318" s="9"/>
      <c r="CE318" s="9"/>
      <c r="CF318" s="9"/>
      <c r="CG318" s="9"/>
      <c r="CH318" s="9"/>
      <c r="CI318" s="9"/>
      <c r="CJ318" s="9"/>
      <c r="CK318" s="9"/>
      <c r="CL318" s="9"/>
      <c r="CM318" s="9"/>
      <c r="CN318" s="9"/>
      <c r="CO318" s="9"/>
      <c r="CP318" s="9"/>
      <c r="CQ318" s="10"/>
      <c r="CR318" s="9"/>
      <c r="CS318" s="9"/>
      <c r="CT318" s="9"/>
      <c r="CU318" s="9"/>
      <c r="CV318" s="9"/>
      <c r="CW318" s="9"/>
      <c r="CX318" s="9"/>
      <c r="CY318" s="9"/>
      <c r="CZ318" s="9"/>
      <c r="DA318" s="9"/>
      <c r="DB318" s="9"/>
      <c r="DC318" s="9"/>
      <c r="DD318" s="9"/>
      <c r="DE318" s="9"/>
      <c r="DF318" s="9"/>
      <c r="DG318" s="9"/>
      <c r="DH318" s="9"/>
      <c r="DI318" s="9"/>
      <c r="DJ318" s="9"/>
      <c r="DK318" s="9"/>
      <c r="DL318" s="9"/>
      <c r="DM318" s="9"/>
      <c r="DN318" s="9"/>
      <c r="DO318" s="9"/>
      <c r="DP318" s="9"/>
      <c r="DQ318" s="9"/>
      <c r="DR318" s="9"/>
      <c r="DS318" s="10"/>
      <c r="DT318" s="9"/>
      <c r="DU318" s="9"/>
      <c r="DV318" s="9"/>
      <c r="DW318" s="9"/>
      <c r="DX318" s="9"/>
      <c r="DY318" s="9"/>
      <c r="DZ318" s="9"/>
      <c r="EA318" s="9"/>
      <c r="EB318" s="9"/>
      <c r="EC318" s="9"/>
      <c r="ED318" s="9"/>
      <c r="EE318" s="9"/>
      <c r="EF318" s="9"/>
      <c r="EG318" s="9"/>
      <c r="EH318" s="9"/>
      <c r="EI318" s="9"/>
      <c r="EJ318" s="9"/>
      <c r="EK318" s="9"/>
      <c r="EL318" s="9"/>
      <c r="EM318" s="9"/>
      <c r="EN318" s="9"/>
      <c r="EO318" s="9"/>
      <c r="EP318" s="9"/>
      <c r="EQ318" s="9"/>
      <c r="ER318" s="9"/>
      <c r="ES318" s="9"/>
      <c r="ET318" s="9"/>
      <c r="EU318" s="10"/>
      <c r="EV318" s="9"/>
      <c r="EW318" s="9"/>
      <c r="EX318" s="9"/>
      <c r="EY318" s="9"/>
      <c r="EZ318" s="9"/>
      <c r="FA318" s="9"/>
      <c r="FB318" s="9"/>
      <c r="FC318" s="9"/>
      <c r="FD318" s="9"/>
      <c r="FE318" s="9"/>
      <c r="FF318" s="9"/>
      <c r="FG318" s="9"/>
      <c r="FH318" s="9"/>
      <c r="FI318" s="9"/>
      <c r="FJ318" s="9"/>
      <c r="FK318" s="9"/>
      <c r="FL318" s="9"/>
      <c r="FM318" s="9"/>
      <c r="FN318" s="9"/>
      <c r="FO318" s="9"/>
      <c r="FP318" s="9"/>
      <c r="FQ318" s="9"/>
      <c r="FR318" s="9"/>
      <c r="FS318" s="9"/>
      <c r="FT318" s="9"/>
      <c r="FU318" s="9"/>
      <c r="FV318" s="9"/>
      <c r="FW318" s="10"/>
      <c r="FX318" s="9"/>
      <c r="FY318" s="9"/>
      <c r="FZ318" s="9"/>
      <c r="GA318" s="9"/>
      <c r="GB318" s="9"/>
      <c r="GC318" s="9"/>
      <c r="GD318" s="9"/>
      <c r="GE318" s="9"/>
      <c r="GF318" s="9"/>
      <c r="GG318" s="9"/>
      <c r="GH318" s="9"/>
      <c r="GI318" s="9"/>
      <c r="GJ318" s="9"/>
      <c r="GK318" s="9"/>
      <c r="GL318" s="9"/>
      <c r="GM318" s="9"/>
      <c r="GN318" s="9"/>
      <c r="GO318" s="9"/>
      <c r="GP318" s="9"/>
      <c r="GQ318" s="9"/>
      <c r="GR318" s="9"/>
      <c r="GS318" s="9"/>
      <c r="GT318" s="9"/>
      <c r="GU318" s="9"/>
      <c r="GV318" s="9"/>
      <c r="GW318" s="9"/>
      <c r="GX318" s="9"/>
      <c r="GY318" s="10"/>
      <c r="GZ318" s="9"/>
      <c r="HA318" s="9"/>
    </row>
    <row r="319" spans="1:209" s="2" customFormat="1" ht="17" customHeight="1">
      <c r="A319" s="46" t="s">
        <v>312</v>
      </c>
      <c r="B319" s="35">
        <v>8084</v>
      </c>
      <c r="C319" s="35">
        <v>4950</v>
      </c>
      <c r="D319" s="4">
        <f t="shared" si="87"/>
        <v>0.61232063334982678</v>
      </c>
      <c r="E319" s="11">
        <v>10</v>
      </c>
      <c r="F319" s="5" t="s">
        <v>362</v>
      </c>
      <c r="G319" s="5" t="s">
        <v>362</v>
      </c>
      <c r="H319" s="5" t="s">
        <v>362</v>
      </c>
      <c r="I319" s="5" t="s">
        <v>362</v>
      </c>
      <c r="J319" s="5" t="s">
        <v>362</v>
      </c>
      <c r="K319" s="5" t="s">
        <v>362</v>
      </c>
      <c r="L319" s="5" t="s">
        <v>362</v>
      </c>
      <c r="M319" s="5" t="s">
        <v>362</v>
      </c>
      <c r="N319" s="35">
        <v>1042.0999999999999</v>
      </c>
      <c r="O319" s="35">
        <v>664.8</v>
      </c>
      <c r="P319" s="4">
        <f t="shared" si="88"/>
        <v>0.63794261587179735</v>
      </c>
      <c r="Q319" s="11">
        <v>20</v>
      </c>
      <c r="R319" s="35">
        <v>825</v>
      </c>
      <c r="S319" s="35">
        <v>994.9</v>
      </c>
      <c r="T319" s="4">
        <f t="shared" si="89"/>
        <v>1.2005939393939393</v>
      </c>
      <c r="U319" s="11">
        <v>40</v>
      </c>
      <c r="V319" s="35">
        <v>2.5</v>
      </c>
      <c r="W319" s="35">
        <v>2.5</v>
      </c>
      <c r="X319" s="4">
        <f t="shared" si="90"/>
        <v>1</v>
      </c>
      <c r="Y319" s="11">
        <v>10</v>
      </c>
      <c r="Z319" s="35">
        <v>24013</v>
      </c>
      <c r="AA319" s="35">
        <v>5273</v>
      </c>
      <c r="AB319" s="4">
        <f t="shared" si="91"/>
        <v>0.21958938908091449</v>
      </c>
      <c r="AC319" s="11">
        <v>5</v>
      </c>
      <c r="AD319" s="11">
        <v>988</v>
      </c>
      <c r="AE319" s="11">
        <v>997</v>
      </c>
      <c r="AF319" s="4">
        <f t="shared" si="92"/>
        <v>1.0091093117408907</v>
      </c>
      <c r="AG319" s="11">
        <v>20</v>
      </c>
      <c r="AH319" s="5" t="s">
        <v>362</v>
      </c>
      <c r="AI319" s="5" t="s">
        <v>362</v>
      </c>
      <c r="AJ319" s="5" t="s">
        <v>362</v>
      </c>
      <c r="AK319" s="5" t="s">
        <v>362</v>
      </c>
      <c r="AL319" s="5" t="s">
        <v>362</v>
      </c>
      <c r="AM319" s="5" t="s">
        <v>362</v>
      </c>
      <c r="AN319" s="5" t="s">
        <v>362</v>
      </c>
      <c r="AO319" s="5" t="s">
        <v>362</v>
      </c>
      <c r="AP319" s="44">
        <f t="shared" si="101"/>
        <v>0.93510428006584934</v>
      </c>
      <c r="AQ319" s="45">
        <v>949</v>
      </c>
      <c r="AR319" s="35">
        <f t="shared" si="93"/>
        <v>258.81818181818181</v>
      </c>
      <c r="AS319" s="35">
        <f t="shared" si="94"/>
        <v>242</v>
      </c>
      <c r="AT319" s="35">
        <f t="shared" si="95"/>
        <v>-16.818181818181813</v>
      </c>
      <c r="AU319" s="35">
        <v>101</v>
      </c>
      <c r="AV319" s="35">
        <v>85.4</v>
      </c>
      <c r="AW319" s="35">
        <f t="shared" si="96"/>
        <v>55.6</v>
      </c>
      <c r="AX319" s="35"/>
      <c r="AY319" s="35">
        <f t="shared" si="97"/>
        <v>55.6</v>
      </c>
      <c r="AZ319" s="35">
        <v>0</v>
      </c>
      <c r="BA319" s="35">
        <f t="shared" si="98"/>
        <v>55.6</v>
      </c>
      <c r="BB319" s="35">
        <f>MIN(BA319,43.1)</f>
        <v>43.1</v>
      </c>
      <c r="BC319" s="35">
        <f t="shared" si="99"/>
        <v>12.5</v>
      </c>
      <c r="BD319" s="35">
        <v>21.8</v>
      </c>
      <c r="BE319" s="35">
        <f t="shared" si="100"/>
        <v>-9.3000000000000007</v>
      </c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9"/>
      <c r="BU319" s="9"/>
      <c r="BV319" s="9"/>
      <c r="BW319" s="9"/>
      <c r="BX319" s="9"/>
      <c r="BY319" s="9"/>
      <c r="BZ319" s="9"/>
      <c r="CA319" s="9"/>
      <c r="CB319" s="9"/>
      <c r="CC319" s="9"/>
      <c r="CD319" s="9"/>
      <c r="CE319" s="9"/>
      <c r="CF319" s="9"/>
      <c r="CG319" s="9"/>
      <c r="CH319" s="9"/>
      <c r="CI319" s="9"/>
      <c r="CJ319" s="9"/>
      <c r="CK319" s="9"/>
      <c r="CL319" s="9"/>
      <c r="CM319" s="9"/>
      <c r="CN319" s="9"/>
      <c r="CO319" s="9"/>
      <c r="CP319" s="9"/>
      <c r="CQ319" s="10"/>
      <c r="CR319" s="9"/>
      <c r="CS319" s="9"/>
      <c r="CT319" s="9"/>
      <c r="CU319" s="9"/>
      <c r="CV319" s="9"/>
      <c r="CW319" s="9"/>
      <c r="CX319" s="9"/>
      <c r="CY319" s="9"/>
      <c r="CZ319" s="9"/>
      <c r="DA319" s="9"/>
      <c r="DB319" s="9"/>
      <c r="DC319" s="9"/>
      <c r="DD319" s="9"/>
      <c r="DE319" s="9"/>
      <c r="DF319" s="9"/>
      <c r="DG319" s="9"/>
      <c r="DH319" s="9"/>
      <c r="DI319" s="9"/>
      <c r="DJ319" s="9"/>
      <c r="DK319" s="9"/>
      <c r="DL319" s="9"/>
      <c r="DM319" s="9"/>
      <c r="DN319" s="9"/>
      <c r="DO319" s="9"/>
      <c r="DP319" s="9"/>
      <c r="DQ319" s="9"/>
      <c r="DR319" s="9"/>
      <c r="DS319" s="10"/>
      <c r="DT319" s="9"/>
      <c r="DU319" s="9"/>
      <c r="DV319" s="9"/>
      <c r="DW319" s="9"/>
      <c r="DX319" s="9"/>
      <c r="DY319" s="9"/>
      <c r="DZ319" s="9"/>
      <c r="EA319" s="9"/>
      <c r="EB319" s="9"/>
      <c r="EC319" s="9"/>
      <c r="ED319" s="9"/>
      <c r="EE319" s="9"/>
      <c r="EF319" s="9"/>
      <c r="EG319" s="9"/>
      <c r="EH319" s="9"/>
      <c r="EI319" s="9"/>
      <c r="EJ319" s="9"/>
      <c r="EK319" s="9"/>
      <c r="EL319" s="9"/>
      <c r="EM319" s="9"/>
      <c r="EN319" s="9"/>
      <c r="EO319" s="9"/>
      <c r="EP319" s="9"/>
      <c r="EQ319" s="9"/>
      <c r="ER319" s="9"/>
      <c r="ES319" s="9"/>
      <c r="ET319" s="9"/>
      <c r="EU319" s="10"/>
      <c r="EV319" s="9"/>
      <c r="EW319" s="9"/>
      <c r="EX319" s="9"/>
      <c r="EY319" s="9"/>
      <c r="EZ319" s="9"/>
      <c r="FA319" s="9"/>
      <c r="FB319" s="9"/>
      <c r="FC319" s="9"/>
      <c r="FD319" s="9"/>
      <c r="FE319" s="9"/>
      <c r="FF319" s="9"/>
      <c r="FG319" s="9"/>
      <c r="FH319" s="9"/>
      <c r="FI319" s="9"/>
      <c r="FJ319" s="9"/>
      <c r="FK319" s="9"/>
      <c r="FL319" s="9"/>
      <c r="FM319" s="9"/>
      <c r="FN319" s="9"/>
      <c r="FO319" s="9"/>
      <c r="FP319" s="9"/>
      <c r="FQ319" s="9"/>
      <c r="FR319" s="9"/>
      <c r="FS319" s="9"/>
      <c r="FT319" s="9"/>
      <c r="FU319" s="9"/>
      <c r="FV319" s="9"/>
      <c r="FW319" s="10"/>
      <c r="FX319" s="9"/>
      <c r="FY319" s="9"/>
      <c r="FZ319" s="9"/>
      <c r="GA319" s="9"/>
      <c r="GB319" s="9"/>
      <c r="GC319" s="9"/>
      <c r="GD319" s="9"/>
      <c r="GE319" s="9"/>
      <c r="GF319" s="9"/>
      <c r="GG319" s="9"/>
      <c r="GH319" s="9"/>
      <c r="GI319" s="9"/>
      <c r="GJ319" s="9"/>
      <c r="GK319" s="9"/>
      <c r="GL319" s="9"/>
      <c r="GM319" s="9"/>
      <c r="GN319" s="9"/>
      <c r="GO319" s="9"/>
      <c r="GP319" s="9"/>
      <c r="GQ319" s="9"/>
      <c r="GR319" s="9"/>
      <c r="GS319" s="9"/>
      <c r="GT319" s="9"/>
      <c r="GU319" s="9"/>
      <c r="GV319" s="9"/>
      <c r="GW319" s="9"/>
      <c r="GX319" s="9"/>
      <c r="GY319" s="10"/>
      <c r="GZ319" s="9"/>
      <c r="HA319" s="9"/>
    </row>
    <row r="320" spans="1:209" s="2" customFormat="1" ht="17" customHeight="1">
      <c r="A320" s="46" t="s">
        <v>313</v>
      </c>
      <c r="B320" s="35">
        <v>0</v>
      </c>
      <c r="C320" s="35">
        <v>0</v>
      </c>
      <c r="D320" s="4">
        <f t="shared" si="87"/>
        <v>0</v>
      </c>
      <c r="E320" s="11">
        <v>0</v>
      </c>
      <c r="F320" s="5" t="s">
        <v>362</v>
      </c>
      <c r="G320" s="5" t="s">
        <v>362</v>
      </c>
      <c r="H320" s="5" t="s">
        <v>362</v>
      </c>
      <c r="I320" s="5" t="s">
        <v>362</v>
      </c>
      <c r="J320" s="5" t="s">
        <v>362</v>
      </c>
      <c r="K320" s="5" t="s">
        <v>362</v>
      </c>
      <c r="L320" s="5" t="s">
        <v>362</v>
      </c>
      <c r="M320" s="5" t="s">
        <v>362</v>
      </c>
      <c r="N320" s="35">
        <v>367.1</v>
      </c>
      <c r="O320" s="35">
        <v>178.6</v>
      </c>
      <c r="P320" s="4">
        <f t="shared" si="88"/>
        <v>0.48651593571233992</v>
      </c>
      <c r="Q320" s="11">
        <v>20</v>
      </c>
      <c r="R320" s="35">
        <v>0</v>
      </c>
      <c r="S320" s="35">
        <v>0</v>
      </c>
      <c r="T320" s="4">
        <f t="shared" si="89"/>
        <v>1</v>
      </c>
      <c r="U320" s="11">
        <v>25</v>
      </c>
      <c r="V320" s="35">
        <v>0</v>
      </c>
      <c r="W320" s="35">
        <v>0</v>
      </c>
      <c r="X320" s="4">
        <f t="shared" si="90"/>
        <v>1</v>
      </c>
      <c r="Y320" s="11">
        <v>25</v>
      </c>
      <c r="Z320" s="35">
        <v>1473</v>
      </c>
      <c r="AA320" s="35">
        <v>1308</v>
      </c>
      <c r="AB320" s="4">
        <f t="shared" si="91"/>
        <v>0.88798370672097759</v>
      </c>
      <c r="AC320" s="11">
        <v>5</v>
      </c>
      <c r="AD320" s="11">
        <v>25</v>
      </c>
      <c r="AE320" s="11">
        <v>25</v>
      </c>
      <c r="AF320" s="4">
        <f t="shared" si="92"/>
        <v>1</v>
      </c>
      <c r="AG320" s="11">
        <v>20</v>
      </c>
      <c r="AH320" s="5" t="s">
        <v>362</v>
      </c>
      <c r="AI320" s="5" t="s">
        <v>362</v>
      </c>
      <c r="AJ320" s="5" t="s">
        <v>362</v>
      </c>
      <c r="AK320" s="5" t="s">
        <v>362</v>
      </c>
      <c r="AL320" s="5" t="s">
        <v>362</v>
      </c>
      <c r="AM320" s="5" t="s">
        <v>362</v>
      </c>
      <c r="AN320" s="5" t="s">
        <v>362</v>
      </c>
      <c r="AO320" s="5" t="s">
        <v>362</v>
      </c>
      <c r="AP320" s="44">
        <f t="shared" si="101"/>
        <v>0.88600249734580727</v>
      </c>
      <c r="AQ320" s="45">
        <v>377</v>
      </c>
      <c r="AR320" s="35">
        <f t="shared" si="93"/>
        <v>102.81818181818181</v>
      </c>
      <c r="AS320" s="35">
        <f t="shared" si="94"/>
        <v>91.1</v>
      </c>
      <c r="AT320" s="35">
        <f t="shared" si="95"/>
        <v>-11.718181818181819</v>
      </c>
      <c r="AU320" s="35">
        <v>31.5</v>
      </c>
      <c r="AV320" s="35">
        <v>33.700000000000003</v>
      </c>
      <c r="AW320" s="35">
        <f t="shared" si="96"/>
        <v>25.9</v>
      </c>
      <c r="AX320" s="35"/>
      <c r="AY320" s="35">
        <f t="shared" si="97"/>
        <v>25.9</v>
      </c>
      <c r="AZ320" s="35">
        <v>0</v>
      </c>
      <c r="BA320" s="35">
        <f t="shared" si="98"/>
        <v>25.9</v>
      </c>
      <c r="BB320" s="35">
        <f>MIN(BA320,5.1)</f>
        <v>5.0999999999999996</v>
      </c>
      <c r="BC320" s="35">
        <f t="shared" si="99"/>
        <v>20.8</v>
      </c>
      <c r="BD320" s="35">
        <v>20.8</v>
      </c>
      <c r="BE320" s="35">
        <f t="shared" si="100"/>
        <v>0</v>
      </c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9"/>
      <c r="BU320" s="9"/>
      <c r="BV320" s="9"/>
      <c r="BW320" s="9"/>
      <c r="BX320" s="9"/>
      <c r="BY320" s="9"/>
      <c r="BZ320" s="9"/>
      <c r="CA320" s="9"/>
      <c r="CB320" s="9"/>
      <c r="CC320" s="9"/>
      <c r="CD320" s="9"/>
      <c r="CE320" s="9"/>
      <c r="CF320" s="9"/>
      <c r="CG320" s="9"/>
      <c r="CH320" s="9"/>
      <c r="CI320" s="9"/>
      <c r="CJ320" s="9"/>
      <c r="CK320" s="9"/>
      <c r="CL320" s="9"/>
      <c r="CM320" s="9"/>
      <c r="CN320" s="9"/>
      <c r="CO320" s="9"/>
      <c r="CP320" s="9"/>
      <c r="CQ320" s="10"/>
      <c r="CR320" s="9"/>
      <c r="CS320" s="9"/>
      <c r="CT320" s="9"/>
      <c r="CU320" s="9"/>
      <c r="CV320" s="9"/>
      <c r="CW320" s="9"/>
      <c r="CX320" s="9"/>
      <c r="CY320" s="9"/>
      <c r="CZ320" s="9"/>
      <c r="DA320" s="9"/>
      <c r="DB320" s="9"/>
      <c r="DC320" s="9"/>
      <c r="DD320" s="9"/>
      <c r="DE320" s="9"/>
      <c r="DF320" s="9"/>
      <c r="DG320" s="9"/>
      <c r="DH320" s="9"/>
      <c r="DI320" s="9"/>
      <c r="DJ320" s="9"/>
      <c r="DK320" s="9"/>
      <c r="DL320" s="9"/>
      <c r="DM320" s="9"/>
      <c r="DN320" s="9"/>
      <c r="DO320" s="9"/>
      <c r="DP320" s="9"/>
      <c r="DQ320" s="9"/>
      <c r="DR320" s="9"/>
      <c r="DS320" s="10"/>
      <c r="DT320" s="9"/>
      <c r="DU320" s="9"/>
      <c r="DV320" s="9"/>
      <c r="DW320" s="9"/>
      <c r="DX320" s="9"/>
      <c r="DY320" s="9"/>
      <c r="DZ320" s="9"/>
      <c r="EA320" s="9"/>
      <c r="EB320" s="9"/>
      <c r="EC320" s="9"/>
      <c r="ED320" s="9"/>
      <c r="EE320" s="9"/>
      <c r="EF320" s="9"/>
      <c r="EG320" s="9"/>
      <c r="EH320" s="9"/>
      <c r="EI320" s="9"/>
      <c r="EJ320" s="9"/>
      <c r="EK320" s="9"/>
      <c r="EL320" s="9"/>
      <c r="EM320" s="9"/>
      <c r="EN320" s="9"/>
      <c r="EO320" s="9"/>
      <c r="EP320" s="9"/>
      <c r="EQ320" s="9"/>
      <c r="ER320" s="9"/>
      <c r="ES320" s="9"/>
      <c r="ET320" s="9"/>
      <c r="EU320" s="10"/>
      <c r="EV320" s="9"/>
      <c r="EW320" s="9"/>
      <c r="EX320" s="9"/>
      <c r="EY320" s="9"/>
      <c r="EZ320" s="9"/>
      <c r="FA320" s="9"/>
      <c r="FB320" s="9"/>
      <c r="FC320" s="9"/>
      <c r="FD320" s="9"/>
      <c r="FE320" s="9"/>
      <c r="FF320" s="9"/>
      <c r="FG320" s="9"/>
      <c r="FH320" s="9"/>
      <c r="FI320" s="9"/>
      <c r="FJ320" s="9"/>
      <c r="FK320" s="9"/>
      <c r="FL320" s="9"/>
      <c r="FM320" s="9"/>
      <c r="FN320" s="9"/>
      <c r="FO320" s="9"/>
      <c r="FP320" s="9"/>
      <c r="FQ320" s="9"/>
      <c r="FR320" s="9"/>
      <c r="FS320" s="9"/>
      <c r="FT320" s="9"/>
      <c r="FU320" s="9"/>
      <c r="FV320" s="9"/>
      <c r="FW320" s="10"/>
      <c r="FX320" s="9"/>
      <c r="FY320" s="9"/>
      <c r="FZ320" s="9"/>
      <c r="GA320" s="9"/>
      <c r="GB320" s="9"/>
      <c r="GC320" s="9"/>
      <c r="GD320" s="9"/>
      <c r="GE320" s="9"/>
      <c r="GF320" s="9"/>
      <c r="GG320" s="9"/>
      <c r="GH320" s="9"/>
      <c r="GI320" s="9"/>
      <c r="GJ320" s="9"/>
      <c r="GK320" s="9"/>
      <c r="GL320" s="9"/>
      <c r="GM320" s="9"/>
      <c r="GN320" s="9"/>
      <c r="GO320" s="9"/>
      <c r="GP320" s="9"/>
      <c r="GQ320" s="9"/>
      <c r="GR320" s="9"/>
      <c r="GS320" s="9"/>
      <c r="GT320" s="9"/>
      <c r="GU320" s="9"/>
      <c r="GV320" s="9"/>
      <c r="GW320" s="9"/>
      <c r="GX320" s="9"/>
      <c r="GY320" s="10"/>
      <c r="GZ320" s="9"/>
      <c r="HA320" s="9"/>
    </row>
    <row r="321" spans="1:209" s="2" customFormat="1" ht="17" customHeight="1">
      <c r="A321" s="18" t="s">
        <v>314</v>
      </c>
      <c r="B321" s="61"/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35"/>
      <c r="AA321" s="35"/>
      <c r="AB321" s="11"/>
      <c r="AC321" s="11"/>
      <c r="AD321" s="11"/>
      <c r="AE321" s="11"/>
      <c r="AF321" s="11"/>
      <c r="AG321" s="11"/>
      <c r="AH321" s="11"/>
      <c r="AI321" s="11"/>
      <c r="AJ321" s="11"/>
      <c r="AK321" s="11"/>
      <c r="AL321" s="11"/>
      <c r="AM321" s="11"/>
      <c r="AN321" s="11"/>
      <c r="AO321" s="11"/>
      <c r="AP321" s="11"/>
      <c r="AQ321" s="11"/>
      <c r="AR321" s="11"/>
      <c r="AS321" s="11"/>
      <c r="AT321" s="11"/>
      <c r="AU321" s="11"/>
      <c r="AV321" s="11"/>
      <c r="AW321" s="11"/>
      <c r="AX321" s="11"/>
      <c r="AY321" s="11"/>
      <c r="AZ321" s="11"/>
      <c r="BA321" s="11"/>
      <c r="BB321" s="11"/>
      <c r="BC321" s="35"/>
      <c r="BD321" s="35"/>
      <c r="BE321" s="35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9"/>
      <c r="BU321" s="9"/>
      <c r="BV321" s="9"/>
      <c r="BW321" s="9"/>
      <c r="BX321" s="9"/>
      <c r="BY321" s="9"/>
      <c r="BZ321" s="9"/>
      <c r="CA321" s="9"/>
      <c r="CB321" s="9"/>
      <c r="CC321" s="9"/>
      <c r="CD321" s="9"/>
      <c r="CE321" s="9"/>
      <c r="CF321" s="9"/>
      <c r="CG321" s="9"/>
      <c r="CH321" s="9"/>
      <c r="CI321" s="9"/>
      <c r="CJ321" s="9"/>
      <c r="CK321" s="9"/>
      <c r="CL321" s="9"/>
      <c r="CM321" s="9"/>
      <c r="CN321" s="9"/>
      <c r="CO321" s="9"/>
      <c r="CP321" s="9"/>
      <c r="CQ321" s="10"/>
      <c r="CR321" s="9"/>
      <c r="CS321" s="9"/>
      <c r="CT321" s="9"/>
      <c r="CU321" s="9"/>
      <c r="CV321" s="9"/>
      <c r="CW321" s="9"/>
      <c r="CX321" s="9"/>
      <c r="CY321" s="9"/>
      <c r="CZ321" s="9"/>
      <c r="DA321" s="9"/>
      <c r="DB321" s="9"/>
      <c r="DC321" s="9"/>
      <c r="DD321" s="9"/>
      <c r="DE321" s="9"/>
      <c r="DF321" s="9"/>
      <c r="DG321" s="9"/>
      <c r="DH321" s="9"/>
      <c r="DI321" s="9"/>
      <c r="DJ321" s="9"/>
      <c r="DK321" s="9"/>
      <c r="DL321" s="9"/>
      <c r="DM321" s="9"/>
      <c r="DN321" s="9"/>
      <c r="DO321" s="9"/>
      <c r="DP321" s="9"/>
      <c r="DQ321" s="9"/>
      <c r="DR321" s="9"/>
      <c r="DS321" s="10"/>
      <c r="DT321" s="9"/>
      <c r="DU321" s="9"/>
      <c r="DV321" s="9"/>
      <c r="DW321" s="9"/>
      <c r="DX321" s="9"/>
      <c r="DY321" s="9"/>
      <c r="DZ321" s="9"/>
      <c r="EA321" s="9"/>
      <c r="EB321" s="9"/>
      <c r="EC321" s="9"/>
      <c r="ED321" s="9"/>
      <c r="EE321" s="9"/>
      <c r="EF321" s="9"/>
      <c r="EG321" s="9"/>
      <c r="EH321" s="9"/>
      <c r="EI321" s="9"/>
      <c r="EJ321" s="9"/>
      <c r="EK321" s="9"/>
      <c r="EL321" s="9"/>
      <c r="EM321" s="9"/>
      <c r="EN321" s="9"/>
      <c r="EO321" s="9"/>
      <c r="EP321" s="9"/>
      <c r="EQ321" s="9"/>
      <c r="ER321" s="9"/>
      <c r="ES321" s="9"/>
      <c r="ET321" s="9"/>
      <c r="EU321" s="10"/>
      <c r="EV321" s="9"/>
      <c r="EW321" s="9"/>
      <c r="EX321" s="9"/>
      <c r="EY321" s="9"/>
      <c r="EZ321" s="9"/>
      <c r="FA321" s="9"/>
      <c r="FB321" s="9"/>
      <c r="FC321" s="9"/>
      <c r="FD321" s="9"/>
      <c r="FE321" s="9"/>
      <c r="FF321" s="9"/>
      <c r="FG321" s="9"/>
      <c r="FH321" s="9"/>
      <c r="FI321" s="9"/>
      <c r="FJ321" s="9"/>
      <c r="FK321" s="9"/>
      <c r="FL321" s="9"/>
      <c r="FM321" s="9"/>
      <c r="FN321" s="9"/>
      <c r="FO321" s="9"/>
      <c r="FP321" s="9"/>
      <c r="FQ321" s="9"/>
      <c r="FR321" s="9"/>
      <c r="FS321" s="9"/>
      <c r="FT321" s="9"/>
      <c r="FU321" s="9"/>
      <c r="FV321" s="9"/>
      <c r="FW321" s="10"/>
      <c r="FX321" s="9"/>
      <c r="FY321" s="9"/>
      <c r="FZ321" s="9"/>
      <c r="GA321" s="9"/>
      <c r="GB321" s="9"/>
      <c r="GC321" s="9"/>
      <c r="GD321" s="9"/>
      <c r="GE321" s="9"/>
      <c r="GF321" s="9"/>
      <c r="GG321" s="9"/>
      <c r="GH321" s="9"/>
      <c r="GI321" s="9"/>
      <c r="GJ321" s="9"/>
      <c r="GK321" s="9"/>
      <c r="GL321" s="9"/>
      <c r="GM321" s="9"/>
      <c r="GN321" s="9"/>
      <c r="GO321" s="9"/>
      <c r="GP321" s="9"/>
      <c r="GQ321" s="9"/>
      <c r="GR321" s="9"/>
      <c r="GS321" s="9"/>
      <c r="GT321" s="9"/>
      <c r="GU321" s="9"/>
      <c r="GV321" s="9"/>
      <c r="GW321" s="9"/>
      <c r="GX321" s="9"/>
      <c r="GY321" s="10"/>
      <c r="GZ321" s="9"/>
      <c r="HA321" s="9"/>
    </row>
    <row r="322" spans="1:209" s="2" customFormat="1" ht="17" customHeight="1">
      <c r="A322" s="14" t="s">
        <v>315</v>
      </c>
      <c r="B322" s="35">
        <v>194</v>
      </c>
      <c r="C322" s="35">
        <v>349.8</v>
      </c>
      <c r="D322" s="4">
        <f t="shared" si="87"/>
        <v>1.2603092783505154</v>
      </c>
      <c r="E322" s="11">
        <v>10</v>
      </c>
      <c r="F322" s="5" t="s">
        <v>362</v>
      </c>
      <c r="G322" s="5" t="s">
        <v>362</v>
      </c>
      <c r="H322" s="5" t="s">
        <v>362</v>
      </c>
      <c r="I322" s="5" t="s">
        <v>362</v>
      </c>
      <c r="J322" s="5" t="s">
        <v>362</v>
      </c>
      <c r="K322" s="5" t="s">
        <v>362</v>
      </c>
      <c r="L322" s="5" t="s">
        <v>362</v>
      </c>
      <c r="M322" s="5" t="s">
        <v>362</v>
      </c>
      <c r="N322" s="35">
        <v>65.599999999999994</v>
      </c>
      <c r="O322" s="35">
        <v>45.2</v>
      </c>
      <c r="P322" s="4">
        <f t="shared" si="88"/>
        <v>0.6890243902439025</v>
      </c>
      <c r="Q322" s="11">
        <v>20</v>
      </c>
      <c r="R322" s="35">
        <v>3</v>
      </c>
      <c r="S322" s="35">
        <v>3.2</v>
      </c>
      <c r="T322" s="4">
        <f t="shared" si="89"/>
        <v>1.0666666666666667</v>
      </c>
      <c r="U322" s="11">
        <v>30</v>
      </c>
      <c r="V322" s="35">
        <v>3</v>
      </c>
      <c r="W322" s="35">
        <v>3.2</v>
      </c>
      <c r="X322" s="4">
        <f t="shared" si="90"/>
        <v>1.0666666666666667</v>
      </c>
      <c r="Y322" s="11">
        <v>20</v>
      </c>
      <c r="Z322" s="35">
        <v>1039</v>
      </c>
      <c r="AA322" s="35">
        <v>899</v>
      </c>
      <c r="AB322" s="4">
        <f t="shared" si="91"/>
        <v>0.86525505293551497</v>
      </c>
      <c r="AC322" s="11">
        <v>5</v>
      </c>
      <c r="AD322" s="11">
        <v>230</v>
      </c>
      <c r="AE322" s="11">
        <v>255</v>
      </c>
      <c r="AF322" s="4">
        <f t="shared" si="92"/>
        <v>1.1086956521739131</v>
      </c>
      <c r="AG322" s="11">
        <v>20</v>
      </c>
      <c r="AH322" s="5" t="s">
        <v>362</v>
      </c>
      <c r="AI322" s="5" t="s">
        <v>362</v>
      </c>
      <c r="AJ322" s="5" t="s">
        <v>362</v>
      </c>
      <c r="AK322" s="5" t="s">
        <v>362</v>
      </c>
      <c r="AL322" s="5" t="s">
        <v>362</v>
      </c>
      <c r="AM322" s="5" t="s">
        <v>362</v>
      </c>
      <c r="AN322" s="5" t="s">
        <v>362</v>
      </c>
      <c r="AO322" s="5" t="s">
        <v>362</v>
      </c>
      <c r="AP322" s="44">
        <f t="shared" si="101"/>
        <v>1.0115914498083083</v>
      </c>
      <c r="AQ322" s="45">
        <v>1667</v>
      </c>
      <c r="AR322" s="35">
        <f t="shared" si="93"/>
        <v>454.63636363636363</v>
      </c>
      <c r="AS322" s="35">
        <f t="shared" si="94"/>
        <v>459.9</v>
      </c>
      <c r="AT322" s="35">
        <f t="shared" si="95"/>
        <v>5.2636363636363512</v>
      </c>
      <c r="AU322" s="35">
        <v>166.7</v>
      </c>
      <c r="AV322" s="35">
        <v>148.1</v>
      </c>
      <c r="AW322" s="35">
        <f t="shared" si="96"/>
        <v>145.1</v>
      </c>
      <c r="AX322" s="35"/>
      <c r="AY322" s="35">
        <f t="shared" si="97"/>
        <v>145.1</v>
      </c>
      <c r="AZ322" s="35">
        <v>0</v>
      </c>
      <c r="BA322" s="35">
        <f t="shared" si="98"/>
        <v>145.1</v>
      </c>
      <c r="BB322" s="35">
        <f>MIN(BA322,75.8)</f>
        <v>75.8</v>
      </c>
      <c r="BC322" s="35">
        <f t="shared" si="99"/>
        <v>69.3</v>
      </c>
      <c r="BD322" s="35">
        <v>72.599999999999994</v>
      </c>
      <c r="BE322" s="35">
        <f t="shared" si="100"/>
        <v>-3.3</v>
      </c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9"/>
      <c r="BU322" s="9"/>
      <c r="BV322" s="9"/>
      <c r="BW322" s="9"/>
      <c r="BX322" s="9"/>
      <c r="BY322" s="9"/>
      <c r="BZ322" s="9"/>
      <c r="CA322" s="9"/>
      <c r="CB322" s="9"/>
      <c r="CC322" s="9"/>
      <c r="CD322" s="9"/>
      <c r="CE322" s="9"/>
      <c r="CF322" s="9"/>
      <c r="CG322" s="9"/>
      <c r="CH322" s="9"/>
      <c r="CI322" s="9"/>
      <c r="CJ322" s="9"/>
      <c r="CK322" s="9"/>
      <c r="CL322" s="9"/>
      <c r="CM322" s="9"/>
      <c r="CN322" s="9"/>
      <c r="CO322" s="9"/>
      <c r="CP322" s="9"/>
      <c r="CQ322" s="10"/>
      <c r="CR322" s="9"/>
      <c r="CS322" s="9"/>
      <c r="CT322" s="9"/>
      <c r="CU322" s="9"/>
      <c r="CV322" s="9"/>
      <c r="CW322" s="9"/>
      <c r="CX322" s="9"/>
      <c r="CY322" s="9"/>
      <c r="CZ322" s="9"/>
      <c r="DA322" s="9"/>
      <c r="DB322" s="9"/>
      <c r="DC322" s="9"/>
      <c r="DD322" s="9"/>
      <c r="DE322" s="9"/>
      <c r="DF322" s="9"/>
      <c r="DG322" s="9"/>
      <c r="DH322" s="9"/>
      <c r="DI322" s="9"/>
      <c r="DJ322" s="9"/>
      <c r="DK322" s="9"/>
      <c r="DL322" s="9"/>
      <c r="DM322" s="9"/>
      <c r="DN322" s="9"/>
      <c r="DO322" s="9"/>
      <c r="DP322" s="9"/>
      <c r="DQ322" s="9"/>
      <c r="DR322" s="9"/>
      <c r="DS322" s="10"/>
      <c r="DT322" s="9"/>
      <c r="DU322" s="9"/>
      <c r="DV322" s="9"/>
      <c r="DW322" s="9"/>
      <c r="DX322" s="9"/>
      <c r="DY322" s="9"/>
      <c r="DZ322" s="9"/>
      <c r="EA322" s="9"/>
      <c r="EB322" s="9"/>
      <c r="EC322" s="9"/>
      <c r="ED322" s="9"/>
      <c r="EE322" s="9"/>
      <c r="EF322" s="9"/>
      <c r="EG322" s="9"/>
      <c r="EH322" s="9"/>
      <c r="EI322" s="9"/>
      <c r="EJ322" s="9"/>
      <c r="EK322" s="9"/>
      <c r="EL322" s="9"/>
      <c r="EM322" s="9"/>
      <c r="EN322" s="9"/>
      <c r="EO322" s="9"/>
      <c r="EP322" s="9"/>
      <c r="EQ322" s="9"/>
      <c r="ER322" s="9"/>
      <c r="ES322" s="9"/>
      <c r="ET322" s="9"/>
      <c r="EU322" s="10"/>
      <c r="EV322" s="9"/>
      <c r="EW322" s="9"/>
      <c r="EX322" s="9"/>
      <c r="EY322" s="9"/>
      <c r="EZ322" s="9"/>
      <c r="FA322" s="9"/>
      <c r="FB322" s="9"/>
      <c r="FC322" s="9"/>
      <c r="FD322" s="9"/>
      <c r="FE322" s="9"/>
      <c r="FF322" s="9"/>
      <c r="FG322" s="9"/>
      <c r="FH322" s="9"/>
      <c r="FI322" s="9"/>
      <c r="FJ322" s="9"/>
      <c r="FK322" s="9"/>
      <c r="FL322" s="9"/>
      <c r="FM322" s="9"/>
      <c r="FN322" s="9"/>
      <c r="FO322" s="9"/>
      <c r="FP322" s="9"/>
      <c r="FQ322" s="9"/>
      <c r="FR322" s="9"/>
      <c r="FS322" s="9"/>
      <c r="FT322" s="9"/>
      <c r="FU322" s="9"/>
      <c r="FV322" s="9"/>
      <c r="FW322" s="10"/>
      <c r="FX322" s="9"/>
      <c r="FY322" s="9"/>
      <c r="FZ322" s="9"/>
      <c r="GA322" s="9"/>
      <c r="GB322" s="9"/>
      <c r="GC322" s="9"/>
      <c r="GD322" s="9"/>
      <c r="GE322" s="9"/>
      <c r="GF322" s="9"/>
      <c r="GG322" s="9"/>
      <c r="GH322" s="9"/>
      <c r="GI322" s="9"/>
      <c r="GJ322" s="9"/>
      <c r="GK322" s="9"/>
      <c r="GL322" s="9"/>
      <c r="GM322" s="9"/>
      <c r="GN322" s="9"/>
      <c r="GO322" s="9"/>
      <c r="GP322" s="9"/>
      <c r="GQ322" s="9"/>
      <c r="GR322" s="9"/>
      <c r="GS322" s="9"/>
      <c r="GT322" s="9"/>
      <c r="GU322" s="9"/>
      <c r="GV322" s="9"/>
      <c r="GW322" s="9"/>
      <c r="GX322" s="9"/>
      <c r="GY322" s="10"/>
      <c r="GZ322" s="9"/>
      <c r="HA322" s="9"/>
    </row>
    <row r="323" spans="1:209" s="2" customFormat="1" ht="17" customHeight="1">
      <c r="A323" s="14" t="s">
        <v>316</v>
      </c>
      <c r="B323" s="35">
        <v>199</v>
      </c>
      <c r="C323" s="35">
        <v>207</v>
      </c>
      <c r="D323" s="4">
        <f t="shared" si="87"/>
        <v>1.0402010050251256</v>
      </c>
      <c r="E323" s="11">
        <v>10</v>
      </c>
      <c r="F323" s="5" t="s">
        <v>362</v>
      </c>
      <c r="G323" s="5" t="s">
        <v>362</v>
      </c>
      <c r="H323" s="5" t="s">
        <v>362</v>
      </c>
      <c r="I323" s="5" t="s">
        <v>362</v>
      </c>
      <c r="J323" s="5" t="s">
        <v>362</v>
      </c>
      <c r="K323" s="5" t="s">
        <v>362</v>
      </c>
      <c r="L323" s="5" t="s">
        <v>362</v>
      </c>
      <c r="M323" s="5" t="s">
        <v>362</v>
      </c>
      <c r="N323" s="35">
        <v>634.9</v>
      </c>
      <c r="O323" s="35">
        <v>586.9</v>
      </c>
      <c r="P323" s="4">
        <f t="shared" si="88"/>
        <v>0.92439754292014487</v>
      </c>
      <c r="Q323" s="11">
        <v>20</v>
      </c>
      <c r="R323" s="35">
        <v>36</v>
      </c>
      <c r="S323" s="35">
        <v>41.7</v>
      </c>
      <c r="T323" s="4">
        <f t="shared" si="89"/>
        <v>1.1583333333333334</v>
      </c>
      <c r="U323" s="11">
        <v>20</v>
      </c>
      <c r="V323" s="35">
        <v>6</v>
      </c>
      <c r="W323" s="35">
        <v>6.5</v>
      </c>
      <c r="X323" s="4">
        <f t="shared" si="90"/>
        <v>1.0833333333333333</v>
      </c>
      <c r="Y323" s="11">
        <v>30</v>
      </c>
      <c r="Z323" s="35">
        <v>2775</v>
      </c>
      <c r="AA323" s="35">
        <v>2461</v>
      </c>
      <c r="AB323" s="4">
        <f t="shared" si="91"/>
        <v>0.88684684684684689</v>
      </c>
      <c r="AC323" s="11">
        <v>5</v>
      </c>
      <c r="AD323" s="11">
        <v>470</v>
      </c>
      <c r="AE323" s="11">
        <v>520</v>
      </c>
      <c r="AF323" s="4">
        <f t="shared" si="92"/>
        <v>1.1063829787234043</v>
      </c>
      <c r="AG323" s="11">
        <v>20</v>
      </c>
      <c r="AH323" s="5" t="s">
        <v>362</v>
      </c>
      <c r="AI323" s="5" t="s">
        <v>362</v>
      </c>
      <c r="AJ323" s="5" t="s">
        <v>362</v>
      </c>
      <c r="AK323" s="5" t="s">
        <v>362</v>
      </c>
      <c r="AL323" s="5" t="s">
        <v>362</v>
      </c>
      <c r="AM323" s="5" t="s">
        <v>362</v>
      </c>
      <c r="AN323" s="5" t="s">
        <v>362</v>
      </c>
      <c r="AO323" s="5" t="s">
        <v>362</v>
      </c>
      <c r="AP323" s="44">
        <f t="shared" si="101"/>
        <v>1.0582716322287917</v>
      </c>
      <c r="AQ323" s="45">
        <v>1357</v>
      </c>
      <c r="AR323" s="35">
        <f t="shared" si="93"/>
        <v>370.09090909090907</v>
      </c>
      <c r="AS323" s="35">
        <f t="shared" si="94"/>
        <v>391.7</v>
      </c>
      <c r="AT323" s="35">
        <f t="shared" si="95"/>
        <v>21.609090909090924</v>
      </c>
      <c r="AU323" s="35">
        <v>140</v>
      </c>
      <c r="AV323" s="35">
        <v>102</v>
      </c>
      <c r="AW323" s="35">
        <f t="shared" si="96"/>
        <v>149.69999999999999</v>
      </c>
      <c r="AX323" s="35"/>
      <c r="AY323" s="35">
        <f t="shared" si="97"/>
        <v>149.69999999999999</v>
      </c>
      <c r="AZ323" s="35">
        <v>0</v>
      </c>
      <c r="BA323" s="35">
        <f t="shared" si="98"/>
        <v>149.69999999999999</v>
      </c>
      <c r="BB323" s="35">
        <f>MIN(BA323,42.1)</f>
        <v>42.1</v>
      </c>
      <c r="BC323" s="35">
        <f t="shared" si="99"/>
        <v>107.6</v>
      </c>
      <c r="BD323" s="35">
        <v>110.7</v>
      </c>
      <c r="BE323" s="35">
        <f t="shared" si="100"/>
        <v>-3.1</v>
      </c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9"/>
      <c r="BU323" s="9"/>
      <c r="BV323" s="9"/>
      <c r="BW323" s="9"/>
      <c r="BX323" s="9"/>
      <c r="BY323" s="9"/>
      <c r="BZ323" s="9"/>
      <c r="CA323" s="9"/>
      <c r="CB323" s="9"/>
      <c r="CC323" s="9"/>
      <c r="CD323" s="9"/>
      <c r="CE323" s="9"/>
      <c r="CF323" s="9"/>
      <c r="CG323" s="9"/>
      <c r="CH323" s="9"/>
      <c r="CI323" s="9"/>
      <c r="CJ323" s="9"/>
      <c r="CK323" s="9"/>
      <c r="CL323" s="9"/>
      <c r="CM323" s="9"/>
      <c r="CN323" s="9"/>
      <c r="CO323" s="9"/>
      <c r="CP323" s="9"/>
      <c r="CQ323" s="10"/>
      <c r="CR323" s="9"/>
      <c r="CS323" s="9"/>
      <c r="CT323" s="9"/>
      <c r="CU323" s="9"/>
      <c r="CV323" s="9"/>
      <c r="CW323" s="9"/>
      <c r="CX323" s="9"/>
      <c r="CY323" s="9"/>
      <c r="CZ323" s="9"/>
      <c r="DA323" s="9"/>
      <c r="DB323" s="9"/>
      <c r="DC323" s="9"/>
      <c r="DD323" s="9"/>
      <c r="DE323" s="9"/>
      <c r="DF323" s="9"/>
      <c r="DG323" s="9"/>
      <c r="DH323" s="9"/>
      <c r="DI323" s="9"/>
      <c r="DJ323" s="9"/>
      <c r="DK323" s="9"/>
      <c r="DL323" s="9"/>
      <c r="DM323" s="9"/>
      <c r="DN323" s="9"/>
      <c r="DO323" s="9"/>
      <c r="DP323" s="9"/>
      <c r="DQ323" s="9"/>
      <c r="DR323" s="9"/>
      <c r="DS323" s="10"/>
      <c r="DT323" s="9"/>
      <c r="DU323" s="9"/>
      <c r="DV323" s="9"/>
      <c r="DW323" s="9"/>
      <c r="DX323" s="9"/>
      <c r="DY323" s="9"/>
      <c r="DZ323" s="9"/>
      <c r="EA323" s="9"/>
      <c r="EB323" s="9"/>
      <c r="EC323" s="9"/>
      <c r="ED323" s="9"/>
      <c r="EE323" s="9"/>
      <c r="EF323" s="9"/>
      <c r="EG323" s="9"/>
      <c r="EH323" s="9"/>
      <c r="EI323" s="9"/>
      <c r="EJ323" s="9"/>
      <c r="EK323" s="9"/>
      <c r="EL323" s="9"/>
      <c r="EM323" s="9"/>
      <c r="EN323" s="9"/>
      <c r="EO323" s="9"/>
      <c r="EP323" s="9"/>
      <c r="EQ323" s="9"/>
      <c r="ER323" s="9"/>
      <c r="ES323" s="9"/>
      <c r="ET323" s="9"/>
      <c r="EU323" s="10"/>
      <c r="EV323" s="9"/>
      <c r="EW323" s="9"/>
      <c r="EX323" s="9"/>
      <c r="EY323" s="9"/>
      <c r="EZ323" s="9"/>
      <c r="FA323" s="9"/>
      <c r="FB323" s="9"/>
      <c r="FC323" s="9"/>
      <c r="FD323" s="9"/>
      <c r="FE323" s="9"/>
      <c r="FF323" s="9"/>
      <c r="FG323" s="9"/>
      <c r="FH323" s="9"/>
      <c r="FI323" s="9"/>
      <c r="FJ323" s="9"/>
      <c r="FK323" s="9"/>
      <c r="FL323" s="9"/>
      <c r="FM323" s="9"/>
      <c r="FN323" s="9"/>
      <c r="FO323" s="9"/>
      <c r="FP323" s="9"/>
      <c r="FQ323" s="9"/>
      <c r="FR323" s="9"/>
      <c r="FS323" s="9"/>
      <c r="FT323" s="9"/>
      <c r="FU323" s="9"/>
      <c r="FV323" s="9"/>
      <c r="FW323" s="10"/>
      <c r="FX323" s="9"/>
      <c r="FY323" s="9"/>
      <c r="FZ323" s="9"/>
      <c r="GA323" s="9"/>
      <c r="GB323" s="9"/>
      <c r="GC323" s="9"/>
      <c r="GD323" s="9"/>
      <c r="GE323" s="9"/>
      <c r="GF323" s="9"/>
      <c r="GG323" s="9"/>
      <c r="GH323" s="9"/>
      <c r="GI323" s="9"/>
      <c r="GJ323" s="9"/>
      <c r="GK323" s="9"/>
      <c r="GL323" s="9"/>
      <c r="GM323" s="9"/>
      <c r="GN323" s="9"/>
      <c r="GO323" s="9"/>
      <c r="GP323" s="9"/>
      <c r="GQ323" s="9"/>
      <c r="GR323" s="9"/>
      <c r="GS323" s="9"/>
      <c r="GT323" s="9"/>
      <c r="GU323" s="9"/>
      <c r="GV323" s="9"/>
      <c r="GW323" s="9"/>
      <c r="GX323" s="9"/>
      <c r="GY323" s="10"/>
      <c r="GZ323" s="9"/>
      <c r="HA323" s="9"/>
    </row>
    <row r="324" spans="1:209" s="2" customFormat="1" ht="17" customHeight="1">
      <c r="A324" s="14" t="s">
        <v>269</v>
      </c>
      <c r="B324" s="35">
        <v>106</v>
      </c>
      <c r="C324" s="35">
        <v>118.8</v>
      </c>
      <c r="D324" s="4">
        <f t="shared" si="87"/>
        <v>1.120754716981132</v>
      </c>
      <c r="E324" s="11">
        <v>10</v>
      </c>
      <c r="F324" s="5" t="s">
        <v>362</v>
      </c>
      <c r="G324" s="5" t="s">
        <v>362</v>
      </c>
      <c r="H324" s="5" t="s">
        <v>362</v>
      </c>
      <c r="I324" s="5" t="s">
        <v>362</v>
      </c>
      <c r="J324" s="5" t="s">
        <v>362</v>
      </c>
      <c r="K324" s="5" t="s">
        <v>362</v>
      </c>
      <c r="L324" s="5" t="s">
        <v>362</v>
      </c>
      <c r="M324" s="5" t="s">
        <v>362</v>
      </c>
      <c r="N324" s="35">
        <v>72.8</v>
      </c>
      <c r="O324" s="35">
        <v>25.7</v>
      </c>
      <c r="P324" s="4">
        <f t="shared" si="88"/>
        <v>0.35302197802197804</v>
      </c>
      <c r="Q324" s="11">
        <v>20</v>
      </c>
      <c r="R324" s="35">
        <v>22</v>
      </c>
      <c r="S324" s="35">
        <v>22.6</v>
      </c>
      <c r="T324" s="4">
        <f t="shared" si="89"/>
        <v>1.0272727272727273</v>
      </c>
      <c r="U324" s="11">
        <v>30</v>
      </c>
      <c r="V324" s="35">
        <v>3</v>
      </c>
      <c r="W324" s="35">
        <v>3.3</v>
      </c>
      <c r="X324" s="4">
        <f t="shared" si="90"/>
        <v>1.0999999999999999</v>
      </c>
      <c r="Y324" s="11">
        <v>20</v>
      </c>
      <c r="Z324" s="35">
        <v>821</v>
      </c>
      <c r="AA324" s="35">
        <v>617</v>
      </c>
      <c r="AB324" s="4">
        <f t="shared" si="91"/>
        <v>0.75152253349573694</v>
      </c>
      <c r="AC324" s="11">
        <v>5</v>
      </c>
      <c r="AD324" s="11">
        <v>235</v>
      </c>
      <c r="AE324" s="11">
        <v>271</v>
      </c>
      <c r="AF324" s="4">
        <f t="shared" si="92"/>
        <v>1.1531914893617021</v>
      </c>
      <c r="AG324" s="11">
        <v>20</v>
      </c>
      <c r="AH324" s="5" t="s">
        <v>362</v>
      </c>
      <c r="AI324" s="5" t="s">
        <v>362</v>
      </c>
      <c r="AJ324" s="5" t="s">
        <v>362</v>
      </c>
      <c r="AK324" s="5" t="s">
        <v>362</v>
      </c>
      <c r="AL324" s="5" t="s">
        <v>362</v>
      </c>
      <c r="AM324" s="5" t="s">
        <v>362</v>
      </c>
      <c r="AN324" s="5" t="s">
        <v>362</v>
      </c>
      <c r="AO324" s="5" t="s">
        <v>362</v>
      </c>
      <c r="AP324" s="44">
        <f t="shared" si="101"/>
        <v>0.93245343812519443</v>
      </c>
      <c r="AQ324" s="45">
        <v>1178</v>
      </c>
      <c r="AR324" s="35">
        <f t="shared" si="93"/>
        <v>321.27272727272725</v>
      </c>
      <c r="AS324" s="35">
        <f t="shared" si="94"/>
        <v>299.60000000000002</v>
      </c>
      <c r="AT324" s="35">
        <f t="shared" si="95"/>
        <v>-21.672727272727229</v>
      </c>
      <c r="AU324" s="35">
        <v>120.5</v>
      </c>
      <c r="AV324" s="35">
        <v>89.8</v>
      </c>
      <c r="AW324" s="35">
        <f t="shared" si="96"/>
        <v>89.3</v>
      </c>
      <c r="AX324" s="35"/>
      <c r="AY324" s="35">
        <f t="shared" si="97"/>
        <v>89.3</v>
      </c>
      <c r="AZ324" s="35">
        <v>0</v>
      </c>
      <c r="BA324" s="35">
        <f t="shared" si="98"/>
        <v>89.3</v>
      </c>
      <c r="BB324" s="35"/>
      <c r="BC324" s="35">
        <f t="shared" si="99"/>
        <v>89.3</v>
      </c>
      <c r="BD324" s="35">
        <v>92.2</v>
      </c>
      <c r="BE324" s="35">
        <f t="shared" si="100"/>
        <v>-2.9</v>
      </c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9"/>
      <c r="BU324" s="9"/>
      <c r="BV324" s="9"/>
      <c r="BW324" s="9"/>
      <c r="BX324" s="9"/>
      <c r="BY324" s="9"/>
      <c r="BZ324" s="9"/>
      <c r="CA324" s="9"/>
      <c r="CB324" s="9"/>
      <c r="CC324" s="9"/>
      <c r="CD324" s="9"/>
      <c r="CE324" s="9"/>
      <c r="CF324" s="9"/>
      <c r="CG324" s="9"/>
      <c r="CH324" s="9"/>
      <c r="CI324" s="9"/>
      <c r="CJ324" s="9"/>
      <c r="CK324" s="9"/>
      <c r="CL324" s="9"/>
      <c r="CM324" s="9"/>
      <c r="CN324" s="9"/>
      <c r="CO324" s="9"/>
      <c r="CP324" s="9"/>
      <c r="CQ324" s="10"/>
      <c r="CR324" s="9"/>
      <c r="CS324" s="9"/>
      <c r="CT324" s="9"/>
      <c r="CU324" s="9"/>
      <c r="CV324" s="9"/>
      <c r="CW324" s="9"/>
      <c r="CX324" s="9"/>
      <c r="CY324" s="9"/>
      <c r="CZ324" s="9"/>
      <c r="DA324" s="9"/>
      <c r="DB324" s="9"/>
      <c r="DC324" s="9"/>
      <c r="DD324" s="9"/>
      <c r="DE324" s="9"/>
      <c r="DF324" s="9"/>
      <c r="DG324" s="9"/>
      <c r="DH324" s="9"/>
      <c r="DI324" s="9"/>
      <c r="DJ324" s="9"/>
      <c r="DK324" s="9"/>
      <c r="DL324" s="9"/>
      <c r="DM324" s="9"/>
      <c r="DN324" s="9"/>
      <c r="DO324" s="9"/>
      <c r="DP324" s="9"/>
      <c r="DQ324" s="9"/>
      <c r="DR324" s="9"/>
      <c r="DS324" s="10"/>
      <c r="DT324" s="9"/>
      <c r="DU324" s="9"/>
      <c r="DV324" s="9"/>
      <c r="DW324" s="9"/>
      <c r="DX324" s="9"/>
      <c r="DY324" s="9"/>
      <c r="DZ324" s="9"/>
      <c r="EA324" s="9"/>
      <c r="EB324" s="9"/>
      <c r="EC324" s="9"/>
      <c r="ED324" s="9"/>
      <c r="EE324" s="9"/>
      <c r="EF324" s="9"/>
      <c r="EG324" s="9"/>
      <c r="EH324" s="9"/>
      <c r="EI324" s="9"/>
      <c r="EJ324" s="9"/>
      <c r="EK324" s="9"/>
      <c r="EL324" s="9"/>
      <c r="EM324" s="9"/>
      <c r="EN324" s="9"/>
      <c r="EO324" s="9"/>
      <c r="EP324" s="9"/>
      <c r="EQ324" s="9"/>
      <c r="ER324" s="9"/>
      <c r="ES324" s="9"/>
      <c r="ET324" s="9"/>
      <c r="EU324" s="10"/>
      <c r="EV324" s="9"/>
      <c r="EW324" s="9"/>
      <c r="EX324" s="9"/>
      <c r="EY324" s="9"/>
      <c r="EZ324" s="9"/>
      <c r="FA324" s="9"/>
      <c r="FB324" s="9"/>
      <c r="FC324" s="9"/>
      <c r="FD324" s="9"/>
      <c r="FE324" s="9"/>
      <c r="FF324" s="9"/>
      <c r="FG324" s="9"/>
      <c r="FH324" s="9"/>
      <c r="FI324" s="9"/>
      <c r="FJ324" s="9"/>
      <c r="FK324" s="9"/>
      <c r="FL324" s="9"/>
      <c r="FM324" s="9"/>
      <c r="FN324" s="9"/>
      <c r="FO324" s="9"/>
      <c r="FP324" s="9"/>
      <c r="FQ324" s="9"/>
      <c r="FR324" s="9"/>
      <c r="FS324" s="9"/>
      <c r="FT324" s="9"/>
      <c r="FU324" s="9"/>
      <c r="FV324" s="9"/>
      <c r="FW324" s="10"/>
      <c r="FX324" s="9"/>
      <c r="FY324" s="9"/>
      <c r="FZ324" s="9"/>
      <c r="GA324" s="9"/>
      <c r="GB324" s="9"/>
      <c r="GC324" s="9"/>
      <c r="GD324" s="9"/>
      <c r="GE324" s="9"/>
      <c r="GF324" s="9"/>
      <c r="GG324" s="9"/>
      <c r="GH324" s="9"/>
      <c r="GI324" s="9"/>
      <c r="GJ324" s="9"/>
      <c r="GK324" s="9"/>
      <c r="GL324" s="9"/>
      <c r="GM324" s="9"/>
      <c r="GN324" s="9"/>
      <c r="GO324" s="9"/>
      <c r="GP324" s="9"/>
      <c r="GQ324" s="9"/>
      <c r="GR324" s="9"/>
      <c r="GS324" s="9"/>
      <c r="GT324" s="9"/>
      <c r="GU324" s="9"/>
      <c r="GV324" s="9"/>
      <c r="GW324" s="9"/>
      <c r="GX324" s="9"/>
      <c r="GY324" s="10"/>
      <c r="GZ324" s="9"/>
      <c r="HA324" s="9"/>
    </row>
    <row r="325" spans="1:209" s="2" customFormat="1" ht="17" customHeight="1">
      <c r="A325" s="14" t="s">
        <v>317</v>
      </c>
      <c r="B325" s="35">
        <v>340</v>
      </c>
      <c r="C325" s="35">
        <v>342.5</v>
      </c>
      <c r="D325" s="4">
        <f t="shared" si="87"/>
        <v>1.0073529411764706</v>
      </c>
      <c r="E325" s="11">
        <v>10</v>
      </c>
      <c r="F325" s="5" t="s">
        <v>362</v>
      </c>
      <c r="G325" s="5" t="s">
        <v>362</v>
      </c>
      <c r="H325" s="5" t="s">
        <v>362</v>
      </c>
      <c r="I325" s="5" t="s">
        <v>362</v>
      </c>
      <c r="J325" s="5" t="s">
        <v>362</v>
      </c>
      <c r="K325" s="5" t="s">
        <v>362</v>
      </c>
      <c r="L325" s="5" t="s">
        <v>362</v>
      </c>
      <c r="M325" s="5" t="s">
        <v>362</v>
      </c>
      <c r="N325" s="35">
        <v>280.2</v>
      </c>
      <c r="O325" s="35">
        <v>122.8</v>
      </c>
      <c r="P325" s="4">
        <f t="shared" si="88"/>
        <v>0.43825838686652391</v>
      </c>
      <c r="Q325" s="11">
        <v>20</v>
      </c>
      <c r="R325" s="35">
        <v>3</v>
      </c>
      <c r="S325" s="35">
        <v>3.3</v>
      </c>
      <c r="T325" s="4">
        <f t="shared" si="89"/>
        <v>1.0999999999999999</v>
      </c>
      <c r="U325" s="11">
        <v>35</v>
      </c>
      <c r="V325" s="35">
        <v>3</v>
      </c>
      <c r="W325" s="35">
        <v>3.4</v>
      </c>
      <c r="X325" s="4">
        <f t="shared" si="90"/>
        <v>1.1333333333333333</v>
      </c>
      <c r="Y325" s="11">
        <v>15</v>
      </c>
      <c r="Z325" s="35">
        <v>1577</v>
      </c>
      <c r="AA325" s="35">
        <v>1507</v>
      </c>
      <c r="AB325" s="4">
        <f t="shared" si="91"/>
        <v>0.95561192136968931</v>
      </c>
      <c r="AC325" s="11">
        <v>5</v>
      </c>
      <c r="AD325" s="11">
        <v>150</v>
      </c>
      <c r="AE325" s="11">
        <v>152</v>
      </c>
      <c r="AF325" s="4">
        <f t="shared" si="92"/>
        <v>1.0133333333333334</v>
      </c>
      <c r="AG325" s="11">
        <v>20</v>
      </c>
      <c r="AH325" s="5" t="s">
        <v>362</v>
      </c>
      <c r="AI325" s="5" t="s">
        <v>362</v>
      </c>
      <c r="AJ325" s="5" t="s">
        <v>362</v>
      </c>
      <c r="AK325" s="5" t="s">
        <v>362</v>
      </c>
      <c r="AL325" s="5" t="s">
        <v>362</v>
      </c>
      <c r="AM325" s="5" t="s">
        <v>362</v>
      </c>
      <c r="AN325" s="5" t="s">
        <v>362</v>
      </c>
      <c r="AO325" s="5" t="s">
        <v>362</v>
      </c>
      <c r="AP325" s="44">
        <f t="shared" si="101"/>
        <v>0.9465087945010503</v>
      </c>
      <c r="AQ325" s="45">
        <v>1997</v>
      </c>
      <c r="AR325" s="35">
        <f t="shared" si="93"/>
        <v>544.63636363636363</v>
      </c>
      <c r="AS325" s="35">
        <f t="shared" si="94"/>
        <v>515.5</v>
      </c>
      <c r="AT325" s="35">
        <f t="shared" si="95"/>
        <v>-29.136363636363626</v>
      </c>
      <c r="AU325" s="35">
        <v>162.4</v>
      </c>
      <c r="AV325" s="35">
        <v>174.1</v>
      </c>
      <c r="AW325" s="35">
        <f t="shared" si="96"/>
        <v>179</v>
      </c>
      <c r="AX325" s="35"/>
      <c r="AY325" s="35">
        <f t="shared" si="97"/>
        <v>179</v>
      </c>
      <c r="AZ325" s="35">
        <v>0</v>
      </c>
      <c r="BA325" s="35">
        <f t="shared" si="98"/>
        <v>179</v>
      </c>
      <c r="BB325" s="35">
        <f>MIN(BA325,30.8)</f>
        <v>30.8</v>
      </c>
      <c r="BC325" s="35">
        <f t="shared" si="99"/>
        <v>148.19999999999999</v>
      </c>
      <c r="BD325" s="35">
        <v>148</v>
      </c>
      <c r="BE325" s="35">
        <f t="shared" si="100"/>
        <v>0.2</v>
      </c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9"/>
      <c r="BU325" s="9"/>
      <c r="BV325" s="9"/>
      <c r="BW325" s="9"/>
      <c r="BX325" s="9"/>
      <c r="BY325" s="9"/>
      <c r="BZ325" s="9"/>
      <c r="CA325" s="9"/>
      <c r="CB325" s="9"/>
      <c r="CC325" s="9"/>
      <c r="CD325" s="9"/>
      <c r="CE325" s="9"/>
      <c r="CF325" s="9"/>
      <c r="CG325" s="9"/>
      <c r="CH325" s="9"/>
      <c r="CI325" s="9"/>
      <c r="CJ325" s="9"/>
      <c r="CK325" s="9"/>
      <c r="CL325" s="9"/>
      <c r="CM325" s="9"/>
      <c r="CN325" s="9"/>
      <c r="CO325" s="9"/>
      <c r="CP325" s="9"/>
      <c r="CQ325" s="10"/>
      <c r="CR325" s="9"/>
      <c r="CS325" s="9"/>
      <c r="CT325" s="9"/>
      <c r="CU325" s="9"/>
      <c r="CV325" s="9"/>
      <c r="CW325" s="9"/>
      <c r="CX325" s="9"/>
      <c r="CY325" s="9"/>
      <c r="CZ325" s="9"/>
      <c r="DA325" s="9"/>
      <c r="DB325" s="9"/>
      <c r="DC325" s="9"/>
      <c r="DD325" s="9"/>
      <c r="DE325" s="9"/>
      <c r="DF325" s="9"/>
      <c r="DG325" s="9"/>
      <c r="DH325" s="9"/>
      <c r="DI325" s="9"/>
      <c r="DJ325" s="9"/>
      <c r="DK325" s="9"/>
      <c r="DL325" s="9"/>
      <c r="DM325" s="9"/>
      <c r="DN325" s="9"/>
      <c r="DO325" s="9"/>
      <c r="DP325" s="9"/>
      <c r="DQ325" s="9"/>
      <c r="DR325" s="9"/>
      <c r="DS325" s="10"/>
      <c r="DT325" s="9"/>
      <c r="DU325" s="9"/>
      <c r="DV325" s="9"/>
      <c r="DW325" s="9"/>
      <c r="DX325" s="9"/>
      <c r="DY325" s="9"/>
      <c r="DZ325" s="9"/>
      <c r="EA325" s="9"/>
      <c r="EB325" s="9"/>
      <c r="EC325" s="9"/>
      <c r="ED325" s="9"/>
      <c r="EE325" s="9"/>
      <c r="EF325" s="9"/>
      <c r="EG325" s="9"/>
      <c r="EH325" s="9"/>
      <c r="EI325" s="9"/>
      <c r="EJ325" s="9"/>
      <c r="EK325" s="9"/>
      <c r="EL325" s="9"/>
      <c r="EM325" s="9"/>
      <c r="EN325" s="9"/>
      <c r="EO325" s="9"/>
      <c r="EP325" s="9"/>
      <c r="EQ325" s="9"/>
      <c r="ER325" s="9"/>
      <c r="ES325" s="9"/>
      <c r="ET325" s="9"/>
      <c r="EU325" s="10"/>
      <c r="EV325" s="9"/>
      <c r="EW325" s="9"/>
      <c r="EX325" s="9"/>
      <c r="EY325" s="9"/>
      <c r="EZ325" s="9"/>
      <c r="FA325" s="9"/>
      <c r="FB325" s="9"/>
      <c r="FC325" s="9"/>
      <c r="FD325" s="9"/>
      <c r="FE325" s="9"/>
      <c r="FF325" s="9"/>
      <c r="FG325" s="9"/>
      <c r="FH325" s="9"/>
      <c r="FI325" s="9"/>
      <c r="FJ325" s="9"/>
      <c r="FK325" s="9"/>
      <c r="FL325" s="9"/>
      <c r="FM325" s="9"/>
      <c r="FN325" s="9"/>
      <c r="FO325" s="9"/>
      <c r="FP325" s="9"/>
      <c r="FQ325" s="9"/>
      <c r="FR325" s="9"/>
      <c r="FS325" s="9"/>
      <c r="FT325" s="9"/>
      <c r="FU325" s="9"/>
      <c r="FV325" s="9"/>
      <c r="FW325" s="10"/>
      <c r="FX325" s="9"/>
      <c r="FY325" s="9"/>
      <c r="FZ325" s="9"/>
      <c r="GA325" s="9"/>
      <c r="GB325" s="9"/>
      <c r="GC325" s="9"/>
      <c r="GD325" s="9"/>
      <c r="GE325" s="9"/>
      <c r="GF325" s="9"/>
      <c r="GG325" s="9"/>
      <c r="GH325" s="9"/>
      <c r="GI325" s="9"/>
      <c r="GJ325" s="9"/>
      <c r="GK325" s="9"/>
      <c r="GL325" s="9"/>
      <c r="GM325" s="9"/>
      <c r="GN325" s="9"/>
      <c r="GO325" s="9"/>
      <c r="GP325" s="9"/>
      <c r="GQ325" s="9"/>
      <c r="GR325" s="9"/>
      <c r="GS325" s="9"/>
      <c r="GT325" s="9"/>
      <c r="GU325" s="9"/>
      <c r="GV325" s="9"/>
      <c r="GW325" s="9"/>
      <c r="GX325" s="9"/>
      <c r="GY325" s="10"/>
      <c r="GZ325" s="9"/>
      <c r="HA325" s="9"/>
    </row>
    <row r="326" spans="1:209" s="2" customFormat="1" ht="17" customHeight="1">
      <c r="A326" s="14" t="s">
        <v>318</v>
      </c>
      <c r="B326" s="35">
        <v>0</v>
      </c>
      <c r="C326" s="35">
        <v>0</v>
      </c>
      <c r="D326" s="4">
        <f t="shared" si="87"/>
        <v>0</v>
      </c>
      <c r="E326" s="11">
        <v>0</v>
      </c>
      <c r="F326" s="5" t="s">
        <v>362</v>
      </c>
      <c r="G326" s="5" t="s">
        <v>362</v>
      </c>
      <c r="H326" s="5" t="s">
        <v>362</v>
      </c>
      <c r="I326" s="5" t="s">
        <v>362</v>
      </c>
      <c r="J326" s="5" t="s">
        <v>362</v>
      </c>
      <c r="K326" s="5" t="s">
        <v>362</v>
      </c>
      <c r="L326" s="5" t="s">
        <v>362</v>
      </c>
      <c r="M326" s="5" t="s">
        <v>362</v>
      </c>
      <c r="N326" s="35">
        <v>586.9</v>
      </c>
      <c r="O326" s="35">
        <v>402.7</v>
      </c>
      <c r="P326" s="4">
        <f t="shared" si="88"/>
        <v>0.68614755494973589</v>
      </c>
      <c r="Q326" s="11">
        <v>20</v>
      </c>
      <c r="R326" s="35">
        <v>870</v>
      </c>
      <c r="S326" s="35">
        <v>945.9</v>
      </c>
      <c r="T326" s="4">
        <f t="shared" si="89"/>
        <v>1.0872413793103448</v>
      </c>
      <c r="U326" s="11">
        <v>30</v>
      </c>
      <c r="V326" s="35">
        <v>6</v>
      </c>
      <c r="W326" s="35">
        <v>6.7</v>
      </c>
      <c r="X326" s="4">
        <f t="shared" si="90"/>
        <v>1.1166666666666667</v>
      </c>
      <c r="Y326" s="11">
        <v>20</v>
      </c>
      <c r="Z326" s="35">
        <v>2620</v>
      </c>
      <c r="AA326" s="35">
        <v>2060</v>
      </c>
      <c r="AB326" s="4">
        <f t="shared" si="91"/>
        <v>0.7862595419847328</v>
      </c>
      <c r="AC326" s="11">
        <v>5</v>
      </c>
      <c r="AD326" s="11">
        <v>900</v>
      </c>
      <c r="AE326" s="11">
        <v>930</v>
      </c>
      <c r="AF326" s="4">
        <f t="shared" si="92"/>
        <v>1.0333333333333334</v>
      </c>
      <c r="AG326" s="11">
        <v>20</v>
      </c>
      <c r="AH326" s="5" t="s">
        <v>362</v>
      </c>
      <c r="AI326" s="5" t="s">
        <v>362</v>
      </c>
      <c r="AJ326" s="5" t="s">
        <v>362</v>
      </c>
      <c r="AK326" s="5" t="s">
        <v>362</v>
      </c>
      <c r="AL326" s="5" t="s">
        <v>362</v>
      </c>
      <c r="AM326" s="5" t="s">
        <v>362</v>
      </c>
      <c r="AN326" s="5" t="s">
        <v>362</v>
      </c>
      <c r="AO326" s="5" t="s">
        <v>362</v>
      </c>
      <c r="AP326" s="44">
        <f t="shared" si="101"/>
        <v>0.98180515987609196</v>
      </c>
      <c r="AQ326" s="45">
        <v>2175</v>
      </c>
      <c r="AR326" s="35">
        <f t="shared" si="93"/>
        <v>593.18181818181813</v>
      </c>
      <c r="AS326" s="35">
        <f t="shared" si="94"/>
        <v>582.4</v>
      </c>
      <c r="AT326" s="35">
        <f t="shared" si="95"/>
        <v>-10.781818181818153</v>
      </c>
      <c r="AU326" s="35">
        <v>192.1</v>
      </c>
      <c r="AV326" s="35">
        <v>200.6</v>
      </c>
      <c r="AW326" s="35">
        <f t="shared" si="96"/>
        <v>189.7</v>
      </c>
      <c r="AX326" s="35"/>
      <c r="AY326" s="35">
        <f t="shared" si="97"/>
        <v>189.7</v>
      </c>
      <c r="AZ326" s="35">
        <v>0</v>
      </c>
      <c r="BA326" s="35">
        <f t="shared" si="98"/>
        <v>189.7</v>
      </c>
      <c r="BB326" s="35">
        <f>MIN(BA326,98.9)</f>
        <v>98.9</v>
      </c>
      <c r="BC326" s="35">
        <f t="shared" si="99"/>
        <v>90.8</v>
      </c>
      <c r="BD326" s="35">
        <v>97.2</v>
      </c>
      <c r="BE326" s="35">
        <f t="shared" si="100"/>
        <v>-6.4</v>
      </c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9"/>
      <c r="BU326" s="9"/>
      <c r="BV326" s="9"/>
      <c r="BW326" s="9"/>
      <c r="BX326" s="9"/>
      <c r="BY326" s="9"/>
      <c r="BZ326" s="9"/>
      <c r="CA326" s="9"/>
      <c r="CB326" s="9"/>
      <c r="CC326" s="9"/>
      <c r="CD326" s="9"/>
      <c r="CE326" s="9"/>
      <c r="CF326" s="9"/>
      <c r="CG326" s="9"/>
      <c r="CH326" s="9"/>
      <c r="CI326" s="9"/>
      <c r="CJ326" s="9"/>
      <c r="CK326" s="9"/>
      <c r="CL326" s="9"/>
      <c r="CM326" s="9"/>
      <c r="CN326" s="9"/>
      <c r="CO326" s="9"/>
      <c r="CP326" s="9"/>
      <c r="CQ326" s="10"/>
      <c r="CR326" s="9"/>
      <c r="CS326" s="9"/>
      <c r="CT326" s="9"/>
      <c r="CU326" s="9"/>
      <c r="CV326" s="9"/>
      <c r="CW326" s="9"/>
      <c r="CX326" s="9"/>
      <c r="CY326" s="9"/>
      <c r="CZ326" s="9"/>
      <c r="DA326" s="9"/>
      <c r="DB326" s="9"/>
      <c r="DC326" s="9"/>
      <c r="DD326" s="9"/>
      <c r="DE326" s="9"/>
      <c r="DF326" s="9"/>
      <c r="DG326" s="9"/>
      <c r="DH326" s="9"/>
      <c r="DI326" s="9"/>
      <c r="DJ326" s="9"/>
      <c r="DK326" s="9"/>
      <c r="DL326" s="9"/>
      <c r="DM326" s="9"/>
      <c r="DN326" s="9"/>
      <c r="DO326" s="9"/>
      <c r="DP326" s="9"/>
      <c r="DQ326" s="9"/>
      <c r="DR326" s="9"/>
      <c r="DS326" s="10"/>
      <c r="DT326" s="9"/>
      <c r="DU326" s="9"/>
      <c r="DV326" s="9"/>
      <c r="DW326" s="9"/>
      <c r="DX326" s="9"/>
      <c r="DY326" s="9"/>
      <c r="DZ326" s="9"/>
      <c r="EA326" s="9"/>
      <c r="EB326" s="9"/>
      <c r="EC326" s="9"/>
      <c r="ED326" s="9"/>
      <c r="EE326" s="9"/>
      <c r="EF326" s="9"/>
      <c r="EG326" s="9"/>
      <c r="EH326" s="9"/>
      <c r="EI326" s="9"/>
      <c r="EJ326" s="9"/>
      <c r="EK326" s="9"/>
      <c r="EL326" s="9"/>
      <c r="EM326" s="9"/>
      <c r="EN326" s="9"/>
      <c r="EO326" s="9"/>
      <c r="EP326" s="9"/>
      <c r="EQ326" s="9"/>
      <c r="ER326" s="9"/>
      <c r="ES326" s="9"/>
      <c r="ET326" s="9"/>
      <c r="EU326" s="10"/>
      <c r="EV326" s="9"/>
      <c r="EW326" s="9"/>
      <c r="EX326" s="9"/>
      <c r="EY326" s="9"/>
      <c r="EZ326" s="9"/>
      <c r="FA326" s="9"/>
      <c r="FB326" s="9"/>
      <c r="FC326" s="9"/>
      <c r="FD326" s="9"/>
      <c r="FE326" s="9"/>
      <c r="FF326" s="9"/>
      <c r="FG326" s="9"/>
      <c r="FH326" s="9"/>
      <c r="FI326" s="9"/>
      <c r="FJ326" s="9"/>
      <c r="FK326" s="9"/>
      <c r="FL326" s="9"/>
      <c r="FM326" s="9"/>
      <c r="FN326" s="9"/>
      <c r="FO326" s="9"/>
      <c r="FP326" s="9"/>
      <c r="FQ326" s="9"/>
      <c r="FR326" s="9"/>
      <c r="FS326" s="9"/>
      <c r="FT326" s="9"/>
      <c r="FU326" s="9"/>
      <c r="FV326" s="9"/>
      <c r="FW326" s="10"/>
      <c r="FX326" s="9"/>
      <c r="FY326" s="9"/>
      <c r="FZ326" s="9"/>
      <c r="GA326" s="9"/>
      <c r="GB326" s="9"/>
      <c r="GC326" s="9"/>
      <c r="GD326" s="9"/>
      <c r="GE326" s="9"/>
      <c r="GF326" s="9"/>
      <c r="GG326" s="9"/>
      <c r="GH326" s="9"/>
      <c r="GI326" s="9"/>
      <c r="GJ326" s="9"/>
      <c r="GK326" s="9"/>
      <c r="GL326" s="9"/>
      <c r="GM326" s="9"/>
      <c r="GN326" s="9"/>
      <c r="GO326" s="9"/>
      <c r="GP326" s="9"/>
      <c r="GQ326" s="9"/>
      <c r="GR326" s="9"/>
      <c r="GS326" s="9"/>
      <c r="GT326" s="9"/>
      <c r="GU326" s="9"/>
      <c r="GV326" s="9"/>
      <c r="GW326" s="9"/>
      <c r="GX326" s="9"/>
      <c r="GY326" s="10"/>
      <c r="GZ326" s="9"/>
      <c r="HA326" s="9"/>
    </row>
    <row r="327" spans="1:209" s="2" customFormat="1" ht="17" customHeight="1">
      <c r="A327" s="14" t="s">
        <v>319</v>
      </c>
      <c r="B327" s="35">
        <v>232</v>
      </c>
      <c r="C327" s="35">
        <v>232</v>
      </c>
      <c r="D327" s="4">
        <f t="shared" si="87"/>
        <v>1</v>
      </c>
      <c r="E327" s="11">
        <v>10</v>
      </c>
      <c r="F327" s="5" t="s">
        <v>362</v>
      </c>
      <c r="G327" s="5" t="s">
        <v>362</v>
      </c>
      <c r="H327" s="5" t="s">
        <v>362</v>
      </c>
      <c r="I327" s="5" t="s">
        <v>362</v>
      </c>
      <c r="J327" s="5" t="s">
        <v>362</v>
      </c>
      <c r="K327" s="5" t="s">
        <v>362</v>
      </c>
      <c r="L327" s="5" t="s">
        <v>362</v>
      </c>
      <c r="M327" s="5" t="s">
        <v>362</v>
      </c>
      <c r="N327" s="35">
        <v>388.4</v>
      </c>
      <c r="O327" s="35">
        <v>248.3</v>
      </c>
      <c r="P327" s="4">
        <f t="shared" si="88"/>
        <v>0.63928939237899085</v>
      </c>
      <c r="Q327" s="11">
        <v>20</v>
      </c>
      <c r="R327" s="35">
        <v>6</v>
      </c>
      <c r="S327" s="35">
        <v>6.8</v>
      </c>
      <c r="T327" s="4">
        <f t="shared" si="89"/>
        <v>1.1333333333333333</v>
      </c>
      <c r="U327" s="11">
        <v>30</v>
      </c>
      <c r="V327" s="35">
        <v>6</v>
      </c>
      <c r="W327" s="35">
        <v>10.8</v>
      </c>
      <c r="X327" s="4">
        <f t="shared" si="90"/>
        <v>1.26</v>
      </c>
      <c r="Y327" s="11">
        <v>20</v>
      </c>
      <c r="Z327" s="35">
        <v>2482</v>
      </c>
      <c r="AA327" s="35">
        <v>2565</v>
      </c>
      <c r="AB327" s="4">
        <f t="shared" si="91"/>
        <v>1.0334407735697018</v>
      </c>
      <c r="AC327" s="11">
        <v>5</v>
      </c>
      <c r="AD327" s="11">
        <v>315</v>
      </c>
      <c r="AE327" s="11">
        <v>315</v>
      </c>
      <c r="AF327" s="4">
        <f t="shared" si="92"/>
        <v>1</v>
      </c>
      <c r="AG327" s="11">
        <v>20</v>
      </c>
      <c r="AH327" s="5" t="s">
        <v>362</v>
      </c>
      <c r="AI327" s="5" t="s">
        <v>362</v>
      </c>
      <c r="AJ327" s="5" t="s">
        <v>362</v>
      </c>
      <c r="AK327" s="5" t="s">
        <v>362</v>
      </c>
      <c r="AL327" s="5" t="s">
        <v>362</v>
      </c>
      <c r="AM327" s="5" t="s">
        <v>362</v>
      </c>
      <c r="AN327" s="5" t="s">
        <v>362</v>
      </c>
      <c r="AO327" s="5" t="s">
        <v>362</v>
      </c>
      <c r="AP327" s="44">
        <f t="shared" si="101"/>
        <v>1.0205046830040794</v>
      </c>
      <c r="AQ327" s="45">
        <v>1690</v>
      </c>
      <c r="AR327" s="35">
        <f t="shared" si="93"/>
        <v>460.90909090909088</v>
      </c>
      <c r="AS327" s="35">
        <f t="shared" si="94"/>
        <v>470.4</v>
      </c>
      <c r="AT327" s="35">
        <f t="shared" si="95"/>
        <v>9.4909090909090992</v>
      </c>
      <c r="AU327" s="35">
        <v>141.69999999999999</v>
      </c>
      <c r="AV327" s="35">
        <v>181.4</v>
      </c>
      <c r="AW327" s="35">
        <f t="shared" si="96"/>
        <v>147.30000000000001</v>
      </c>
      <c r="AX327" s="35"/>
      <c r="AY327" s="35">
        <f t="shared" si="97"/>
        <v>147.30000000000001</v>
      </c>
      <c r="AZ327" s="35">
        <v>0</v>
      </c>
      <c r="BA327" s="35">
        <f t="shared" si="98"/>
        <v>147.30000000000001</v>
      </c>
      <c r="BB327" s="35"/>
      <c r="BC327" s="35">
        <f t="shared" si="99"/>
        <v>147.30000000000001</v>
      </c>
      <c r="BD327" s="35">
        <v>147</v>
      </c>
      <c r="BE327" s="35">
        <f t="shared" si="100"/>
        <v>0.3</v>
      </c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9"/>
      <c r="BU327" s="9"/>
      <c r="BV327" s="9"/>
      <c r="BW327" s="9"/>
      <c r="BX327" s="9"/>
      <c r="BY327" s="9"/>
      <c r="BZ327" s="9"/>
      <c r="CA327" s="9"/>
      <c r="CB327" s="9"/>
      <c r="CC327" s="9"/>
      <c r="CD327" s="9"/>
      <c r="CE327" s="9"/>
      <c r="CF327" s="9"/>
      <c r="CG327" s="9"/>
      <c r="CH327" s="9"/>
      <c r="CI327" s="9"/>
      <c r="CJ327" s="9"/>
      <c r="CK327" s="9"/>
      <c r="CL327" s="9"/>
      <c r="CM327" s="9"/>
      <c r="CN327" s="9"/>
      <c r="CO327" s="9"/>
      <c r="CP327" s="9"/>
      <c r="CQ327" s="10"/>
      <c r="CR327" s="9"/>
      <c r="CS327" s="9"/>
      <c r="CT327" s="9"/>
      <c r="CU327" s="9"/>
      <c r="CV327" s="9"/>
      <c r="CW327" s="9"/>
      <c r="CX327" s="9"/>
      <c r="CY327" s="9"/>
      <c r="CZ327" s="9"/>
      <c r="DA327" s="9"/>
      <c r="DB327" s="9"/>
      <c r="DC327" s="9"/>
      <c r="DD327" s="9"/>
      <c r="DE327" s="9"/>
      <c r="DF327" s="9"/>
      <c r="DG327" s="9"/>
      <c r="DH327" s="9"/>
      <c r="DI327" s="9"/>
      <c r="DJ327" s="9"/>
      <c r="DK327" s="9"/>
      <c r="DL327" s="9"/>
      <c r="DM327" s="9"/>
      <c r="DN327" s="9"/>
      <c r="DO327" s="9"/>
      <c r="DP327" s="9"/>
      <c r="DQ327" s="9"/>
      <c r="DR327" s="9"/>
      <c r="DS327" s="10"/>
      <c r="DT327" s="9"/>
      <c r="DU327" s="9"/>
      <c r="DV327" s="9"/>
      <c r="DW327" s="9"/>
      <c r="DX327" s="9"/>
      <c r="DY327" s="9"/>
      <c r="DZ327" s="9"/>
      <c r="EA327" s="9"/>
      <c r="EB327" s="9"/>
      <c r="EC327" s="9"/>
      <c r="ED327" s="9"/>
      <c r="EE327" s="9"/>
      <c r="EF327" s="9"/>
      <c r="EG327" s="9"/>
      <c r="EH327" s="9"/>
      <c r="EI327" s="9"/>
      <c r="EJ327" s="9"/>
      <c r="EK327" s="9"/>
      <c r="EL327" s="9"/>
      <c r="EM327" s="9"/>
      <c r="EN327" s="9"/>
      <c r="EO327" s="9"/>
      <c r="EP327" s="9"/>
      <c r="EQ327" s="9"/>
      <c r="ER327" s="9"/>
      <c r="ES327" s="9"/>
      <c r="ET327" s="9"/>
      <c r="EU327" s="10"/>
      <c r="EV327" s="9"/>
      <c r="EW327" s="9"/>
      <c r="EX327" s="9"/>
      <c r="EY327" s="9"/>
      <c r="EZ327" s="9"/>
      <c r="FA327" s="9"/>
      <c r="FB327" s="9"/>
      <c r="FC327" s="9"/>
      <c r="FD327" s="9"/>
      <c r="FE327" s="9"/>
      <c r="FF327" s="9"/>
      <c r="FG327" s="9"/>
      <c r="FH327" s="9"/>
      <c r="FI327" s="9"/>
      <c r="FJ327" s="9"/>
      <c r="FK327" s="9"/>
      <c r="FL327" s="9"/>
      <c r="FM327" s="9"/>
      <c r="FN327" s="9"/>
      <c r="FO327" s="9"/>
      <c r="FP327" s="9"/>
      <c r="FQ327" s="9"/>
      <c r="FR327" s="9"/>
      <c r="FS327" s="9"/>
      <c r="FT327" s="9"/>
      <c r="FU327" s="9"/>
      <c r="FV327" s="9"/>
      <c r="FW327" s="10"/>
      <c r="FX327" s="9"/>
      <c r="FY327" s="9"/>
      <c r="FZ327" s="9"/>
      <c r="GA327" s="9"/>
      <c r="GB327" s="9"/>
      <c r="GC327" s="9"/>
      <c r="GD327" s="9"/>
      <c r="GE327" s="9"/>
      <c r="GF327" s="9"/>
      <c r="GG327" s="9"/>
      <c r="GH327" s="9"/>
      <c r="GI327" s="9"/>
      <c r="GJ327" s="9"/>
      <c r="GK327" s="9"/>
      <c r="GL327" s="9"/>
      <c r="GM327" s="9"/>
      <c r="GN327" s="9"/>
      <c r="GO327" s="9"/>
      <c r="GP327" s="9"/>
      <c r="GQ327" s="9"/>
      <c r="GR327" s="9"/>
      <c r="GS327" s="9"/>
      <c r="GT327" s="9"/>
      <c r="GU327" s="9"/>
      <c r="GV327" s="9"/>
      <c r="GW327" s="9"/>
      <c r="GX327" s="9"/>
      <c r="GY327" s="10"/>
      <c r="GZ327" s="9"/>
      <c r="HA327" s="9"/>
    </row>
    <row r="328" spans="1:209" s="2" customFormat="1" ht="17" customHeight="1">
      <c r="A328" s="14" t="s">
        <v>320</v>
      </c>
      <c r="B328" s="35">
        <v>106</v>
      </c>
      <c r="C328" s="35">
        <v>109.9</v>
      </c>
      <c r="D328" s="4">
        <f t="shared" si="87"/>
        <v>1.0367924528301888</v>
      </c>
      <c r="E328" s="11">
        <v>10</v>
      </c>
      <c r="F328" s="5" t="s">
        <v>362</v>
      </c>
      <c r="G328" s="5" t="s">
        <v>362</v>
      </c>
      <c r="H328" s="5" t="s">
        <v>362</v>
      </c>
      <c r="I328" s="5" t="s">
        <v>362</v>
      </c>
      <c r="J328" s="5" t="s">
        <v>362</v>
      </c>
      <c r="K328" s="5" t="s">
        <v>362</v>
      </c>
      <c r="L328" s="5" t="s">
        <v>362</v>
      </c>
      <c r="M328" s="5" t="s">
        <v>362</v>
      </c>
      <c r="N328" s="35">
        <v>470.2</v>
      </c>
      <c r="O328" s="35">
        <v>590.5</v>
      </c>
      <c r="P328" s="4">
        <f t="shared" si="88"/>
        <v>1.2055848575074437</v>
      </c>
      <c r="Q328" s="11">
        <v>20</v>
      </c>
      <c r="R328" s="35">
        <v>19</v>
      </c>
      <c r="S328" s="35">
        <v>21.3</v>
      </c>
      <c r="T328" s="4">
        <f t="shared" si="89"/>
        <v>1.1210526315789473</v>
      </c>
      <c r="U328" s="11">
        <v>20</v>
      </c>
      <c r="V328" s="35">
        <v>3</v>
      </c>
      <c r="W328" s="35">
        <v>3.3</v>
      </c>
      <c r="X328" s="4">
        <f t="shared" si="90"/>
        <v>1.0999999999999999</v>
      </c>
      <c r="Y328" s="11">
        <v>30</v>
      </c>
      <c r="Z328" s="35">
        <v>5129</v>
      </c>
      <c r="AA328" s="35">
        <v>4153</v>
      </c>
      <c r="AB328" s="4">
        <f t="shared" si="91"/>
        <v>0.80970949502827061</v>
      </c>
      <c r="AC328" s="11">
        <v>5</v>
      </c>
      <c r="AD328" s="11">
        <v>260</v>
      </c>
      <c r="AE328" s="11">
        <v>281</v>
      </c>
      <c r="AF328" s="4">
        <f t="shared" si="92"/>
        <v>1.0807692307692307</v>
      </c>
      <c r="AG328" s="11">
        <v>20</v>
      </c>
      <c r="AH328" s="5" t="s">
        <v>362</v>
      </c>
      <c r="AI328" s="5" t="s">
        <v>362</v>
      </c>
      <c r="AJ328" s="5" t="s">
        <v>362</v>
      </c>
      <c r="AK328" s="5" t="s">
        <v>362</v>
      </c>
      <c r="AL328" s="5" t="s">
        <v>362</v>
      </c>
      <c r="AM328" s="5" t="s">
        <v>362</v>
      </c>
      <c r="AN328" s="5" t="s">
        <v>362</v>
      </c>
      <c r="AO328" s="5" t="s">
        <v>362</v>
      </c>
      <c r="AP328" s="44">
        <f t="shared" si="101"/>
        <v>1.100615299052911</v>
      </c>
      <c r="AQ328" s="45">
        <v>1441</v>
      </c>
      <c r="AR328" s="35">
        <f t="shared" si="93"/>
        <v>393</v>
      </c>
      <c r="AS328" s="35">
        <f t="shared" si="94"/>
        <v>432.5</v>
      </c>
      <c r="AT328" s="35">
        <f t="shared" si="95"/>
        <v>39.5</v>
      </c>
      <c r="AU328" s="35">
        <v>145.80000000000001</v>
      </c>
      <c r="AV328" s="35">
        <v>150</v>
      </c>
      <c r="AW328" s="35">
        <f t="shared" si="96"/>
        <v>136.69999999999999</v>
      </c>
      <c r="AX328" s="35"/>
      <c r="AY328" s="35">
        <f t="shared" si="97"/>
        <v>136.69999999999999</v>
      </c>
      <c r="AZ328" s="35">
        <v>0</v>
      </c>
      <c r="BA328" s="35">
        <f t="shared" si="98"/>
        <v>136.69999999999999</v>
      </c>
      <c r="BB328" s="35">
        <f>MIN(BA328,65.5)</f>
        <v>65.5</v>
      </c>
      <c r="BC328" s="35">
        <f t="shared" si="99"/>
        <v>71.2</v>
      </c>
      <c r="BD328" s="35">
        <v>77</v>
      </c>
      <c r="BE328" s="35">
        <f t="shared" si="100"/>
        <v>-5.8</v>
      </c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9"/>
      <c r="BU328" s="9"/>
      <c r="BV328" s="9"/>
      <c r="BW328" s="9"/>
      <c r="BX328" s="9"/>
      <c r="BY328" s="9"/>
      <c r="BZ328" s="9"/>
      <c r="CA328" s="9"/>
      <c r="CB328" s="9"/>
      <c r="CC328" s="9"/>
      <c r="CD328" s="9"/>
      <c r="CE328" s="9"/>
      <c r="CF328" s="9"/>
      <c r="CG328" s="9"/>
      <c r="CH328" s="9"/>
      <c r="CI328" s="9"/>
      <c r="CJ328" s="9"/>
      <c r="CK328" s="9"/>
      <c r="CL328" s="9"/>
      <c r="CM328" s="9"/>
      <c r="CN328" s="9"/>
      <c r="CO328" s="9"/>
      <c r="CP328" s="9"/>
      <c r="CQ328" s="10"/>
      <c r="CR328" s="9"/>
      <c r="CS328" s="9"/>
      <c r="CT328" s="9"/>
      <c r="CU328" s="9"/>
      <c r="CV328" s="9"/>
      <c r="CW328" s="9"/>
      <c r="CX328" s="9"/>
      <c r="CY328" s="9"/>
      <c r="CZ328" s="9"/>
      <c r="DA328" s="9"/>
      <c r="DB328" s="9"/>
      <c r="DC328" s="9"/>
      <c r="DD328" s="9"/>
      <c r="DE328" s="9"/>
      <c r="DF328" s="9"/>
      <c r="DG328" s="9"/>
      <c r="DH328" s="9"/>
      <c r="DI328" s="9"/>
      <c r="DJ328" s="9"/>
      <c r="DK328" s="9"/>
      <c r="DL328" s="9"/>
      <c r="DM328" s="9"/>
      <c r="DN328" s="9"/>
      <c r="DO328" s="9"/>
      <c r="DP328" s="9"/>
      <c r="DQ328" s="9"/>
      <c r="DR328" s="9"/>
      <c r="DS328" s="10"/>
      <c r="DT328" s="9"/>
      <c r="DU328" s="9"/>
      <c r="DV328" s="9"/>
      <c r="DW328" s="9"/>
      <c r="DX328" s="9"/>
      <c r="DY328" s="9"/>
      <c r="DZ328" s="9"/>
      <c r="EA328" s="9"/>
      <c r="EB328" s="9"/>
      <c r="EC328" s="9"/>
      <c r="ED328" s="9"/>
      <c r="EE328" s="9"/>
      <c r="EF328" s="9"/>
      <c r="EG328" s="9"/>
      <c r="EH328" s="9"/>
      <c r="EI328" s="9"/>
      <c r="EJ328" s="9"/>
      <c r="EK328" s="9"/>
      <c r="EL328" s="9"/>
      <c r="EM328" s="9"/>
      <c r="EN328" s="9"/>
      <c r="EO328" s="9"/>
      <c r="EP328" s="9"/>
      <c r="EQ328" s="9"/>
      <c r="ER328" s="9"/>
      <c r="ES328" s="9"/>
      <c r="ET328" s="9"/>
      <c r="EU328" s="10"/>
      <c r="EV328" s="9"/>
      <c r="EW328" s="9"/>
      <c r="EX328" s="9"/>
      <c r="EY328" s="9"/>
      <c r="EZ328" s="9"/>
      <c r="FA328" s="9"/>
      <c r="FB328" s="9"/>
      <c r="FC328" s="9"/>
      <c r="FD328" s="9"/>
      <c r="FE328" s="9"/>
      <c r="FF328" s="9"/>
      <c r="FG328" s="9"/>
      <c r="FH328" s="9"/>
      <c r="FI328" s="9"/>
      <c r="FJ328" s="9"/>
      <c r="FK328" s="9"/>
      <c r="FL328" s="9"/>
      <c r="FM328" s="9"/>
      <c r="FN328" s="9"/>
      <c r="FO328" s="9"/>
      <c r="FP328" s="9"/>
      <c r="FQ328" s="9"/>
      <c r="FR328" s="9"/>
      <c r="FS328" s="9"/>
      <c r="FT328" s="9"/>
      <c r="FU328" s="9"/>
      <c r="FV328" s="9"/>
      <c r="FW328" s="10"/>
      <c r="FX328" s="9"/>
      <c r="FY328" s="9"/>
      <c r="FZ328" s="9"/>
      <c r="GA328" s="9"/>
      <c r="GB328" s="9"/>
      <c r="GC328" s="9"/>
      <c r="GD328" s="9"/>
      <c r="GE328" s="9"/>
      <c r="GF328" s="9"/>
      <c r="GG328" s="9"/>
      <c r="GH328" s="9"/>
      <c r="GI328" s="9"/>
      <c r="GJ328" s="9"/>
      <c r="GK328" s="9"/>
      <c r="GL328" s="9"/>
      <c r="GM328" s="9"/>
      <c r="GN328" s="9"/>
      <c r="GO328" s="9"/>
      <c r="GP328" s="9"/>
      <c r="GQ328" s="9"/>
      <c r="GR328" s="9"/>
      <c r="GS328" s="9"/>
      <c r="GT328" s="9"/>
      <c r="GU328" s="9"/>
      <c r="GV328" s="9"/>
      <c r="GW328" s="9"/>
      <c r="GX328" s="9"/>
      <c r="GY328" s="10"/>
      <c r="GZ328" s="9"/>
      <c r="HA328" s="9"/>
    </row>
    <row r="329" spans="1:209" s="2" customFormat="1" ht="17" customHeight="1">
      <c r="A329" s="14" t="s">
        <v>321</v>
      </c>
      <c r="B329" s="35">
        <v>241</v>
      </c>
      <c r="C329" s="35">
        <v>253.8</v>
      </c>
      <c r="D329" s="4">
        <f t="shared" si="87"/>
        <v>1.0531120331950208</v>
      </c>
      <c r="E329" s="11">
        <v>10</v>
      </c>
      <c r="F329" s="5" t="s">
        <v>362</v>
      </c>
      <c r="G329" s="5" t="s">
        <v>362</v>
      </c>
      <c r="H329" s="5" t="s">
        <v>362</v>
      </c>
      <c r="I329" s="5" t="s">
        <v>362</v>
      </c>
      <c r="J329" s="5" t="s">
        <v>362</v>
      </c>
      <c r="K329" s="5" t="s">
        <v>362</v>
      </c>
      <c r="L329" s="5" t="s">
        <v>362</v>
      </c>
      <c r="M329" s="5" t="s">
        <v>362</v>
      </c>
      <c r="N329" s="35">
        <v>136.80000000000001</v>
      </c>
      <c r="O329" s="35">
        <v>76.099999999999994</v>
      </c>
      <c r="P329" s="4">
        <f t="shared" si="88"/>
        <v>0.55628654970760227</v>
      </c>
      <c r="Q329" s="11">
        <v>20</v>
      </c>
      <c r="R329" s="35">
        <v>10</v>
      </c>
      <c r="S329" s="35">
        <v>10.5</v>
      </c>
      <c r="T329" s="4">
        <f t="shared" si="89"/>
        <v>1.05</v>
      </c>
      <c r="U329" s="11">
        <v>30</v>
      </c>
      <c r="V329" s="35">
        <v>3</v>
      </c>
      <c r="W329" s="35">
        <v>3.4</v>
      </c>
      <c r="X329" s="4">
        <f t="shared" si="90"/>
        <v>1.1333333333333333</v>
      </c>
      <c r="Y329" s="11">
        <v>20</v>
      </c>
      <c r="Z329" s="35">
        <v>494</v>
      </c>
      <c r="AA329" s="35">
        <v>505</v>
      </c>
      <c r="AB329" s="4">
        <f t="shared" si="91"/>
        <v>1.0222672064777327</v>
      </c>
      <c r="AC329" s="11">
        <v>5</v>
      </c>
      <c r="AD329" s="11">
        <v>260</v>
      </c>
      <c r="AE329" s="11">
        <v>338</v>
      </c>
      <c r="AF329" s="4">
        <f t="shared" si="92"/>
        <v>1.21</v>
      </c>
      <c r="AG329" s="11">
        <v>20</v>
      </c>
      <c r="AH329" s="5" t="s">
        <v>362</v>
      </c>
      <c r="AI329" s="5" t="s">
        <v>362</v>
      </c>
      <c r="AJ329" s="5" t="s">
        <v>362</v>
      </c>
      <c r="AK329" s="5" t="s">
        <v>362</v>
      </c>
      <c r="AL329" s="5" t="s">
        <v>362</v>
      </c>
      <c r="AM329" s="5" t="s">
        <v>362</v>
      </c>
      <c r="AN329" s="5" t="s">
        <v>362</v>
      </c>
      <c r="AO329" s="5" t="s">
        <v>362</v>
      </c>
      <c r="AP329" s="44">
        <f t="shared" si="101"/>
        <v>1.00128432404912</v>
      </c>
      <c r="AQ329" s="45">
        <v>1384</v>
      </c>
      <c r="AR329" s="35">
        <f t="shared" si="93"/>
        <v>377.45454545454544</v>
      </c>
      <c r="AS329" s="35">
        <f t="shared" si="94"/>
        <v>377.9</v>
      </c>
      <c r="AT329" s="35">
        <f t="shared" si="95"/>
        <v>0.44545454545453822</v>
      </c>
      <c r="AU329" s="35">
        <v>143.19999999999999</v>
      </c>
      <c r="AV329" s="35">
        <v>104.6</v>
      </c>
      <c r="AW329" s="35">
        <f t="shared" si="96"/>
        <v>130.1</v>
      </c>
      <c r="AX329" s="35"/>
      <c r="AY329" s="35">
        <f t="shared" si="97"/>
        <v>130.1</v>
      </c>
      <c r="AZ329" s="35">
        <v>0</v>
      </c>
      <c r="BA329" s="35">
        <f t="shared" si="98"/>
        <v>130.1</v>
      </c>
      <c r="BB329" s="35"/>
      <c r="BC329" s="35">
        <f t="shared" si="99"/>
        <v>130.1</v>
      </c>
      <c r="BD329" s="35">
        <v>129.69999999999999</v>
      </c>
      <c r="BE329" s="35">
        <f t="shared" si="100"/>
        <v>0.4</v>
      </c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9"/>
      <c r="BU329" s="9"/>
      <c r="BV329" s="9"/>
      <c r="BW329" s="9"/>
      <c r="BX329" s="9"/>
      <c r="BY329" s="9"/>
      <c r="BZ329" s="9"/>
      <c r="CA329" s="9"/>
      <c r="CB329" s="9"/>
      <c r="CC329" s="9"/>
      <c r="CD329" s="9"/>
      <c r="CE329" s="9"/>
      <c r="CF329" s="9"/>
      <c r="CG329" s="9"/>
      <c r="CH329" s="9"/>
      <c r="CI329" s="9"/>
      <c r="CJ329" s="9"/>
      <c r="CK329" s="9"/>
      <c r="CL329" s="9"/>
      <c r="CM329" s="9"/>
      <c r="CN329" s="9"/>
      <c r="CO329" s="9"/>
      <c r="CP329" s="9"/>
      <c r="CQ329" s="10"/>
      <c r="CR329" s="9"/>
      <c r="CS329" s="9"/>
      <c r="CT329" s="9"/>
      <c r="CU329" s="9"/>
      <c r="CV329" s="9"/>
      <c r="CW329" s="9"/>
      <c r="CX329" s="9"/>
      <c r="CY329" s="9"/>
      <c r="CZ329" s="9"/>
      <c r="DA329" s="9"/>
      <c r="DB329" s="9"/>
      <c r="DC329" s="9"/>
      <c r="DD329" s="9"/>
      <c r="DE329" s="9"/>
      <c r="DF329" s="9"/>
      <c r="DG329" s="9"/>
      <c r="DH329" s="9"/>
      <c r="DI329" s="9"/>
      <c r="DJ329" s="9"/>
      <c r="DK329" s="9"/>
      <c r="DL329" s="9"/>
      <c r="DM329" s="9"/>
      <c r="DN329" s="9"/>
      <c r="DO329" s="9"/>
      <c r="DP329" s="9"/>
      <c r="DQ329" s="9"/>
      <c r="DR329" s="9"/>
      <c r="DS329" s="10"/>
      <c r="DT329" s="9"/>
      <c r="DU329" s="9"/>
      <c r="DV329" s="9"/>
      <c r="DW329" s="9"/>
      <c r="DX329" s="9"/>
      <c r="DY329" s="9"/>
      <c r="DZ329" s="9"/>
      <c r="EA329" s="9"/>
      <c r="EB329" s="9"/>
      <c r="EC329" s="9"/>
      <c r="ED329" s="9"/>
      <c r="EE329" s="9"/>
      <c r="EF329" s="9"/>
      <c r="EG329" s="9"/>
      <c r="EH329" s="9"/>
      <c r="EI329" s="9"/>
      <c r="EJ329" s="9"/>
      <c r="EK329" s="9"/>
      <c r="EL329" s="9"/>
      <c r="EM329" s="9"/>
      <c r="EN329" s="9"/>
      <c r="EO329" s="9"/>
      <c r="EP329" s="9"/>
      <c r="EQ329" s="9"/>
      <c r="ER329" s="9"/>
      <c r="ES329" s="9"/>
      <c r="ET329" s="9"/>
      <c r="EU329" s="10"/>
      <c r="EV329" s="9"/>
      <c r="EW329" s="9"/>
      <c r="EX329" s="9"/>
      <c r="EY329" s="9"/>
      <c r="EZ329" s="9"/>
      <c r="FA329" s="9"/>
      <c r="FB329" s="9"/>
      <c r="FC329" s="9"/>
      <c r="FD329" s="9"/>
      <c r="FE329" s="9"/>
      <c r="FF329" s="9"/>
      <c r="FG329" s="9"/>
      <c r="FH329" s="9"/>
      <c r="FI329" s="9"/>
      <c r="FJ329" s="9"/>
      <c r="FK329" s="9"/>
      <c r="FL329" s="9"/>
      <c r="FM329" s="9"/>
      <c r="FN329" s="9"/>
      <c r="FO329" s="9"/>
      <c r="FP329" s="9"/>
      <c r="FQ329" s="9"/>
      <c r="FR329" s="9"/>
      <c r="FS329" s="9"/>
      <c r="FT329" s="9"/>
      <c r="FU329" s="9"/>
      <c r="FV329" s="9"/>
      <c r="FW329" s="10"/>
      <c r="FX329" s="9"/>
      <c r="FY329" s="9"/>
      <c r="FZ329" s="9"/>
      <c r="GA329" s="9"/>
      <c r="GB329" s="9"/>
      <c r="GC329" s="9"/>
      <c r="GD329" s="9"/>
      <c r="GE329" s="9"/>
      <c r="GF329" s="9"/>
      <c r="GG329" s="9"/>
      <c r="GH329" s="9"/>
      <c r="GI329" s="9"/>
      <c r="GJ329" s="9"/>
      <c r="GK329" s="9"/>
      <c r="GL329" s="9"/>
      <c r="GM329" s="9"/>
      <c r="GN329" s="9"/>
      <c r="GO329" s="9"/>
      <c r="GP329" s="9"/>
      <c r="GQ329" s="9"/>
      <c r="GR329" s="9"/>
      <c r="GS329" s="9"/>
      <c r="GT329" s="9"/>
      <c r="GU329" s="9"/>
      <c r="GV329" s="9"/>
      <c r="GW329" s="9"/>
      <c r="GX329" s="9"/>
      <c r="GY329" s="10"/>
      <c r="GZ329" s="9"/>
      <c r="HA329" s="9"/>
    </row>
    <row r="330" spans="1:209" s="2" customFormat="1" ht="17" customHeight="1">
      <c r="A330" s="14" t="s">
        <v>322</v>
      </c>
      <c r="B330" s="35">
        <v>116</v>
      </c>
      <c r="C330" s="35">
        <v>129</v>
      </c>
      <c r="D330" s="4">
        <f t="shared" si="87"/>
        <v>1.1120689655172413</v>
      </c>
      <c r="E330" s="11">
        <v>10</v>
      </c>
      <c r="F330" s="5" t="s">
        <v>362</v>
      </c>
      <c r="G330" s="5" t="s">
        <v>362</v>
      </c>
      <c r="H330" s="5" t="s">
        <v>362</v>
      </c>
      <c r="I330" s="5" t="s">
        <v>362</v>
      </c>
      <c r="J330" s="5" t="s">
        <v>362</v>
      </c>
      <c r="K330" s="5" t="s">
        <v>362</v>
      </c>
      <c r="L330" s="5" t="s">
        <v>362</v>
      </c>
      <c r="M330" s="5" t="s">
        <v>362</v>
      </c>
      <c r="N330" s="35">
        <v>13.3</v>
      </c>
      <c r="O330" s="35">
        <v>102</v>
      </c>
      <c r="P330" s="4">
        <f t="shared" si="88"/>
        <v>1.3</v>
      </c>
      <c r="Q330" s="11">
        <v>20</v>
      </c>
      <c r="R330" s="35">
        <v>6</v>
      </c>
      <c r="S330" s="35">
        <v>7.3</v>
      </c>
      <c r="T330" s="4">
        <f t="shared" si="89"/>
        <v>1.2016666666666667</v>
      </c>
      <c r="U330" s="11">
        <v>25</v>
      </c>
      <c r="V330" s="35">
        <v>3</v>
      </c>
      <c r="W330" s="35">
        <v>3.3</v>
      </c>
      <c r="X330" s="4">
        <f t="shared" si="90"/>
        <v>1.0999999999999999</v>
      </c>
      <c r="Y330" s="11">
        <v>25</v>
      </c>
      <c r="Z330" s="35">
        <v>452</v>
      </c>
      <c r="AA330" s="35">
        <v>369</v>
      </c>
      <c r="AB330" s="4">
        <f t="shared" si="91"/>
        <v>0.8163716814159292</v>
      </c>
      <c r="AC330" s="11">
        <v>5</v>
      </c>
      <c r="AD330" s="11">
        <v>100</v>
      </c>
      <c r="AE330" s="11">
        <v>111</v>
      </c>
      <c r="AF330" s="4">
        <f t="shared" si="92"/>
        <v>1.1100000000000001</v>
      </c>
      <c r="AG330" s="11">
        <v>20</v>
      </c>
      <c r="AH330" s="5" t="s">
        <v>362</v>
      </c>
      <c r="AI330" s="5" t="s">
        <v>362</v>
      </c>
      <c r="AJ330" s="5" t="s">
        <v>362</v>
      </c>
      <c r="AK330" s="5" t="s">
        <v>362</v>
      </c>
      <c r="AL330" s="5" t="s">
        <v>362</v>
      </c>
      <c r="AM330" s="5" t="s">
        <v>362</v>
      </c>
      <c r="AN330" s="5" t="s">
        <v>362</v>
      </c>
      <c r="AO330" s="5" t="s">
        <v>362</v>
      </c>
      <c r="AP330" s="44">
        <f t="shared" si="101"/>
        <v>1.1518496640849403</v>
      </c>
      <c r="AQ330" s="45">
        <v>1234</v>
      </c>
      <c r="AR330" s="35">
        <f t="shared" si="93"/>
        <v>336.54545454545456</v>
      </c>
      <c r="AS330" s="35">
        <f t="shared" si="94"/>
        <v>387.6</v>
      </c>
      <c r="AT330" s="35">
        <f t="shared" si="95"/>
        <v>51.054545454545462</v>
      </c>
      <c r="AU330" s="35">
        <v>125.2</v>
      </c>
      <c r="AV330" s="35">
        <v>106.1</v>
      </c>
      <c r="AW330" s="35">
        <f t="shared" si="96"/>
        <v>156.30000000000001</v>
      </c>
      <c r="AX330" s="35"/>
      <c r="AY330" s="35">
        <f t="shared" si="97"/>
        <v>156.30000000000001</v>
      </c>
      <c r="AZ330" s="35">
        <v>0</v>
      </c>
      <c r="BA330" s="35">
        <f t="shared" si="98"/>
        <v>156.30000000000001</v>
      </c>
      <c r="BB330" s="35">
        <f>MIN(BA330,16)</f>
        <v>16</v>
      </c>
      <c r="BC330" s="35">
        <f t="shared" si="99"/>
        <v>140.30000000000001</v>
      </c>
      <c r="BD330" s="35">
        <v>146</v>
      </c>
      <c r="BE330" s="35">
        <f t="shared" si="100"/>
        <v>-5.7</v>
      </c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9"/>
      <c r="BU330" s="9"/>
      <c r="BV330" s="9"/>
      <c r="BW330" s="9"/>
      <c r="BX330" s="9"/>
      <c r="BY330" s="9"/>
      <c r="BZ330" s="9"/>
      <c r="CA330" s="9"/>
      <c r="CB330" s="9"/>
      <c r="CC330" s="9"/>
      <c r="CD330" s="9"/>
      <c r="CE330" s="9"/>
      <c r="CF330" s="9"/>
      <c r="CG330" s="9"/>
      <c r="CH330" s="9"/>
      <c r="CI330" s="9"/>
      <c r="CJ330" s="9"/>
      <c r="CK330" s="9"/>
      <c r="CL330" s="9"/>
      <c r="CM330" s="9"/>
      <c r="CN330" s="9"/>
      <c r="CO330" s="9"/>
      <c r="CP330" s="9"/>
      <c r="CQ330" s="10"/>
      <c r="CR330" s="9"/>
      <c r="CS330" s="9"/>
      <c r="CT330" s="9"/>
      <c r="CU330" s="9"/>
      <c r="CV330" s="9"/>
      <c r="CW330" s="9"/>
      <c r="CX330" s="9"/>
      <c r="CY330" s="9"/>
      <c r="CZ330" s="9"/>
      <c r="DA330" s="9"/>
      <c r="DB330" s="9"/>
      <c r="DC330" s="9"/>
      <c r="DD330" s="9"/>
      <c r="DE330" s="9"/>
      <c r="DF330" s="9"/>
      <c r="DG330" s="9"/>
      <c r="DH330" s="9"/>
      <c r="DI330" s="9"/>
      <c r="DJ330" s="9"/>
      <c r="DK330" s="9"/>
      <c r="DL330" s="9"/>
      <c r="DM330" s="9"/>
      <c r="DN330" s="9"/>
      <c r="DO330" s="9"/>
      <c r="DP330" s="9"/>
      <c r="DQ330" s="9"/>
      <c r="DR330" s="9"/>
      <c r="DS330" s="10"/>
      <c r="DT330" s="9"/>
      <c r="DU330" s="9"/>
      <c r="DV330" s="9"/>
      <c r="DW330" s="9"/>
      <c r="DX330" s="9"/>
      <c r="DY330" s="9"/>
      <c r="DZ330" s="9"/>
      <c r="EA330" s="9"/>
      <c r="EB330" s="9"/>
      <c r="EC330" s="9"/>
      <c r="ED330" s="9"/>
      <c r="EE330" s="9"/>
      <c r="EF330" s="9"/>
      <c r="EG330" s="9"/>
      <c r="EH330" s="9"/>
      <c r="EI330" s="9"/>
      <c r="EJ330" s="9"/>
      <c r="EK330" s="9"/>
      <c r="EL330" s="9"/>
      <c r="EM330" s="9"/>
      <c r="EN330" s="9"/>
      <c r="EO330" s="9"/>
      <c r="EP330" s="9"/>
      <c r="EQ330" s="9"/>
      <c r="ER330" s="9"/>
      <c r="ES330" s="9"/>
      <c r="ET330" s="9"/>
      <c r="EU330" s="10"/>
      <c r="EV330" s="9"/>
      <c r="EW330" s="9"/>
      <c r="EX330" s="9"/>
      <c r="EY330" s="9"/>
      <c r="EZ330" s="9"/>
      <c r="FA330" s="9"/>
      <c r="FB330" s="9"/>
      <c r="FC330" s="9"/>
      <c r="FD330" s="9"/>
      <c r="FE330" s="9"/>
      <c r="FF330" s="9"/>
      <c r="FG330" s="9"/>
      <c r="FH330" s="9"/>
      <c r="FI330" s="9"/>
      <c r="FJ330" s="9"/>
      <c r="FK330" s="9"/>
      <c r="FL330" s="9"/>
      <c r="FM330" s="9"/>
      <c r="FN330" s="9"/>
      <c r="FO330" s="9"/>
      <c r="FP330" s="9"/>
      <c r="FQ330" s="9"/>
      <c r="FR330" s="9"/>
      <c r="FS330" s="9"/>
      <c r="FT330" s="9"/>
      <c r="FU330" s="9"/>
      <c r="FV330" s="9"/>
      <c r="FW330" s="10"/>
      <c r="FX330" s="9"/>
      <c r="FY330" s="9"/>
      <c r="FZ330" s="9"/>
      <c r="GA330" s="9"/>
      <c r="GB330" s="9"/>
      <c r="GC330" s="9"/>
      <c r="GD330" s="9"/>
      <c r="GE330" s="9"/>
      <c r="GF330" s="9"/>
      <c r="GG330" s="9"/>
      <c r="GH330" s="9"/>
      <c r="GI330" s="9"/>
      <c r="GJ330" s="9"/>
      <c r="GK330" s="9"/>
      <c r="GL330" s="9"/>
      <c r="GM330" s="9"/>
      <c r="GN330" s="9"/>
      <c r="GO330" s="9"/>
      <c r="GP330" s="9"/>
      <c r="GQ330" s="9"/>
      <c r="GR330" s="9"/>
      <c r="GS330" s="9"/>
      <c r="GT330" s="9"/>
      <c r="GU330" s="9"/>
      <c r="GV330" s="9"/>
      <c r="GW330" s="9"/>
      <c r="GX330" s="9"/>
      <c r="GY330" s="10"/>
      <c r="GZ330" s="9"/>
      <c r="HA330" s="9"/>
    </row>
    <row r="331" spans="1:209" s="2" customFormat="1" ht="17" customHeight="1">
      <c r="A331" s="14" t="s">
        <v>323</v>
      </c>
      <c r="B331" s="35">
        <v>219</v>
      </c>
      <c r="C331" s="35">
        <v>230</v>
      </c>
      <c r="D331" s="4">
        <f t="shared" si="87"/>
        <v>1.0502283105022832</v>
      </c>
      <c r="E331" s="11">
        <v>10</v>
      </c>
      <c r="F331" s="5" t="s">
        <v>362</v>
      </c>
      <c r="G331" s="5" t="s">
        <v>362</v>
      </c>
      <c r="H331" s="5" t="s">
        <v>362</v>
      </c>
      <c r="I331" s="5" t="s">
        <v>362</v>
      </c>
      <c r="J331" s="5" t="s">
        <v>362</v>
      </c>
      <c r="K331" s="5" t="s">
        <v>362</v>
      </c>
      <c r="L331" s="5" t="s">
        <v>362</v>
      </c>
      <c r="M331" s="5" t="s">
        <v>362</v>
      </c>
      <c r="N331" s="35">
        <v>324</v>
      </c>
      <c r="O331" s="35">
        <v>181.8</v>
      </c>
      <c r="P331" s="4">
        <f t="shared" si="88"/>
        <v>0.56111111111111112</v>
      </c>
      <c r="Q331" s="11">
        <v>20</v>
      </c>
      <c r="R331" s="35">
        <v>22</v>
      </c>
      <c r="S331" s="35">
        <v>23.4</v>
      </c>
      <c r="T331" s="4">
        <f t="shared" si="89"/>
        <v>1.0636363636363635</v>
      </c>
      <c r="U331" s="11">
        <v>20</v>
      </c>
      <c r="V331" s="35">
        <v>60</v>
      </c>
      <c r="W331" s="35">
        <v>63.8</v>
      </c>
      <c r="X331" s="4">
        <f t="shared" si="90"/>
        <v>1.0633333333333332</v>
      </c>
      <c r="Y331" s="11">
        <v>30</v>
      </c>
      <c r="Z331" s="35">
        <v>2503</v>
      </c>
      <c r="AA331" s="35">
        <v>2084</v>
      </c>
      <c r="AB331" s="4">
        <f t="shared" si="91"/>
        <v>0.83260087894526569</v>
      </c>
      <c r="AC331" s="11">
        <v>5</v>
      </c>
      <c r="AD331" s="11">
        <v>3134</v>
      </c>
      <c r="AE331" s="11">
        <v>2395</v>
      </c>
      <c r="AF331" s="4">
        <f t="shared" si="92"/>
        <v>0.76419910657306955</v>
      </c>
      <c r="AG331" s="11">
        <v>20</v>
      </c>
      <c r="AH331" s="5" t="s">
        <v>362</v>
      </c>
      <c r="AI331" s="5" t="s">
        <v>362</v>
      </c>
      <c r="AJ331" s="5" t="s">
        <v>362</v>
      </c>
      <c r="AK331" s="5" t="s">
        <v>362</v>
      </c>
      <c r="AL331" s="5" t="s">
        <v>362</v>
      </c>
      <c r="AM331" s="5" t="s">
        <v>362</v>
      </c>
      <c r="AN331" s="5" t="s">
        <v>362</v>
      </c>
      <c r="AO331" s="5" t="s">
        <v>362</v>
      </c>
      <c r="AP331" s="44">
        <f t="shared" si="101"/>
        <v>0.89851637263009554</v>
      </c>
      <c r="AQ331" s="45">
        <v>1627</v>
      </c>
      <c r="AR331" s="35">
        <f t="shared" si="93"/>
        <v>443.72727272727275</v>
      </c>
      <c r="AS331" s="35">
        <f t="shared" si="94"/>
        <v>398.7</v>
      </c>
      <c r="AT331" s="35">
        <f t="shared" si="95"/>
        <v>-45.027272727272759</v>
      </c>
      <c r="AU331" s="35">
        <v>131.69999999999999</v>
      </c>
      <c r="AV331" s="35">
        <v>120</v>
      </c>
      <c r="AW331" s="35">
        <f t="shared" si="96"/>
        <v>147</v>
      </c>
      <c r="AX331" s="35"/>
      <c r="AY331" s="35">
        <f t="shared" si="97"/>
        <v>147</v>
      </c>
      <c r="AZ331" s="35">
        <v>0</v>
      </c>
      <c r="BA331" s="35">
        <f t="shared" si="98"/>
        <v>147</v>
      </c>
      <c r="BB331" s="35">
        <f>MIN(BA331,74)</f>
        <v>74</v>
      </c>
      <c r="BC331" s="35">
        <f t="shared" si="99"/>
        <v>73</v>
      </c>
      <c r="BD331" s="35">
        <v>74.5</v>
      </c>
      <c r="BE331" s="35">
        <f t="shared" si="100"/>
        <v>-1.5</v>
      </c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9"/>
      <c r="BU331" s="9"/>
      <c r="BV331" s="9"/>
      <c r="BW331" s="9"/>
      <c r="BX331" s="9"/>
      <c r="BY331" s="9"/>
      <c r="BZ331" s="9"/>
      <c r="CA331" s="9"/>
      <c r="CB331" s="9"/>
      <c r="CC331" s="9"/>
      <c r="CD331" s="9"/>
      <c r="CE331" s="9"/>
      <c r="CF331" s="9"/>
      <c r="CG331" s="9"/>
      <c r="CH331" s="9"/>
      <c r="CI331" s="9"/>
      <c r="CJ331" s="9"/>
      <c r="CK331" s="9"/>
      <c r="CL331" s="9"/>
      <c r="CM331" s="9"/>
      <c r="CN331" s="9"/>
      <c r="CO331" s="9"/>
      <c r="CP331" s="9"/>
      <c r="CQ331" s="10"/>
      <c r="CR331" s="9"/>
      <c r="CS331" s="9"/>
      <c r="CT331" s="9"/>
      <c r="CU331" s="9"/>
      <c r="CV331" s="9"/>
      <c r="CW331" s="9"/>
      <c r="CX331" s="9"/>
      <c r="CY331" s="9"/>
      <c r="CZ331" s="9"/>
      <c r="DA331" s="9"/>
      <c r="DB331" s="9"/>
      <c r="DC331" s="9"/>
      <c r="DD331" s="9"/>
      <c r="DE331" s="9"/>
      <c r="DF331" s="9"/>
      <c r="DG331" s="9"/>
      <c r="DH331" s="9"/>
      <c r="DI331" s="9"/>
      <c r="DJ331" s="9"/>
      <c r="DK331" s="9"/>
      <c r="DL331" s="9"/>
      <c r="DM331" s="9"/>
      <c r="DN331" s="9"/>
      <c r="DO331" s="9"/>
      <c r="DP331" s="9"/>
      <c r="DQ331" s="9"/>
      <c r="DR331" s="9"/>
      <c r="DS331" s="10"/>
      <c r="DT331" s="9"/>
      <c r="DU331" s="9"/>
      <c r="DV331" s="9"/>
      <c r="DW331" s="9"/>
      <c r="DX331" s="9"/>
      <c r="DY331" s="9"/>
      <c r="DZ331" s="9"/>
      <c r="EA331" s="9"/>
      <c r="EB331" s="9"/>
      <c r="EC331" s="9"/>
      <c r="ED331" s="9"/>
      <c r="EE331" s="9"/>
      <c r="EF331" s="9"/>
      <c r="EG331" s="9"/>
      <c r="EH331" s="9"/>
      <c r="EI331" s="9"/>
      <c r="EJ331" s="9"/>
      <c r="EK331" s="9"/>
      <c r="EL331" s="9"/>
      <c r="EM331" s="9"/>
      <c r="EN331" s="9"/>
      <c r="EO331" s="9"/>
      <c r="EP331" s="9"/>
      <c r="EQ331" s="9"/>
      <c r="ER331" s="9"/>
      <c r="ES331" s="9"/>
      <c r="ET331" s="9"/>
      <c r="EU331" s="10"/>
      <c r="EV331" s="9"/>
      <c r="EW331" s="9"/>
      <c r="EX331" s="9"/>
      <c r="EY331" s="9"/>
      <c r="EZ331" s="9"/>
      <c r="FA331" s="9"/>
      <c r="FB331" s="9"/>
      <c r="FC331" s="9"/>
      <c r="FD331" s="9"/>
      <c r="FE331" s="9"/>
      <c r="FF331" s="9"/>
      <c r="FG331" s="9"/>
      <c r="FH331" s="9"/>
      <c r="FI331" s="9"/>
      <c r="FJ331" s="9"/>
      <c r="FK331" s="9"/>
      <c r="FL331" s="9"/>
      <c r="FM331" s="9"/>
      <c r="FN331" s="9"/>
      <c r="FO331" s="9"/>
      <c r="FP331" s="9"/>
      <c r="FQ331" s="9"/>
      <c r="FR331" s="9"/>
      <c r="FS331" s="9"/>
      <c r="FT331" s="9"/>
      <c r="FU331" s="9"/>
      <c r="FV331" s="9"/>
      <c r="FW331" s="10"/>
      <c r="FX331" s="9"/>
      <c r="FY331" s="9"/>
      <c r="FZ331" s="9"/>
      <c r="GA331" s="9"/>
      <c r="GB331" s="9"/>
      <c r="GC331" s="9"/>
      <c r="GD331" s="9"/>
      <c r="GE331" s="9"/>
      <c r="GF331" s="9"/>
      <c r="GG331" s="9"/>
      <c r="GH331" s="9"/>
      <c r="GI331" s="9"/>
      <c r="GJ331" s="9"/>
      <c r="GK331" s="9"/>
      <c r="GL331" s="9"/>
      <c r="GM331" s="9"/>
      <c r="GN331" s="9"/>
      <c r="GO331" s="9"/>
      <c r="GP331" s="9"/>
      <c r="GQ331" s="9"/>
      <c r="GR331" s="9"/>
      <c r="GS331" s="9"/>
      <c r="GT331" s="9"/>
      <c r="GU331" s="9"/>
      <c r="GV331" s="9"/>
      <c r="GW331" s="9"/>
      <c r="GX331" s="9"/>
      <c r="GY331" s="10"/>
      <c r="GZ331" s="9"/>
      <c r="HA331" s="9"/>
    </row>
    <row r="332" spans="1:209" s="2" customFormat="1" ht="17" customHeight="1">
      <c r="A332" s="14" t="s">
        <v>324</v>
      </c>
      <c r="B332" s="35">
        <v>31961</v>
      </c>
      <c r="C332" s="35">
        <v>34202.800000000003</v>
      </c>
      <c r="D332" s="4">
        <f t="shared" si="87"/>
        <v>1.0701417352398237</v>
      </c>
      <c r="E332" s="11">
        <v>10</v>
      </c>
      <c r="F332" s="5" t="s">
        <v>362</v>
      </c>
      <c r="G332" s="5" t="s">
        <v>362</v>
      </c>
      <c r="H332" s="5" t="s">
        <v>362</v>
      </c>
      <c r="I332" s="5" t="s">
        <v>362</v>
      </c>
      <c r="J332" s="5" t="s">
        <v>362</v>
      </c>
      <c r="K332" s="5" t="s">
        <v>362</v>
      </c>
      <c r="L332" s="5" t="s">
        <v>362</v>
      </c>
      <c r="M332" s="5" t="s">
        <v>362</v>
      </c>
      <c r="N332" s="35">
        <v>1556.3</v>
      </c>
      <c r="O332" s="35">
        <v>2155</v>
      </c>
      <c r="P332" s="4">
        <f t="shared" si="88"/>
        <v>1.2184694467647625</v>
      </c>
      <c r="Q332" s="11">
        <v>20</v>
      </c>
      <c r="R332" s="35">
        <v>24</v>
      </c>
      <c r="S332" s="35">
        <v>37.6</v>
      </c>
      <c r="T332" s="4">
        <f t="shared" si="89"/>
        <v>1.2366666666666666</v>
      </c>
      <c r="U332" s="11">
        <v>20</v>
      </c>
      <c r="V332" s="35">
        <v>21</v>
      </c>
      <c r="W332" s="35">
        <v>22.5</v>
      </c>
      <c r="X332" s="4">
        <f t="shared" si="90"/>
        <v>1.0714285714285714</v>
      </c>
      <c r="Y332" s="11">
        <v>30</v>
      </c>
      <c r="Z332" s="35">
        <v>76201</v>
      </c>
      <c r="AA332" s="35">
        <v>62947</v>
      </c>
      <c r="AB332" s="4">
        <f t="shared" si="91"/>
        <v>0.82606527473392732</v>
      </c>
      <c r="AC332" s="11">
        <v>5</v>
      </c>
      <c r="AD332" s="11">
        <v>780</v>
      </c>
      <c r="AE332" s="11">
        <v>852</v>
      </c>
      <c r="AF332" s="4">
        <f t="shared" si="92"/>
        <v>1.0923076923076922</v>
      </c>
      <c r="AG332" s="11">
        <v>20</v>
      </c>
      <c r="AH332" s="5" t="s">
        <v>362</v>
      </c>
      <c r="AI332" s="5" t="s">
        <v>362</v>
      </c>
      <c r="AJ332" s="5" t="s">
        <v>362</v>
      </c>
      <c r="AK332" s="5" t="s">
        <v>362</v>
      </c>
      <c r="AL332" s="5" t="s">
        <v>362</v>
      </c>
      <c r="AM332" s="5" t="s">
        <v>362</v>
      </c>
      <c r="AN332" s="5" t="s">
        <v>362</v>
      </c>
      <c r="AO332" s="5" t="s">
        <v>362</v>
      </c>
      <c r="AP332" s="44">
        <f t="shared" si="101"/>
        <v>1.123080733178166</v>
      </c>
      <c r="AQ332" s="45">
        <v>3926</v>
      </c>
      <c r="AR332" s="35">
        <f t="shared" si="93"/>
        <v>1070.7272727272727</v>
      </c>
      <c r="AS332" s="35">
        <f t="shared" si="94"/>
        <v>1202.5</v>
      </c>
      <c r="AT332" s="35">
        <f t="shared" si="95"/>
        <v>131.77272727272725</v>
      </c>
      <c r="AU332" s="35">
        <v>412.1</v>
      </c>
      <c r="AV332" s="35">
        <v>414</v>
      </c>
      <c r="AW332" s="35">
        <f t="shared" si="96"/>
        <v>376.4</v>
      </c>
      <c r="AX332" s="35"/>
      <c r="AY332" s="35">
        <f t="shared" si="97"/>
        <v>376.4</v>
      </c>
      <c r="AZ332" s="35">
        <v>0</v>
      </c>
      <c r="BA332" s="35">
        <f t="shared" si="98"/>
        <v>376.4</v>
      </c>
      <c r="BB332" s="35"/>
      <c r="BC332" s="35">
        <f t="shared" si="99"/>
        <v>376.4</v>
      </c>
      <c r="BD332" s="35">
        <v>392.3</v>
      </c>
      <c r="BE332" s="35">
        <f t="shared" si="100"/>
        <v>-15.9</v>
      </c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9"/>
      <c r="BU332" s="9"/>
      <c r="BV332" s="9"/>
      <c r="BW332" s="9"/>
      <c r="BX332" s="9"/>
      <c r="BY332" s="9"/>
      <c r="BZ332" s="9"/>
      <c r="CA332" s="9"/>
      <c r="CB332" s="9"/>
      <c r="CC332" s="9"/>
      <c r="CD332" s="9"/>
      <c r="CE332" s="9"/>
      <c r="CF332" s="9"/>
      <c r="CG332" s="9"/>
      <c r="CH332" s="9"/>
      <c r="CI332" s="9"/>
      <c r="CJ332" s="9"/>
      <c r="CK332" s="9"/>
      <c r="CL332" s="9"/>
      <c r="CM332" s="9"/>
      <c r="CN332" s="9"/>
      <c r="CO332" s="9"/>
      <c r="CP332" s="9"/>
      <c r="CQ332" s="10"/>
      <c r="CR332" s="9"/>
      <c r="CS332" s="9"/>
      <c r="CT332" s="9"/>
      <c r="CU332" s="9"/>
      <c r="CV332" s="9"/>
      <c r="CW332" s="9"/>
      <c r="CX332" s="9"/>
      <c r="CY332" s="9"/>
      <c r="CZ332" s="9"/>
      <c r="DA332" s="9"/>
      <c r="DB332" s="9"/>
      <c r="DC332" s="9"/>
      <c r="DD332" s="9"/>
      <c r="DE332" s="9"/>
      <c r="DF332" s="9"/>
      <c r="DG332" s="9"/>
      <c r="DH332" s="9"/>
      <c r="DI332" s="9"/>
      <c r="DJ332" s="9"/>
      <c r="DK332" s="9"/>
      <c r="DL332" s="9"/>
      <c r="DM332" s="9"/>
      <c r="DN332" s="9"/>
      <c r="DO332" s="9"/>
      <c r="DP332" s="9"/>
      <c r="DQ332" s="9"/>
      <c r="DR332" s="9"/>
      <c r="DS332" s="10"/>
      <c r="DT332" s="9"/>
      <c r="DU332" s="9"/>
      <c r="DV332" s="9"/>
      <c r="DW332" s="9"/>
      <c r="DX332" s="9"/>
      <c r="DY332" s="9"/>
      <c r="DZ332" s="9"/>
      <c r="EA332" s="9"/>
      <c r="EB332" s="9"/>
      <c r="EC332" s="9"/>
      <c r="ED332" s="9"/>
      <c r="EE332" s="9"/>
      <c r="EF332" s="9"/>
      <c r="EG332" s="9"/>
      <c r="EH332" s="9"/>
      <c r="EI332" s="9"/>
      <c r="EJ332" s="9"/>
      <c r="EK332" s="9"/>
      <c r="EL332" s="9"/>
      <c r="EM332" s="9"/>
      <c r="EN332" s="9"/>
      <c r="EO332" s="9"/>
      <c r="EP332" s="9"/>
      <c r="EQ332" s="9"/>
      <c r="ER332" s="9"/>
      <c r="ES332" s="9"/>
      <c r="ET332" s="9"/>
      <c r="EU332" s="10"/>
      <c r="EV332" s="9"/>
      <c r="EW332" s="9"/>
      <c r="EX332" s="9"/>
      <c r="EY332" s="9"/>
      <c r="EZ332" s="9"/>
      <c r="FA332" s="9"/>
      <c r="FB332" s="9"/>
      <c r="FC332" s="9"/>
      <c r="FD332" s="9"/>
      <c r="FE332" s="9"/>
      <c r="FF332" s="9"/>
      <c r="FG332" s="9"/>
      <c r="FH332" s="9"/>
      <c r="FI332" s="9"/>
      <c r="FJ332" s="9"/>
      <c r="FK332" s="9"/>
      <c r="FL332" s="9"/>
      <c r="FM332" s="9"/>
      <c r="FN332" s="9"/>
      <c r="FO332" s="9"/>
      <c r="FP332" s="9"/>
      <c r="FQ332" s="9"/>
      <c r="FR332" s="9"/>
      <c r="FS332" s="9"/>
      <c r="FT332" s="9"/>
      <c r="FU332" s="9"/>
      <c r="FV332" s="9"/>
      <c r="FW332" s="10"/>
      <c r="FX332" s="9"/>
      <c r="FY332" s="9"/>
      <c r="FZ332" s="9"/>
      <c r="GA332" s="9"/>
      <c r="GB332" s="9"/>
      <c r="GC332" s="9"/>
      <c r="GD332" s="9"/>
      <c r="GE332" s="9"/>
      <c r="GF332" s="9"/>
      <c r="GG332" s="9"/>
      <c r="GH332" s="9"/>
      <c r="GI332" s="9"/>
      <c r="GJ332" s="9"/>
      <c r="GK332" s="9"/>
      <c r="GL332" s="9"/>
      <c r="GM332" s="9"/>
      <c r="GN332" s="9"/>
      <c r="GO332" s="9"/>
      <c r="GP332" s="9"/>
      <c r="GQ332" s="9"/>
      <c r="GR332" s="9"/>
      <c r="GS332" s="9"/>
      <c r="GT332" s="9"/>
      <c r="GU332" s="9"/>
      <c r="GV332" s="9"/>
      <c r="GW332" s="9"/>
      <c r="GX332" s="9"/>
      <c r="GY332" s="10"/>
      <c r="GZ332" s="9"/>
      <c r="HA332" s="9"/>
    </row>
    <row r="333" spans="1:209" s="2" customFormat="1" ht="17" customHeight="1">
      <c r="A333" s="18" t="s">
        <v>325</v>
      </c>
      <c r="B333" s="61"/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35"/>
      <c r="AA333" s="35"/>
      <c r="AB333" s="11"/>
      <c r="AC333" s="11"/>
      <c r="AD333" s="11"/>
      <c r="AE333" s="11"/>
      <c r="AF333" s="11"/>
      <c r="AG333" s="11"/>
      <c r="AH333" s="11"/>
      <c r="AI333" s="11"/>
      <c r="AJ333" s="11"/>
      <c r="AK333" s="11"/>
      <c r="AL333" s="11"/>
      <c r="AM333" s="11"/>
      <c r="AN333" s="11"/>
      <c r="AO333" s="11"/>
      <c r="AP333" s="11"/>
      <c r="AQ333" s="11"/>
      <c r="AR333" s="11"/>
      <c r="AS333" s="11"/>
      <c r="AT333" s="11"/>
      <c r="AU333" s="11"/>
      <c r="AV333" s="11"/>
      <c r="AW333" s="11"/>
      <c r="AX333" s="11"/>
      <c r="AY333" s="11"/>
      <c r="AZ333" s="11"/>
      <c r="BA333" s="11"/>
      <c r="BB333" s="11"/>
      <c r="BC333" s="35"/>
      <c r="BD333" s="35"/>
      <c r="BE333" s="35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9"/>
      <c r="BU333" s="9"/>
      <c r="BV333" s="9"/>
      <c r="BW333" s="9"/>
      <c r="BX333" s="9"/>
      <c r="BY333" s="9"/>
      <c r="BZ333" s="9"/>
      <c r="CA333" s="9"/>
      <c r="CB333" s="9"/>
      <c r="CC333" s="9"/>
      <c r="CD333" s="9"/>
      <c r="CE333" s="9"/>
      <c r="CF333" s="9"/>
      <c r="CG333" s="9"/>
      <c r="CH333" s="9"/>
      <c r="CI333" s="9"/>
      <c r="CJ333" s="9"/>
      <c r="CK333" s="9"/>
      <c r="CL333" s="9"/>
      <c r="CM333" s="9"/>
      <c r="CN333" s="9"/>
      <c r="CO333" s="9"/>
      <c r="CP333" s="9"/>
      <c r="CQ333" s="10"/>
      <c r="CR333" s="9"/>
      <c r="CS333" s="9"/>
      <c r="CT333" s="9"/>
      <c r="CU333" s="9"/>
      <c r="CV333" s="9"/>
      <c r="CW333" s="9"/>
      <c r="CX333" s="9"/>
      <c r="CY333" s="9"/>
      <c r="CZ333" s="9"/>
      <c r="DA333" s="9"/>
      <c r="DB333" s="9"/>
      <c r="DC333" s="9"/>
      <c r="DD333" s="9"/>
      <c r="DE333" s="9"/>
      <c r="DF333" s="9"/>
      <c r="DG333" s="9"/>
      <c r="DH333" s="9"/>
      <c r="DI333" s="9"/>
      <c r="DJ333" s="9"/>
      <c r="DK333" s="9"/>
      <c r="DL333" s="9"/>
      <c r="DM333" s="9"/>
      <c r="DN333" s="9"/>
      <c r="DO333" s="9"/>
      <c r="DP333" s="9"/>
      <c r="DQ333" s="9"/>
      <c r="DR333" s="9"/>
      <c r="DS333" s="10"/>
      <c r="DT333" s="9"/>
      <c r="DU333" s="9"/>
      <c r="DV333" s="9"/>
      <c r="DW333" s="9"/>
      <c r="DX333" s="9"/>
      <c r="DY333" s="9"/>
      <c r="DZ333" s="9"/>
      <c r="EA333" s="9"/>
      <c r="EB333" s="9"/>
      <c r="EC333" s="9"/>
      <c r="ED333" s="9"/>
      <c r="EE333" s="9"/>
      <c r="EF333" s="9"/>
      <c r="EG333" s="9"/>
      <c r="EH333" s="9"/>
      <c r="EI333" s="9"/>
      <c r="EJ333" s="9"/>
      <c r="EK333" s="9"/>
      <c r="EL333" s="9"/>
      <c r="EM333" s="9"/>
      <c r="EN333" s="9"/>
      <c r="EO333" s="9"/>
      <c r="EP333" s="9"/>
      <c r="EQ333" s="9"/>
      <c r="ER333" s="9"/>
      <c r="ES333" s="9"/>
      <c r="ET333" s="9"/>
      <c r="EU333" s="10"/>
      <c r="EV333" s="9"/>
      <c r="EW333" s="9"/>
      <c r="EX333" s="9"/>
      <c r="EY333" s="9"/>
      <c r="EZ333" s="9"/>
      <c r="FA333" s="9"/>
      <c r="FB333" s="9"/>
      <c r="FC333" s="9"/>
      <c r="FD333" s="9"/>
      <c r="FE333" s="9"/>
      <c r="FF333" s="9"/>
      <c r="FG333" s="9"/>
      <c r="FH333" s="9"/>
      <c r="FI333" s="9"/>
      <c r="FJ333" s="9"/>
      <c r="FK333" s="9"/>
      <c r="FL333" s="9"/>
      <c r="FM333" s="9"/>
      <c r="FN333" s="9"/>
      <c r="FO333" s="9"/>
      <c r="FP333" s="9"/>
      <c r="FQ333" s="9"/>
      <c r="FR333" s="9"/>
      <c r="FS333" s="9"/>
      <c r="FT333" s="9"/>
      <c r="FU333" s="9"/>
      <c r="FV333" s="9"/>
      <c r="FW333" s="10"/>
      <c r="FX333" s="9"/>
      <c r="FY333" s="9"/>
      <c r="FZ333" s="9"/>
      <c r="GA333" s="9"/>
      <c r="GB333" s="9"/>
      <c r="GC333" s="9"/>
      <c r="GD333" s="9"/>
      <c r="GE333" s="9"/>
      <c r="GF333" s="9"/>
      <c r="GG333" s="9"/>
      <c r="GH333" s="9"/>
      <c r="GI333" s="9"/>
      <c r="GJ333" s="9"/>
      <c r="GK333" s="9"/>
      <c r="GL333" s="9"/>
      <c r="GM333" s="9"/>
      <c r="GN333" s="9"/>
      <c r="GO333" s="9"/>
      <c r="GP333" s="9"/>
      <c r="GQ333" s="9"/>
      <c r="GR333" s="9"/>
      <c r="GS333" s="9"/>
      <c r="GT333" s="9"/>
      <c r="GU333" s="9"/>
      <c r="GV333" s="9"/>
      <c r="GW333" s="9"/>
      <c r="GX333" s="9"/>
      <c r="GY333" s="10"/>
      <c r="GZ333" s="9"/>
      <c r="HA333" s="9"/>
    </row>
    <row r="334" spans="1:209" s="2" customFormat="1" ht="17" customHeight="1">
      <c r="A334" s="46" t="s">
        <v>326</v>
      </c>
      <c r="B334" s="35">
        <v>84</v>
      </c>
      <c r="C334" s="35">
        <v>84.3</v>
      </c>
      <c r="D334" s="4">
        <f t="shared" si="87"/>
        <v>1.0035714285714286</v>
      </c>
      <c r="E334" s="11">
        <v>10</v>
      </c>
      <c r="F334" s="5" t="s">
        <v>362</v>
      </c>
      <c r="G334" s="5" t="s">
        <v>362</v>
      </c>
      <c r="H334" s="5" t="s">
        <v>362</v>
      </c>
      <c r="I334" s="5" t="s">
        <v>362</v>
      </c>
      <c r="J334" s="5" t="s">
        <v>362</v>
      </c>
      <c r="K334" s="5" t="s">
        <v>362</v>
      </c>
      <c r="L334" s="5" t="s">
        <v>362</v>
      </c>
      <c r="M334" s="5" t="s">
        <v>362</v>
      </c>
      <c r="N334" s="35">
        <v>323.60000000000002</v>
      </c>
      <c r="O334" s="35">
        <v>205.1</v>
      </c>
      <c r="P334" s="4">
        <f t="shared" si="88"/>
        <v>0.63380716934487014</v>
      </c>
      <c r="Q334" s="11">
        <v>20</v>
      </c>
      <c r="R334" s="35">
        <v>38</v>
      </c>
      <c r="S334" s="35">
        <v>38.299999999999997</v>
      </c>
      <c r="T334" s="4">
        <f t="shared" si="89"/>
        <v>1.0078947368421052</v>
      </c>
      <c r="U334" s="11">
        <v>25</v>
      </c>
      <c r="V334" s="35">
        <v>4</v>
      </c>
      <c r="W334" s="35">
        <v>4.0999999999999996</v>
      </c>
      <c r="X334" s="4">
        <f t="shared" si="90"/>
        <v>1.0249999999999999</v>
      </c>
      <c r="Y334" s="11">
        <v>25</v>
      </c>
      <c r="Z334" s="35">
        <v>1349</v>
      </c>
      <c r="AA334" s="35">
        <v>1160</v>
      </c>
      <c r="AB334" s="4">
        <f t="shared" si="91"/>
        <v>0.85989621942179395</v>
      </c>
      <c r="AC334" s="11">
        <v>5</v>
      </c>
      <c r="AD334" s="11">
        <v>300</v>
      </c>
      <c r="AE334" s="11">
        <v>300</v>
      </c>
      <c r="AF334" s="4">
        <f t="shared" si="92"/>
        <v>1</v>
      </c>
      <c r="AG334" s="11">
        <v>20</v>
      </c>
      <c r="AH334" s="5" t="s">
        <v>362</v>
      </c>
      <c r="AI334" s="5" t="s">
        <v>362</v>
      </c>
      <c r="AJ334" s="5" t="s">
        <v>362</v>
      </c>
      <c r="AK334" s="5" t="s">
        <v>362</v>
      </c>
      <c r="AL334" s="5" t="s">
        <v>362</v>
      </c>
      <c r="AM334" s="5" t="s">
        <v>362</v>
      </c>
      <c r="AN334" s="5" t="s">
        <v>362</v>
      </c>
      <c r="AO334" s="5" t="s">
        <v>362</v>
      </c>
      <c r="AP334" s="44">
        <f t="shared" si="101"/>
        <v>0.93174959229307885</v>
      </c>
      <c r="AQ334" s="45">
        <v>1200</v>
      </c>
      <c r="AR334" s="35">
        <f t="shared" si="93"/>
        <v>327.27272727272725</v>
      </c>
      <c r="AS334" s="35">
        <f t="shared" si="94"/>
        <v>304.89999999999998</v>
      </c>
      <c r="AT334" s="35">
        <f t="shared" si="95"/>
        <v>-22.372727272727275</v>
      </c>
      <c r="AU334" s="35">
        <v>103.1</v>
      </c>
      <c r="AV334" s="35">
        <v>91.9</v>
      </c>
      <c r="AW334" s="35">
        <f t="shared" si="96"/>
        <v>109.9</v>
      </c>
      <c r="AX334" s="35"/>
      <c r="AY334" s="35">
        <f t="shared" si="97"/>
        <v>109.9</v>
      </c>
      <c r="AZ334" s="35">
        <v>0</v>
      </c>
      <c r="BA334" s="35">
        <f t="shared" si="98"/>
        <v>109.9</v>
      </c>
      <c r="BB334" s="35">
        <f>MIN(BA334,5.6)</f>
        <v>5.6</v>
      </c>
      <c r="BC334" s="35">
        <f t="shared" si="99"/>
        <v>104.3</v>
      </c>
      <c r="BD334" s="35">
        <v>105.5</v>
      </c>
      <c r="BE334" s="35">
        <f t="shared" si="100"/>
        <v>-1.2</v>
      </c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9"/>
      <c r="BU334" s="9"/>
      <c r="BV334" s="9"/>
      <c r="BW334" s="9"/>
      <c r="BX334" s="9"/>
      <c r="BY334" s="9"/>
      <c r="BZ334" s="9"/>
      <c r="CA334" s="9"/>
      <c r="CB334" s="9"/>
      <c r="CC334" s="9"/>
      <c r="CD334" s="9"/>
      <c r="CE334" s="9"/>
      <c r="CF334" s="9"/>
      <c r="CG334" s="9"/>
      <c r="CH334" s="9"/>
      <c r="CI334" s="9"/>
      <c r="CJ334" s="9"/>
      <c r="CK334" s="9"/>
      <c r="CL334" s="9"/>
      <c r="CM334" s="9"/>
      <c r="CN334" s="9"/>
      <c r="CO334" s="9"/>
      <c r="CP334" s="9"/>
      <c r="CQ334" s="10"/>
      <c r="CR334" s="9"/>
      <c r="CS334" s="9"/>
      <c r="CT334" s="9"/>
      <c r="CU334" s="9"/>
      <c r="CV334" s="9"/>
      <c r="CW334" s="9"/>
      <c r="CX334" s="9"/>
      <c r="CY334" s="9"/>
      <c r="CZ334" s="9"/>
      <c r="DA334" s="9"/>
      <c r="DB334" s="9"/>
      <c r="DC334" s="9"/>
      <c r="DD334" s="9"/>
      <c r="DE334" s="9"/>
      <c r="DF334" s="9"/>
      <c r="DG334" s="9"/>
      <c r="DH334" s="9"/>
      <c r="DI334" s="9"/>
      <c r="DJ334" s="9"/>
      <c r="DK334" s="9"/>
      <c r="DL334" s="9"/>
      <c r="DM334" s="9"/>
      <c r="DN334" s="9"/>
      <c r="DO334" s="9"/>
      <c r="DP334" s="9"/>
      <c r="DQ334" s="9"/>
      <c r="DR334" s="9"/>
      <c r="DS334" s="10"/>
      <c r="DT334" s="9"/>
      <c r="DU334" s="9"/>
      <c r="DV334" s="9"/>
      <c r="DW334" s="9"/>
      <c r="DX334" s="9"/>
      <c r="DY334" s="9"/>
      <c r="DZ334" s="9"/>
      <c r="EA334" s="9"/>
      <c r="EB334" s="9"/>
      <c r="EC334" s="9"/>
      <c r="ED334" s="9"/>
      <c r="EE334" s="9"/>
      <c r="EF334" s="9"/>
      <c r="EG334" s="9"/>
      <c r="EH334" s="9"/>
      <c r="EI334" s="9"/>
      <c r="EJ334" s="9"/>
      <c r="EK334" s="9"/>
      <c r="EL334" s="9"/>
      <c r="EM334" s="9"/>
      <c r="EN334" s="9"/>
      <c r="EO334" s="9"/>
      <c r="EP334" s="9"/>
      <c r="EQ334" s="9"/>
      <c r="ER334" s="9"/>
      <c r="ES334" s="9"/>
      <c r="ET334" s="9"/>
      <c r="EU334" s="10"/>
      <c r="EV334" s="9"/>
      <c r="EW334" s="9"/>
      <c r="EX334" s="9"/>
      <c r="EY334" s="9"/>
      <c r="EZ334" s="9"/>
      <c r="FA334" s="9"/>
      <c r="FB334" s="9"/>
      <c r="FC334" s="9"/>
      <c r="FD334" s="9"/>
      <c r="FE334" s="9"/>
      <c r="FF334" s="9"/>
      <c r="FG334" s="9"/>
      <c r="FH334" s="9"/>
      <c r="FI334" s="9"/>
      <c r="FJ334" s="9"/>
      <c r="FK334" s="9"/>
      <c r="FL334" s="9"/>
      <c r="FM334" s="9"/>
      <c r="FN334" s="9"/>
      <c r="FO334" s="9"/>
      <c r="FP334" s="9"/>
      <c r="FQ334" s="9"/>
      <c r="FR334" s="9"/>
      <c r="FS334" s="9"/>
      <c r="FT334" s="9"/>
      <c r="FU334" s="9"/>
      <c r="FV334" s="9"/>
      <c r="FW334" s="10"/>
      <c r="FX334" s="9"/>
      <c r="FY334" s="9"/>
      <c r="FZ334" s="9"/>
      <c r="GA334" s="9"/>
      <c r="GB334" s="9"/>
      <c r="GC334" s="9"/>
      <c r="GD334" s="9"/>
      <c r="GE334" s="9"/>
      <c r="GF334" s="9"/>
      <c r="GG334" s="9"/>
      <c r="GH334" s="9"/>
      <c r="GI334" s="9"/>
      <c r="GJ334" s="9"/>
      <c r="GK334" s="9"/>
      <c r="GL334" s="9"/>
      <c r="GM334" s="9"/>
      <c r="GN334" s="9"/>
      <c r="GO334" s="9"/>
      <c r="GP334" s="9"/>
      <c r="GQ334" s="9"/>
      <c r="GR334" s="9"/>
      <c r="GS334" s="9"/>
      <c r="GT334" s="9"/>
      <c r="GU334" s="9"/>
      <c r="GV334" s="9"/>
      <c r="GW334" s="9"/>
      <c r="GX334" s="9"/>
      <c r="GY334" s="10"/>
      <c r="GZ334" s="9"/>
      <c r="HA334" s="9"/>
    </row>
    <row r="335" spans="1:209" s="2" customFormat="1" ht="17" customHeight="1">
      <c r="A335" s="46" t="s">
        <v>327</v>
      </c>
      <c r="B335" s="35">
        <v>84</v>
      </c>
      <c r="C335" s="35">
        <v>89.8</v>
      </c>
      <c r="D335" s="4">
        <f t="shared" si="87"/>
        <v>1.069047619047619</v>
      </c>
      <c r="E335" s="11">
        <v>10</v>
      </c>
      <c r="F335" s="5" t="s">
        <v>362</v>
      </c>
      <c r="G335" s="5" t="s">
        <v>362</v>
      </c>
      <c r="H335" s="5" t="s">
        <v>362</v>
      </c>
      <c r="I335" s="5" t="s">
        <v>362</v>
      </c>
      <c r="J335" s="5" t="s">
        <v>362</v>
      </c>
      <c r="K335" s="5" t="s">
        <v>362</v>
      </c>
      <c r="L335" s="5" t="s">
        <v>362</v>
      </c>
      <c r="M335" s="5" t="s">
        <v>362</v>
      </c>
      <c r="N335" s="35">
        <v>369.9</v>
      </c>
      <c r="O335" s="35">
        <v>81.7</v>
      </c>
      <c r="P335" s="4">
        <f t="shared" si="88"/>
        <v>0.22087050554203841</v>
      </c>
      <c r="Q335" s="11">
        <v>20</v>
      </c>
      <c r="R335" s="35">
        <v>74</v>
      </c>
      <c r="S335" s="35">
        <v>74.5</v>
      </c>
      <c r="T335" s="4">
        <f t="shared" si="89"/>
        <v>1.0067567567567568</v>
      </c>
      <c r="U335" s="11">
        <v>30</v>
      </c>
      <c r="V335" s="35">
        <v>5.3</v>
      </c>
      <c r="W335" s="35">
        <v>5.4</v>
      </c>
      <c r="X335" s="4">
        <f t="shared" si="90"/>
        <v>1.0188679245283019</v>
      </c>
      <c r="Y335" s="11">
        <v>20</v>
      </c>
      <c r="Z335" s="35">
        <v>2959</v>
      </c>
      <c r="AA335" s="35">
        <v>2065</v>
      </c>
      <c r="AB335" s="4">
        <f t="shared" si="91"/>
        <v>0.69787090233186888</v>
      </c>
      <c r="AC335" s="11">
        <v>5</v>
      </c>
      <c r="AD335" s="11">
        <v>409</v>
      </c>
      <c r="AE335" s="11">
        <v>409</v>
      </c>
      <c r="AF335" s="4">
        <f t="shared" si="92"/>
        <v>1</v>
      </c>
      <c r="AG335" s="11">
        <v>20</v>
      </c>
      <c r="AH335" s="5" t="s">
        <v>362</v>
      </c>
      <c r="AI335" s="5" t="s">
        <v>362</v>
      </c>
      <c r="AJ335" s="5" t="s">
        <v>362</v>
      </c>
      <c r="AK335" s="5" t="s">
        <v>362</v>
      </c>
      <c r="AL335" s="5" t="s">
        <v>362</v>
      </c>
      <c r="AM335" s="5" t="s">
        <v>362</v>
      </c>
      <c r="AN335" s="5" t="s">
        <v>362</v>
      </c>
      <c r="AO335" s="5" t="s">
        <v>362</v>
      </c>
      <c r="AP335" s="44">
        <f t="shared" si="101"/>
        <v>0.84930763815471466</v>
      </c>
      <c r="AQ335" s="45">
        <v>967</v>
      </c>
      <c r="AR335" s="35">
        <f t="shared" si="93"/>
        <v>263.72727272727275</v>
      </c>
      <c r="AS335" s="35">
        <f t="shared" si="94"/>
        <v>224</v>
      </c>
      <c r="AT335" s="35">
        <f t="shared" si="95"/>
        <v>-39.727272727272748</v>
      </c>
      <c r="AU335" s="35">
        <v>84.3</v>
      </c>
      <c r="AV335" s="35">
        <v>57.7</v>
      </c>
      <c r="AW335" s="35">
        <f t="shared" si="96"/>
        <v>82</v>
      </c>
      <c r="AX335" s="35"/>
      <c r="AY335" s="35">
        <f t="shared" si="97"/>
        <v>82</v>
      </c>
      <c r="AZ335" s="35">
        <v>0</v>
      </c>
      <c r="BA335" s="35">
        <f t="shared" si="98"/>
        <v>82</v>
      </c>
      <c r="BB335" s="35">
        <f>MIN(BA335,37.2)</f>
        <v>37.200000000000003</v>
      </c>
      <c r="BC335" s="35">
        <f t="shared" si="99"/>
        <v>44.8</v>
      </c>
      <c r="BD335" s="35">
        <v>46.8</v>
      </c>
      <c r="BE335" s="35">
        <f t="shared" si="100"/>
        <v>-2</v>
      </c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9"/>
      <c r="BU335" s="9"/>
      <c r="BV335" s="9"/>
      <c r="BW335" s="9"/>
      <c r="BX335" s="9"/>
      <c r="BY335" s="9"/>
      <c r="BZ335" s="9"/>
      <c r="CA335" s="9"/>
      <c r="CB335" s="9"/>
      <c r="CC335" s="9"/>
      <c r="CD335" s="9"/>
      <c r="CE335" s="9"/>
      <c r="CF335" s="9"/>
      <c r="CG335" s="9"/>
      <c r="CH335" s="9"/>
      <c r="CI335" s="9"/>
      <c r="CJ335" s="9"/>
      <c r="CK335" s="9"/>
      <c r="CL335" s="9"/>
      <c r="CM335" s="9"/>
      <c r="CN335" s="9"/>
      <c r="CO335" s="9"/>
      <c r="CP335" s="9"/>
      <c r="CQ335" s="10"/>
      <c r="CR335" s="9"/>
      <c r="CS335" s="9"/>
      <c r="CT335" s="9"/>
      <c r="CU335" s="9"/>
      <c r="CV335" s="9"/>
      <c r="CW335" s="9"/>
      <c r="CX335" s="9"/>
      <c r="CY335" s="9"/>
      <c r="CZ335" s="9"/>
      <c r="DA335" s="9"/>
      <c r="DB335" s="9"/>
      <c r="DC335" s="9"/>
      <c r="DD335" s="9"/>
      <c r="DE335" s="9"/>
      <c r="DF335" s="9"/>
      <c r="DG335" s="9"/>
      <c r="DH335" s="9"/>
      <c r="DI335" s="9"/>
      <c r="DJ335" s="9"/>
      <c r="DK335" s="9"/>
      <c r="DL335" s="9"/>
      <c r="DM335" s="9"/>
      <c r="DN335" s="9"/>
      <c r="DO335" s="9"/>
      <c r="DP335" s="9"/>
      <c r="DQ335" s="9"/>
      <c r="DR335" s="9"/>
      <c r="DS335" s="10"/>
      <c r="DT335" s="9"/>
      <c r="DU335" s="9"/>
      <c r="DV335" s="9"/>
      <c r="DW335" s="9"/>
      <c r="DX335" s="9"/>
      <c r="DY335" s="9"/>
      <c r="DZ335" s="9"/>
      <c r="EA335" s="9"/>
      <c r="EB335" s="9"/>
      <c r="EC335" s="9"/>
      <c r="ED335" s="9"/>
      <c r="EE335" s="9"/>
      <c r="EF335" s="9"/>
      <c r="EG335" s="9"/>
      <c r="EH335" s="9"/>
      <c r="EI335" s="9"/>
      <c r="EJ335" s="9"/>
      <c r="EK335" s="9"/>
      <c r="EL335" s="9"/>
      <c r="EM335" s="9"/>
      <c r="EN335" s="9"/>
      <c r="EO335" s="9"/>
      <c r="EP335" s="9"/>
      <c r="EQ335" s="9"/>
      <c r="ER335" s="9"/>
      <c r="ES335" s="9"/>
      <c r="ET335" s="9"/>
      <c r="EU335" s="10"/>
      <c r="EV335" s="9"/>
      <c r="EW335" s="9"/>
      <c r="EX335" s="9"/>
      <c r="EY335" s="9"/>
      <c r="EZ335" s="9"/>
      <c r="FA335" s="9"/>
      <c r="FB335" s="9"/>
      <c r="FC335" s="9"/>
      <c r="FD335" s="9"/>
      <c r="FE335" s="9"/>
      <c r="FF335" s="9"/>
      <c r="FG335" s="9"/>
      <c r="FH335" s="9"/>
      <c r="FI335" s="9"/>
      <c r="FJ335" s="9"/>
      <c r="FK335" s="9"/>
      <c r="FL335" s="9"/>
      <c r="FM335" s="9"/>
      <c r="FN335" s="9"/>
      <c r="FO335" s="9"/>
      <c r="FP335" s="9"/>
      <c r="FQ335" s="9"/>
      <c r="FR335" s="9"/>
      <c r="FS335" s="9"/>
      <c r="FT335" s="9"/>
      <c r="FU335" s="9"/>
      <c r="FV335" s="9"/>
      <c r="FW335" s="10"/>
      <c r="FX335" s="9"/>
      <c r="FY335" s="9"/>
      <c r="FZ335" s="9"/>
      <c r="GA335" s="9"/>
      <c r="GB335" s="9"/>
      <c r="GC335" s="9"/>
      <c r="GD335" s="9"/>
      <c r="GE335" s="9"/>
      <c r="GF335" s="9"/>
      <c r="GG335" s="9"/>
      <c r="GH335" s="9"/>
      <c r="GI335" s="9"/>
      <c r="GJ335" s="9"/>
      <c r="GK335" s="9"/>
      <c r="GL335" s="9"/>
      <c r="GM335" s="9"/>
      <c r="GN335" s="9"/>
      <c r="GO335" s="9"/>
      <c r="GP335" s="9"/>
      <c r="GQ335" s="9"/>
      <c r="GR335" s="9"/>
      <c r="GS335" s="9"/>
      <c r="GT335" s="9"/>
      <c r="GU335" s="9"/>
      <c r="GV335" s="9"/>
      <c r="GW335" s="9"/>
      <c r="GX335" s="9"/>
      <c r="GY335" s="10"/>
      <c r="GZ335" s="9"/>
      <c r="HA335" s="9"/>
    </row>
    <row r="336" spans="1:209" s="2" customFormat="1" ht="17" customHeight="1">
      <c r="A336" s="46" t="s">
        <v>328</v>
      </c>
      <c r="B336" s="35">
        <v>138</v>
      </c>
      <c r="C336" s="35">
        <v>155.1</v>
      </c>
      <c r="D336" s="4">
        <f t="shared" si="87"/>
        <v>1.1239130434782609</v>
      </c>
      <c r="E336" s="11">
        <v>10</v>
      </c>
      <c r="F336" s="5" t="s">
        <v>362</v>
      </c>
      <c r="G336" s="5" t="s">
        <v>362</v>
      </c>
      <c r="H336" s="5" t="s">
        <v>362</v>
      </c>
      <c r="I336" s="5" t="s">
        <v>362</v>
      </c>
      <c r="J336" s="5" t="s">
        <v>362</v>
      </c>
      <c r="K336" s="5" t="s">
        <v>362</v>
      </c>
      <c r="L336" s="5" t="s">
        <v>362</v>
      </c>
      <c r="M336" s="5" t="s">
        <v>362</v>
      </c>
      <c r="N336" s="35">
        <v>116.6</v>
      </c>
      <c r="O336" s="35">
        <v>199.1</v>
      </c>
      <c r="P336" s="4">
        <f t="shared" si="88"/>
        <v>1.2507547169811319</v>
      </c>
      <c r="Q336" s="11">
        <v>20</v>
      </c>
      <c r="R336" s="35">
        <v>100</v>
      </c>
      <c r="S336" s="35">
        <v>99.8</v>
      </c>
      <c r="T336" s="4">
        <f t="shared" si="89"/>
        <v>0.998</v>
      </c>
      <c r="U336" s="11">
        <v>30</v>
      </c>
      <c r="V336" s="35">
        <v>12</v>
      </c>
      <c r="W336" s="35">
        <v>12.1</v>
      </c>
      <c r="X336" s="4">
        <f t="shared" si="90"/>
        <v>1.0083333333333333</v>
      </c>
      <c r="Y336" s="11">
        <v>20</v>
      </c>
      <c r="Z336" s="35">
        <v>1269</v>
      </c>
      <c r="AA336" s="35">
        <v>649</v>
      </c>
      <c r="AB336" s="4">
        <f t="shared" si="91"/>
        <v>0.5114263199369582</v>
      </c>
      <c r="AC336" s="11">
        <v>5</v>
      </c>
      <c r="AD336" s="11">
        <v>590</v>
      </c>
      <c r="AE336" s="11">
        <v>590</v>
      </c>
      <c r="AF336" s="4">
        <f t="shared" si="92"/>
        <v>1</v>
      </c>
      <c r="AG336" s="11">
        <v>20</v>
      </c>
      <c r="AH336" s="5" t="s">
        <v>362</v>
      </c>
      <c r="AI336" s="5" t="s">
        <v>362</v>
      </c>
      <c r="AJ336" s="5" t="s">
        <v>362</v>
      </c>
      <c r="AK336" s="5" t="s">
        <v>362</v>
      </c>
      <c r="AL336" s="5" t="s">
        <v>362</v>
      </c>
      <c r="AM336" s="5" t="s">
        <v>362</v>
      </c>
      <c r="AN336" s="5" t="s">
        <v>362</v>
      </c>
      <c r="AO336" s="5" t="s">
        <v>362</v>
      </c>
      <c r="AP336" s="44">
        <f t="shared" si="101"/>
        <v>1.0373145051500638</v>
      </c>
      <c r="AQ336" s="45">
        <v>1308</v>
      </c>
      <c r="AR336" s="35">
        <f t="shared" si="93"/>
        <v>356.72727272727275</v>
      </c>
      <c r="AS336" s="35">
        <f t="shared" si="94"/>
        <v>370</v>
      </c>
      <c r="AT336" s="35">
        <f t="shared" si="95"/>
        <v>13.272727272727252</v>
      </c>
      <c r="AU336" s="35">
        <v>119.6</v>
      </c>
      <c r="AV336" s="35">
        <v>129.1</v>
      </c>
      <c r="AW336" s="35">
        <f t="shared" si="96"/>
        <v>121.3</v>
      </c>
      <c r="AX336" s="35"/>
      <c r="AY336" s="35">
        <f t="shared" si="97"/>
        <v>121.3</v>
      </c>
      <c r="AZ336" s="35">
        <v>0</v>
      </c>
      <c r="BA336" s="35">
        <f t="shared" si="98"/>
        <v>121.3</v>
      </c>
      <c r="BB336" s="35">
        <f>MIN(BA336,11.9)</f>
        <v>11.9</v>
      </c>
      <c r="BC336" s="35">
        <f t="shared" si="99"/>
        <v>109.4</v>
      </c>
      <c r="BD336" s="35">
        <v>118.8</v>
      </c>
      <c r="BE336" s="35">
        <f t="shared" si="100"/>
        <v>-9.4</v>
      </c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9"/>
      <c r="BU336" s="9"/>
      <c r="BV336" s="9"/>
      <c r="BW336" s="9"/>
      <c r="BX336" s="9"/>
      <c r="BY336" s="9"/>
      <c r="BZ336" s="9"/>
      <c r="CA336" s="9"/>
      <c r="CB336" s="9"/>
      <c r="CC336" s="9"/>
      <c r="CD336" s="9"/>
      <c r="CE336" s="9"/>
      <c r="CF336" s="9"/>
      <c r="CG336" s="9"/>
      <c r="CH336" s="9"/>
      <c r="CI336" s="9"/>
      <c r="CJ336" s="9"/>
      <c r="CK336" s="9"/>
      <c r="CL336" s="9"/>
      <c r="CM336" s="9"/>
      <c r="CN336" s="9"/>
      <c r="CO336" s="9"/>
      <c r="CP336" s="9"/>
      <c r="CQ336" s="10"/>
      <c r="CR336" s="9"/>
      <c r="CS336" s="9"/>
      <c r="CT336" s="9"/>
      <c r="CU336" s="9"/>
      <c r="CV336" s="9"/>
      <c r="CW336" s="9"/>
      <c r="CX336" s="9"/>
      <c r="CY336" s="9"/>
      <c r="CZ336" s="9"/>
      <c r="DA336" s="9"/>
      <c r="DB336" s="9"/>
      <c r="DC336" s="9"/>
      <c r="DD336" s="9"/>
      <c r="DE336" s="9"/>
      <c r="DF336" s="9"/>
      <c r="DG336" s="9"/>
      <c r="DH336" s="9"/>
      <c r="DI336" s="9"/>
      <c r="DJ336" s="9"/>
      <c r="DK336" s="9"/>
      <c r="DL336" s="9"/>
      <c r="DM336" s="9"/>
      <c r="DN336" s="9"/>
      <c r="DO336" s="9"/>
      <c r="DP336" s="9"/>
      <c r="DQ336" s="9"/>
      <c r="DR336" s="9"/>
      <c r="DS336" s="10"/>
      <c r="DT336" s="9"/>
      <c r="DU336" s="9"/>
      <c r="DV336" s="9"/>
      <c r="DW336" s="9"/>
      <c r="DX336" s="9"/>
      <c r="DY336" s="9"/>
      <c r="DZ336" s="9"/>
      <c r="EA336" s="9"/>
      <c r="EB336" s="9"/>
      <c r="EC336" s="9"/>
      <c r="ED336" s="9"/>
      <c r="EE336" s="9"/>
      <c r="EF336" s="9"/>
      <c r="EG336" s="9"/>
      <c r="EH336" s="9"/>
      <c r="EI336" s="9"/>
      <c r="EJ336" s="9"/>
      <c r="EK336" s="9"/>
      <c r="EL336" s="9"/>
      <c r="EM336" s="9"/>
      <c r="EN336" s="9"/>
      <c r="EO336" s="9"/>
      <c r="EP336" s="9"/>
      <c r="EQ336" s="9"/>
      <c r="ER336" s="9"/>
      <c r="ES336" s="9"/>
      <c r="ET336" s="9"/>
      <c r="EU336" s="10"/>
      <c r="EV336" s="9"/>
      <c r="EW336" s="9"/>
      <c r="EX336" s="9"/>
      <c r="EY336" s="9"/>
      <c r="EZ336" s="9"/>
      <c r="FA336" s="9"/>
      <c r="FB336" s="9"/>
      <c r="FC336" s="9"/>
      <c r="FD336" s="9"/>
      <c r="FE336" s="9"/>
      <c r="FF336" s="9"/>
      <c r="FG336" s="9"/>
      <c r="FH336" s="9"/>
      <c r="FI336" s="9"/>
      <c r="FJ336" s="9"/>
      <c r="FK336" s="9"/>
      <c r="FL336" s="9"/>
      <c r="FM336" s="9"/>
      <c r="FN336" s="9"/>
      <c r="FO336" s="9"/>
      <c r="FP336" s="9"/>
      <c r="FQ336" s="9"/>
      <c r="FR336" s="9"/>
      <c r="FS336" s="9"/>
      <c r="FT336" s="9"/>
      <c r="FU336" s="9"/>
      <c r="FV336" s="9"/>
      <c r="FW336" s="10"/>
      <c r="FX336" s="9"/>
      <c r="FY336" s="9"/>
      <c r="FZ336" s="9"/>
      <c r="GA336" s="9"/>
      <c r="GB336" s="9"/>
      <c r="GC336" s="9"/>
      <c r="GD336" s="9"/>
      <c r="GE336" s="9"/>
      <c r="GF336" s="9"/>
      <c r="GG336" s="9"/>
      <c r="GH336" s="9"/>
      <c r="GI336" s="9"/>
      <c r="GJ336" s="9"/>
      <c r="GK336" s="9"/>
      <c r="GL336" s="9"/>
      <c r="GM336" s="9"/>
      <c r="GN336" s="9"/>
      <c r="GO336" s="9"/>
      <c r="GP336" s="9"/>
      <c r="GQ336" s="9"/>
      <c r="GR336" s="9"/>
      <c r="GS336" s="9"/>
      <c r="GT336" s="9"/>
      <c r="GU336" s="9"/>
      <c r="GV336" s="9"/>
      <c r="GW336" s="9"/>
      <c r="GX336" s="9"/>
      <c r="GY336" s="10"/>
      <c r="GZ336" s="9"/>
      <c r="HA336" s="9"/>
    </row>
    <row r="337" spans="1:209" s="2" customFormat="1" ht="17" customHeight="1">
      <c r="A337" s="46" t="s">
        <v>329</v>
      </c>
      <c r="B337" s="35">
        <v>420</v>
      </c>
      <c r="C337" s="35">
        <v>420</v>
      </c>
      <c r="D337" s="4">
        <f t="shared" si="87"/>
        <v>1</v>
      </c>
      <c r="E337" s="11">
        <v>10</v>
      </c>
      <c r="F337" s="5" t="s">
        <v>362</v>
      </c>
      <c r="G337" s="5" t="s">
        <v>362</v>
      </c>
      <c r="H337" s="5" t="s">
        <v>362</v>
      </c>
      <c r="I337" s="5" t="s">
        <v>362</v>
      </c>
      <c r="J337" s="5" t="s">
        <v>362</v>
      </c>
      <c r="K337" s="5" t="s">
        <v>362</v>
      </c>
      <c r="L337" s="5" t="s">
        <v>362</v>
      </c>
      <c r="M337" s="5" t="s">
        <v>362</v>
      </c>
      <c r="N337" s="35">
        <v>167.2</v>
      </c>
      <c r="O337" s="35">
        <v>209.1</v>
      </c>
      <c r="P337" s="4">
        <f t="shared" si="88"/>
        <v>1.2050598086124402</v>
      </c>
      <c r="Q337" s="11">
        <v>20</v>
      </c>
      <c r="R337" s="35">
        <v>0</v>
      </c>
      <c r="S337" s="35">
        <v>0</v>
      </c>
      <c r="T337" s="4">
        <f t="shared" si="89"/>
        <v>1</v>
      </c>
      <c r="U337" s="11">
        <v>20</v>
      </c>
      <c r="V337" s="35">
        <v>1.6</v>
      </c>
      <c r="W337" s="35">
        <v>1.8</v>
      </c>
      <c r="X337" s="4">
        <f t="shared" si="90"/>
        <v>1.125</v>
      </c>
      <c r="Y337" s="11">
        <v>30</v>
      </c>
      <c r="Z337" s="35">
        <v>4751</v>
      </c>
      <c r="AA337" s="35">
        <v>2978</v>
      </c>
      <c r="AB337" s="4">
        <f t="shared" si="91"/>
        <v>0.62681540728267737</v>
      </c>
      <c r="AC337" s="11">
        <v>5</v>
      </c>
      <c r="AD337" s="11">
        <v>80</v>
      </c>
      <c r="AE337" s="11">
        <v>80</v>
      </c>
      <c r="AF337" s="4">
        <f t="shared" si="92"/>
        <v>1</v>
      </c>
      <c r="AG337" s="11">
        <v>20</v>
      </c>
      <c r="AH337" s="5" t="s">
        <v>362</v>
      </c>
      <c r="AI337" s="5" t="s">
        <v>362</v>
      </c>
      <c r="AJ337" s="5" t="s">
        <v>362</v>
      </c>
      <c r="AK337" s="5" t="s">
        <v>362</v>
      </c>
      <c r="AL337" s="5" t="s">
        <v>362</v>
      </c>
      <c r="AM337" s="5" t="s">
        <v>362</v>
      </c>
      <c r="AN337" s="5" t="s">
        <v>362</v>
      </c>
      <c r="AO337" s="5" t="s">
        <v>362</v>
      </c>
      <c r="AP337" s="44">
        <f t="shared" si="101"/>
        <v>1.0570026019872589</v>
      </c>
      <c r="AQ337" s="45">
        <v>1146</v>
      </c>
      <c r="AR337" s="35">
        <f t="shared" si="93"/>
        <v>312.54545454545456</v>
      </c>
      <c r="AS337" s="35">
        <f t="shared" si="94"/>
        <v>330.4</v>
      </c>
      <c r="AT337" s="35">
        <f t="shared" si="95"/>
        <v>17.854545454545416</v>
      </c>
      <c r="AU337" s="35">
        <v>112</v>
      </c>
      <c r="AV337" s="35">
        <v>86.2</v>
      </c>
      <c r="AW337" s="35">
        <f t="shared" si="96"/>
        <v>132.19999999999999</v>
      </c>
      <c r="AX337" s="35"/>
      <c r="AY337" s="35">
        <f t="shared" si="97"/>
        <v>132.19999999999999</v>
      </c>
      <c r="AZ337" s="35">
        <v>0</v>
      </c>
      <c r="BA337" s="35">
        <f t="shared" si="98"/>
        <v>132.19999999999999</v>
      </c>
      <c r="BB337" s="35">
        <f>MIN(BA337,38.5)</f>
        <v>38.5</v>
      </c>
      <c r="BC337" s="35">
        <f t="shared" si="99"/>
        <v>93.7</v>
      </c>
      <c r="BD337" s="35">
        <v>100.4</v>
      </c>
      <c r="BE337" s="35">
        <f t="shared" si="100"/>
        <v>-6.7</v>
      </c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9"/>
      <c r="BU337" s="9"/>
      <c r="BV337" s="9"/>
      <c r="BW337" s="9"/>
      <c r="BX337" s="9"/>
      <c r="BY337" s="9"/>
      <c r="BZ337" s="9"/>
      <c r="CA337" s="9"/>
      <c r="CB337" s="9"/>
      <c r="CC337" s="9"/>
      <c r="CD337" s="9"/>
      <c r="CE337" s="9"/>
      <c r="CF337" s="9"/>
      <c r="CG337" s="9"/>
      <c r="CH337" s="9"/>
      <c r="CI337" s="9"/>
      <c r="CJ337" s="9"/>
      <c r="CK337" s="9"/>
      <c r="CL337" s="9"/>
      <c r="CM337" s="9"/>
      <c r="CN337" s="9"/>
      <c r="CO337" s="9"/>
      <c r="CP337" s="9"/>
      <c r="CQ337" s="10"/>
      <c r="CR337" s="9"/>
      <c r="CS337" s="9"/>
      <c r="CT337" s="9"/>
      <c r="CU337" s="9"/>
      <c r="CV337" s="9"/>
      <c r="CW337" s="9"/>
      <c r="CX337" s="9"/>
      <c r="CY337" s="9"/>
      <c r="CZ337" s="9"/>
      <c r="DA337" s="9"/>
      <c r="DB337" s="9"/>
      <c r="DC337" s="9"/>
      <c r="DD337" s="9"/>
      <c r="DE337" s="9"/>
      <c r="DF337" s="9"/>
      <c r="DG337" s="9"/>
      <c r="DH337" s="9"/>
      <c r="DI337" s="9"/>
      <c r="DJ337" s="9"/>
      <c r="DK337" s="9"/>
      <c r="DL337" s="9"/>
      <c r="DM337" s="9"/>
      <c r="DN337" s="9"/>
      <c r="DO337" s="9"/>
      <c r="DP337" s="9"/>
      <c r="DQ337" s="9"/>
      <c r="DR337" s="9"/>
      <c r="DS337" s="10"/>
      <c r="DT337" s="9"/>
      <c r="DU337" s="9"/>
      <c r="DV337" s="9"/>
      <c r="DW337" s="9"/>
      <c r="DX337" s="9"/>
      <c r="DY337" s="9"/>
      <c r="DZ337" s="9"/>
      <c r="EA337" s="9"/>
      <c r="EB337" s="9"/>
      <c r="EC337" s="9"/>
      <c r="ED337" s="9"/>
      <c r="EE337" s="9"/>
      <c r="EF337" s="9"/>
      <c r="EG337" s="9"/>
      <c r="EH337" s="9"/>
      <c r="EI337" s="9"/>
      <c r="EJ337" s="9"/>
      <c r="EK337" s="9"/>
      <c r="EL337" s="9"/>
      <c r="EM337" s="9"/>
      <c r="EN337" s="9"/>
      <c r="EO337" s="9"/>
      <c r="EP337" s="9"/>
      <c r="EQ337" s="9"/>
      <c r="ER337" s="9"/>
      <c r="ES337" s="9"/>
      <c r="ET337" s="9"/>
      <c r="EU337" s="10"/>
      <c r="EV337" s="9"/>
      <c r="EW337" s="9"/>
      <c r="EX337" s="9"/>
      <c r="EY337" s="9"/>
      <c r="EZ337" s="9"/>
      <c r="FA337" s="9"/>
      <c r="FB337" s="9"/>
      <c r="FC337" s="9"/>
      <c r="FD337" s="9"/>
      <c r="FE337" s="9"/>
      <c r="FF337" s="9"/>
      <c r="FG337" s="9"/>
      <c r="FH337" s="9"/>
      <c r="FI337" s="9"/>
      <c r="FJ337" s="9"/>
      <c r="FK337" s="9"/>
      <c r="FL337" s="9"/>
      <c r="FM337" s="9"/>
      <c r="FN337" s="9"/>
      <c r="FO337" s="9"/>
      <c r="FP337" s="9"/>
      <c r="FQ337" s="9"/>
      <c r="FR337" s="9"/>
      <c r="FS337" s="9"/>
      <c r="FT337" s="9"/>
      <c r="FU337" s="9"/>
      <c r="FV337" s="9"/>
      <c r="FW337" s="10"/>
      <c r="FX337" s="9"/>
      <c r="FY337" s="9"/>
      <c r="FZ337" s="9"/>
      <c r="GA337" s="9"/>
      <c r="GB337" s="9"/>
      <c r="GC337" s="9"/>
      <c r="GD337" s="9"/>
      <c r="GE337" s="9"/>
      <c r="GF337" s="9"/>
      <c r="GG337" s="9"/>
      <c r="GH337" s="9"/>
      <c r="GI337" s="9"/>
      <c r="GJ337" s="9"/>
      <c r="GK337" s="9"/>
      <c r="GL337" s="9"/>
      <c r="GM337" s="9"/>
      <c r="GN337" s="9"/>
      <c r="GO337" s="9"/>
      <c r="GP337" s="9"/>
      <c r="GQ337" s="9"/>
      <c r="GR337" s="9"/>
      <c r="GS337" s="9"/>
      <c r="GT337" s="9"/>
      <c r="GU337" s="9"/>
      <c r="GV337" s="9"/>
      <c r="GW337" s="9"/>
      <c r="GX337" s="9"/>
      <c r="GY337" s="10"/>
      <c r="GZ337" s="9"/>
      <c r="HA337" s="9"/>
    </row>
    <row r="338" spans="1:209" s="2" customFormat="1" ht="17" customHeight="1">
      <c r="A338" s="46" t="s">
        <v>330</v>
      </c>
      <c r="B338" s="35">
        <v>137</v>
      </c>
      <c r="C338" s="35">
        <v>137</v>
      </c>
      <c r="D338" s="4">
        <f t="shared" si="87"/>
        <v>1</v>
      </c>
      <c r="E338" s="11">
        <v>10</v>
      </c>
      <c r="F338" s="5" t="s">
        <v>362</v>
      </c>
      <c r="G338" s="5" t="s">
        <v>362</v>
      </c>
      <c r="H338" s="5" t="s">
        <v>362</v>
      </c>
      <c r="I338" s="5" t="s">
        <v>362</v>
      </c>
      <c r="J338" s="5" t="s">
        <v>362</v>
      </c>
      <c r="K338" s="5" t="s">
        <v>362</v>
      </c>
      <c r="L338" s="5" t="s">
        <v>362</v>
      </c>
      <c r="M338" s="5" t="s">
        <v>362</v>
      </c>
      <c r="N338" s="35">
        <v>249.6</v>
      </c>
      <c r="O338" s="35">
        <v>171.5</v>
      </c>
      <c r="P338" s="4">
        <f t="shared" si="88"/>
        <v>0.68709935897435903</v>
      </c>
      <c r="Q338" s="11">
        <v>20</v>
      </c>
      <c r="R338" s="35">
        <v>0.5</v>
      </c>
      <c r="S338" s="35">
        <v>0.6</v>
      </c>
      <c r="T338" s="4">
        <f t="shared" si="89"/>
        <v>1.2</v>
      </c>
      <c r="U338" s="11">
        <v>20</v>
      </c>
      <c r="V338" s="35">
        <v>3</v>
      </c>
      <c r="W338" s="35">
        <v>3.2</v>
      </c>
      <c r="X338" s="4">
        <f t="shared" si="90"/>
        <v>1.0666666666666667</v>
      </c>
      <c r="Y338" s="11">
        <v>30</v>
      </c>
      <c r="Z338" s="35">
        <v>2611</v>
      </c>
      <c r="AA338" s="35">
        <v>1702</v>
      </c>
      <c r="AB338" s="4">
        <f t="shared" si="91"/>
        <v>0.65185752585216394</v>
      </c>
      <c r="AC338" s="11">
        <v>5</v>
      </c>
      <c r="AD338" s="11">
        <v>96</v>
      </c>
      <c r="AE338" s="11">
        <v>96</v>
      </c>
      <c r="AF338" s="4">
        <f t="shared" si="92"/>
        <v>1</v>
      </c>
      <c r="AG338" s="11">
        <v>20</v>
      </c>
      <c r="AH338" s="5" t="s">
        <v>362</v>
      </c>
      <c r="AI338" s="5" t="s">
        <v>362</v>
      </c>
      <c r="AJ338" s="5" t="s">
        <v>362</v>
      </c>
      <c r="AK338" s="5" t="s">
        <v>362</v>
      </c>
      <c r="AL338" s="5" t="s">
        <v>362</v>
      </c>
      <c r="AM338" s="5" t="s">
        <v>362</v>
      </c>
      <c r="AN338" s="5" t="s">
        <v>362</v>
      </c>
      <c r="AO338" s="5" t="s">
        <v>362</v>
      </c>
      <c r="AP338" s="44">
        <f t="shared" si="101"/>
        <v>0.98096452198807627</v>
      </c>
      <c r="AQ338" s="45">
        <v>535</v>
      </c>
      <c r="AR338" s="35">
        <f t="shared" si="93"/>
        <v>145.90909090909091</v>
      </c>
      <c r="AS338" s="35">
        <f t="shared" si="94"/>
        <v>143.1</v>
      </c>
      <c r="AT338" s="35">
        <f t="shared" si="95"/>
        <v>-2.8090909090909122</v>
      </c>
      <c r="AU338" s="35">
        <v>47.5</v>
      </c>
      <c r="AV338" s="35">
        <v>41.4</v>
      </c>
      <c r="AW338" s="35">
        <f t="shared" si="96"/>
        <v>54.2</v>
      </c>
      <c r="AX338" s="35"/>
      <c r="AY338" s="35">
        <f t="shared" si="97"/>
        <v>54.2</v>
      </c>
      <c r="AZ338" s="35">
        <v>0</v>
      </c>
      <c r="BA338" s="35">
        <f t="shared" si="98"/>
        <v>54.2</v>
      </c>
      <c r="BB338" s="35">
        <f>MIN(BA338,1.4)</f>
        <v>1.4</v>
      </c>
      <c r="BC338" s="35">
        <f t="shared" si="99"/>
        <v>52.8</v>
      </c>
      <c r="BD338" s="35">
        <v>55.2</v>
      </c>
      <c r="BE338" s="35">
        <f t="shared" si="100"/>
        <v>-2.4</v>
      </c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9"/>
      <c r="BU338" s="9"/>
      <c r="BV338" s="9"/>
      <c r="BW338" s="9"/>
      <c r="BX338" s="9"/>
      <c r="BY338" s="9"/>
      <c r="BZ338" s="9"/>
      <c r="CA338" s="9"/>
      <c r="CB338" s="9"/>
      <c r="CC338" s="9"/>
      <c r="CD338" s="9"/>
      <c r="CE338" s="9"/>
      <c r="CF338" s="9"/>
      <c r="CG338" s="9"/>
      <c r="CH338" s="9"/>
      <c r="CI338" s="9"/>
      <c r="CJ338" s="9"/>
      <c r="CK338" s="9"/>
      <c r="CL338" s="9"/>
      <c r="CM338" s="9"/>
      <c r="CN338" s="9"/>
      <c r="CO338" s="9"/>
      <c r="CP338" s="9"/>
      <c r="CQ338" s="10"/>
      <c r="CR338" s="9"/>
      <c r="CS338" s="9"/>
      <c r="CT338" s="9"/>
      <c r="CU338" s="9"/>
      <c r="CV338" s="9"/>
      <c r="CW338" s="9"/>
      <c r="CX338" s="9"/>
      <c r="CY338" s="9"/>
      <c r="CZ338" s="9"/>
      <c r="DA338" s="9"/>
      <c r="DB338" s="9"/>
      <c r="DC338" s="9"/>
      <c r="DD338" s="9"/>
      <c r="DE338" s="9"/>
      <c r="DF338" s="9"/>
      <c r="DG338" s="9"/>
      <c r="DH338" s="9"/>
      <c r="DI338" s="9"/>
      <c r="DJ338" s="9"/>
      <c r="DK338" s="9"/>
      <c r="DL338" s="9"/>
      <c r="DM338" s="9"/>
      <c r="DN338" s="9"/>
      <c r="DO338" s="9"/>
      <c r="DP338" s="9"/>
      <c r="DQ338" s="9"/>
      <c r="DR338" s="9"/>
      <c r="DS338" s="10"/>
      <c r="DT338" s="9"/>
      <c r="DU338" s="9"/>
      <c r="DV338" s="9"/>
      <c r="DW338" s="9"/>
      <c r="DX338" s="9"/>
      <c r="DY338" s="9"/>
      <c r="DZ338" s="9"/>
      <c r="EA338" s="9"/>
      <c r="EB338" s="9"/>
      <c r="EC338" s="9"/>
      <c r="ED338" s="9"/>
      <c r="EE338" s="9"/>
      <c r="EF338" s="9"/>
      <c r="EG338" s="9"/>
      <c r="EH338" s="9"/>
      <c r="EI338" s="9"/>
      <c r="EJ338" s="9"/>
      <c r="EK338" s="9"/>
      <c r="EL338" s="9"/>
      <c r="EM338" s="9"/>
      <c r="EN338" s="9"/>
      <c r="EO338" s="9"/>
      <c r="EP338" s="9"/>
      <c r="EQ338" s="9"/>
      <c r="ER338" s="9"/>
      <c r="ES338" s="9"/>
      <c r="ET338" s="9"/>
      <c r="EU338" s="10"/>
      <c r="EV338" s="9"/>
      <c r="EW338" s="9"/>
      <c r="EX338" s="9"/>
      <c r="EY338" s="9"/>
      <c r="EZ338" s="9"/>
      <c r="FA338" s="9"/>
      <c r="FB338" s="9"/>
      <c r="FC338" s="9"/>
      <c r="FD338" s="9"/>
      <c r="FE338" s="9"/>
      <c r="FF338" s="9"/>
      <c r="FG338" s="9"/>
      <c r="FH338" s="9"/>
      <c r="FI338" s="9"/>
      <c r="FJ338" s="9"/>
      <c r="FK338" s="9"/>
      <c r="FL338" s="9"/>
      <c r="FM338" s="9"/>
      <c r="FN338" s="9"/>
      <c r="FO338" s="9"/>
      <c r="FP338" s="9"/>
      <c r="FQ338" s="9"/>
      <c r="FR338" s="9"/>
      <c r="FS338" s="9"/>
      <c r="FT338" s="9"/>
      <c r="FU338" s="9"/>
      <c r="FV338" s="9"/>
      <c r="FW338" s="10"/>
      <c r="FX338" s="9"/>
      <c r="FY338" s="9"/>
      <c r="FZ338" s="9"/>
      <c r="GA338" s="9"/>
      <c r="GB338" s="9"/>
      <c r="GC338" s="9"/>
      <c r="GD338" s="9"/>
      <c r="GE338" s="9"/>
      <c r="GF338" s="9"/>
      <c r="GG338" s="9"/>
      <c r="GH338" s="9"/>
      <c r="GI338" s="9"/>
      <c r="GJ338" s="9"/>
      <c r="GK338" s="9"/>
      <c r="GL338" s="9"/>
      <c r="GM338" s="9"/>
      <c r="GN338" s="9"/>
      <c r="GO338" s="9"/>
      <c r="GP338" s="9"/>
      <c r="GQ338" s="9"/>
      <c r="GR338" s="9"/>
      <c r="GS338" s="9"/>
      <c r="GT338" s="9"/>
      <c r="GU338" s="9"/>
      <c r="GV338" s="9"/>
      <c r="GW338" s="9"/>
      <c r="GX338" s="9"/>
      <c r="GY338" s="10"/>
      <c r="GZ338" s="9"/>
      <c r="HA338" s="9"/>
    </row>
    <row r="339" spans="1:209" s="2" customFormat="1" ht="17" customHeight="1">
      <c r="A339" s="46" t="s">
        <v>331</v>
      </c>
      <c r="B339" s="35">
        <v>189</v>
      </c>
      <c r="C339" s="35">
        <v>200.8</v>
      </c>
      <c r="D339" s="4">
        <f t="shared" si="87"/>
        <v>1.0624338624338625</v>
      </c>
      <c r="E339" s="11">
        <v>10</v>
      </c>
      <c r="F339" s="5" t="s">
        <v>362</v>
      </c>
      <c r="G339" s="5" t="s">
        <v>362</v>
      </c>
      <c r="H339" s="5" t="s">
        <v>362</v>
      </c>
      <c r="I339" s="5" t="s">
        <v>362</v>
      </c>
      <c r="J339" s="5" t="s">
        <v>362</v>
      </c>
      <c r="K339" s="5" t="s">
        <v>362</v>
      </c>
      <c r="L339" s="5" t="s">
        <v>362</v>
      </c>
      <c r="M339" s="5" t="s">
        <v>362</v>
      </c>
      <c r="N339" s="35">
        <v>298.2</v>
      </c>
      <c r="O339" s="35">
        <v>463</v>
      </c>
      <c r="P339" s="4">
        <f t="shared" si="88"/>
        <v>1.2352649228705566</v>
      </c>
      <c r="Q339" s="11">
        <v>20</v>
      </c>
      <c r="R339" s="35">
        <v>0</v>
      </c>
      <c r="S339" s="35">
        <v>0</v>
      </c>
      <c r="T339" s="4">
        <f t="shared" si="89"/>
        <v>1</v>
      </c>
      <c r="U339" s="11">
        <v>25</v>
      </c>
      <c r="V339" s="35">
        <v>6</v>
      </c>
      <c r="W339" s="35">
        <v>6</v>
      </c>
      <c r="X339" s="4">
        <f t="shared" si="90"/>
        <v>1</v>
      </c>
      <c r="Y339" s="11">
        <v>25</v>
      </c>
      <c r="Z339" s="35">
        <v>2092</v>
      </c>
      <c r="AA339" s="35">
        <v>1975</v>
      </c>
      <c r="AB339" s="4">
        <f t="shared" si="91"/>
        <v>0.9440726577437859</v>
      </c>
      <c r="AC339" s="11">
        <v>5</v>
      </c>
      <c r="AD339" s="11">
        <v>186</v>
      </c>
      <c r="AE339" s="11">
        <v>186</v>
      </c>
      <c r="AF339" s="4">
        <f t="shared" si="92"/>
        <v>1</v>
      </c>
      <c r="AG339" s="11">
        <v>20</v>
      </c>
      <c r="AH339" s="5" t="s">
        <v>362</v>
      </c>
      <c r="AI339" s="5" t="s">
        <v>362</v>
      </c>
      <c r="AJ339" s="5" t="s">
        <v>362</v>
      </c>
      <c r="AK339" s="5" t="s">
        <v>362</v>
      </c>
      <c r="AL339" s="5" t="s">
        <v>362</v>
      </c>
      <c r="AM339" s="5" t="s">
        <v>362</v>
      </c>
      <c r="AN339" s="5" t="s">
        <v>362</v>
      </c>
      <c r="AO339" s="5" t="s">
        <v>362</v>
      </c>
      <c r="AP339" s="44">
        <f t="shared" si="101"/>
        <v>1.0480952416235112</v>
      </c>
      <c r="AQ339" s="45">
        <v>1092</v>
      </c>
      <c r="AR339" s="35">
        <f t="shared" si="93"/>
        <v>297.81818181818181</v>
      </c>
      <c r="AS339" s="35">
        <f t="shared" si="94"/>
        <v>312.10000000000002</v>
      </c>
      <c r="AT339" s="35">
        <f t="shared" si="95"/>
        <v>14.28181818181821</v>
      </c>
      <c r="AU339" s="35">
        <v>96.7</v>
      </c>
      <c r="AV339" s="35">
        <v>91.9</v>
      </c>
      <c r="AW339" s="35">
        <f t="shared" si="96"/>
        <v>123.5</v>
      </c>
      <c r="AX339" s="35"/>
      <c r="AY339" s="35">
        <f t="shared" si="97"/>
        <v>123.5</v>
      </c>
      <c r="AZ339" s="35">
        <v>0</v>
      </c>
      <c r="BA339" s="35">
        <f t="shared" si="98"/>
        <v>123.5</v>
      </c>
      <c r="BB339" s="35"/>
      <c r="BC339" s="35">
        <f t="shared" si="99"/>
        <v>123.5</v>
      </c>
      <c r="BD339" s="35">
        <v>125.1</v>
      </c>
      <c r="BE339" s="35">
        <f t="shared" si="100"/>
        <v>-1.6</v>
      </c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9"/>
      <c r="BU339" s="9"/>
      <c r="BV339" s="9"/>
      <c r="BW339" s="9"/>
      <c r="BX339" s="9"/>
      <c r="BY339" s="9"/>
      <c r="BZ339" s="9"/>
      <c r="CA339" s="9"/>
      <c r="CB339" s="9"/>
      <c r="CC339" s="9"/>
      <c r="CD339" s="9"/>
      <c r="CE339" s="9"/>
      <c r="CF339" s="9"/>
      <c r="CG339" s="9"/>
      <c r="CH339" s="9"/>
      <c r="CI339" s="9"/>
      <c r="CJ339" s="9"/>
      <c r="CK339" s="9"/>
      <c r="CL339" s="9"/>
      <c r="CM339" s="9"/>
      <c r="CN339" s="9"/>
      <c r="CO339" s="9"/>
      <c r="CP339" s="9"/>
      <c r="CQ339" s="10"/>
      <c r="CR339" s="9"/>
      <c r="CS339" s="9"/>
      <c r="CT339" s="9"/>
      <c r="CU339" s="9"/>
      <c r="CV339" s="9"/>
      <c r="CW339" s="9"/>
      <c r="CX339" s="9"/>
      <c r="CY339" s="9"/>
      <c r="CZ339" s="9"/>
      <c r="DA339" s="9"/>
      <c r="DB339" s="9"/>
      <c r="DC339" s="9"/>
      <c r="DD339" s="9"/>
      <c r="DE339" s="9"/>
      <c r="DF339" s="9"/>
      <c r="DG339" s="9"/>
      <c r="DH339" s="9"/>
      <c r="DI339" s="9"/>
      <c r="DJ339" s="9"/>
      <c r="DK339" s="9"/>
      <c r="DL339" s="9"/>
      <c r="DM339" s="9"/>
      <c r="DN339" s="9"/>
      <c r="DO339" s="9"/>
      <c r="DP339" s="9"/>
      <c r="DQ339" s="9"/>
      <c r="DR339" s="9"/>
      <c r="DS339" s="10"/>
      <c r="DT339" s="9"/>
      <c r="DU339" s="9"/>
      <c r="DV339" s="9"/>
      <c r="DW339" s="9"/>
      <c r="DX339" s="9"/>
      <c r="DY339" s="9"/>
      <c r="DZ339" s="9"/>
      <c r="EA339" s="9"/>
      <c r="EB339" s="9"/>
      <c r="EC339" s="9"/>
      <c r="ED339" s="9"/>
      <c r="EE339" s="9"/>
      <c r="EF339" s="9"/>
      <c r="EG339" s="9"/>
      <c r="EH339" s="9"/>
      <c r="EI339" s="9"/>
      <c r="EJ339" s="9"/>
      <c r="EK339" s="9"/>
      <c r="EL339" s="9"/>
      <c r="EM339" s="9"/>
      <c r="EN339" s="9"/>
      <c r="EO339" s="9"/>
      <c r="EP339" s="9"/>
      <c r="EQ339" s="9"/>
      <c r="ER339" s="9"/>
      <c r="ES339" s="9"/>
      <c r="ET339" s="9"/>
      <c r="EU339" s="10"/>
      <c r="EV339" s="9"/>
      <c r="EW339" s="9"/>
      <c r="EX339" s="9"/>
      <c r="EY339" s="9"/>
      <c r="EZ339" s="9"/>
      <c r="FA339" s="9"/>
      <c r="FB339" s="9"/>
      <c r="FC339" s="9"/>
      <c r="FD339" s="9"/>
      <c r="FE339" s="9"/>
      <c r="FF339" s="9"/>
      <c r="FG339" s="9"/>
      <c r="FH339" s="9"/>
      <c r="FI339" s="9"/>
      <c r="FJ339" s="9"/>
      <c r="FK339" s="9"/>
      <c r="FL339" s="9"/>
      <c r="FM339" s="9"/>
      <c r="FN339" s="9"/>
      <c r="FO339" s="9"/>
      <c r="FP339" s="9"/>
      <c r="FQ339" s="9"/>
      <c r="FR339" s="9"/>
      <c r="FS339" s="9"/>
      <c r="FT339" s="9"/>
      <c r="FU339" s="9"/>
      <c r="FV339" s="9"/>
      <c r="FW339" s="10"/>
      <c r="FX339" s="9"/>
      <c r="FY339" s="9"/>
      <c r="FZ339" s="9"/>
      <c r="GA339" s="9"/>
      <c r="GB339" s="9"/>
      <c r="GC339" s="9"/>
      <c r="GD339" s="9"/>
      <c r="GE339" s="9"/>
      <c r="GF339" s="9"/>
      <c r="GG339" s="9"/>
      <c r="GH339" s="9"/>
      <c r="GI339" s="9"/>
      <c r="GJ339" s="9"/>
      <c r="GK339" s="9"/>
      <c r="GL339" s="9"/>
      <c r="GM339" s="9"/>
      <c r="GN339" s="9"/>
      <c r="GO339" s="9"/>
      <c r="GP339" s="9"/>
      <c r="GQ339" s="9"/>
      <c r="GR339" s="9"/>
      <c r="GS339" s="9"/>
      <c r="GT339" s="9"/>
      <c r="GU339" s="9"/>
      <c r="GV339" s="9"/>
      <c r="GW339" s="9"/>
      <c r="GX339" s="9"/>
      <c r="GY339" s="10"/>
      <c r="GZ339" s="9"/>
      <c r="HA339" s="9"/>
    </row>
    <row r="340" spans="1:209" s="2" customFormat="1" ht="17" customHeight="1">
      <c r="A340" s="46" t="s">
        <v>332</v>
      </c>
      <c r="B340" s="35">
        <v>0</v>
      </c>
      <c r="C340" s="35">
        <v>0</v>
      </c>
      <c r="D340" s="4">
        <f t="shared" si="87"/>
        <v>0</v>
      </c>
      <c r="E340" s="11">
        <v>0</v>
      </c>
      <c r="F340" s="5" t="s">
        <v>362</v>
      </c>
      <c r="G340" s="5" t="s">
        <v>362</v>
      </c>
      <c r="H340" s="5" t="s">
        <v>362</v>
      </c>
      <c r="I340" s="5" t="s">
        <v>362</v>
      </c>
      <c r="J340" s="5" t="s">
        <v>362</v>
      </c>
      <c r="K340" s="5" t="s">
        <v>362</v>
      </c>
      <c r="L340" s="5" t="s">
        <v>362</v>
      </c>
      <c r="M340" s="5" t="s">
        <v>362</v>
      </c>
      <c r="N340" s="35">
        <v>315.39999999999998</v>
      </c>
      <c r="O340" s="35">
        <v>131.9</v>
      </c>
      <c r="P340" s="4">
        <f t="shared" si="88"/>
        <v>0.41819911223842743</v>
      </c>
      <c r="Q340" s="11">
        <v>20</v>
      </c>
      <c r="R340" s="35">
        <v>30</v>
      </c>
      <c r="S340" s="35">
        <v>27.7</v>
      </c>
      <c r="T340" s="4">
        <f t="shared" si="89"/>
        <v>0.92333333333333334</v>
      </c>
      <c r="U340" s="11">
        <v>20</v>
      </c>
      <c r="V340" s="35">
        <v>12</v>
      </c>
      <c r="W340" s="35">
        <v>13.1</v>
      </c>
      <c r="X340" s="4">
        <f t="shared" si="90"/>
        <v>1.0916666666666666</v>
      </c>
      <c r="Y340" s="11">
        <v>30</v>
      </c>
      <c r="Z340" s="35">
        <v>3495</v>
      </c>
      <c r="AA340" s="35">
        <v>2292</v>
      </c>
      <c r="AB340" s="4">
        <f t="shared" si="91"/>
        <v>0.65579399141630901</v>
      </c>
      <c r="AC340" s="11">
        <v>5</v>
      </c>
      <c r="AD340" s="11">
        <v>407</v>
      </c>
      <c r="AE340" s="11">
        <v>407</v>
      </c>
      <c r="AF340" s="4">
        <f t="shared" si="92"/>
        <v>1</v>
      </c>
      <c r="AG340" s="11">
        <v>20</v>
      </c>
      <c r="AH340" s="5" t="s">
        <v>362</v>
      </c>
      <c r="AI340" s="5" t="s">
        <v>362</v>
      </c>
      <c r="AJ340" s="5" t="s">
        <v>362</v>
      </c>
      <c r="AK340" s="5" t="s">
        <v>362</v>
      </c>
      <c r="AL340" s="5" t="s">
        <v>362</v>
      </c>
      <c r="AM340" s="5" t="s">
        <v>362</v>
      </c>
      <c r="AN340" s="5" t="s">
        <v>362</v>
      </c>
      <c r="AO340" s="5" t="s">
        <v>362</v>
      </c>
      <c r="AP340" s="44">
        <f t="shared" si="101"/>
        <v>0.87220651440543961</v>
      </c>
      <c r="AQ340" s="45">
        <v>1315</v>
      </c>
      <c r="AR340" s="35">
        <f t="shared" si="93"/>
        <v>358.63636363636363</v>
      </c>
      <c r="AS340" s="35">
        <f t="shared" si="94"/>
        <v>312.8</v>
      </c>
      <c r="AT340" s="35">
        <f t="shared" si="95"/>
        <v>-45.836363636363615</v>
      </c>
      <c r="AU340" s="35">
        <v>105.8</v>
      </c>
      <c r="AV340" s="35">
        <v>97</v>
      </c>
      <c r="AW340" s="35">
        <f t="shared" si="96"/>
        <v>110</v>
      </c>
      <c r="AX340" s="35"/>
      <c r="AY340" s="35">
        <f t="shared" si="97"/>
        <v>110</v>
      </c>
      <c r="AZ340" s="35">
        <v>0</v>
      </c>
      <c r="BA340" s="35">
        <f t="shared" si="98"/>
        <v>110</v>
      </c>
      <c r="BB340" s="35"/>
      <c r="BC340" s="35">
        <f t="shared" si="99"/>
        <v>110</v>
      </c>
      <c r="BD340" s="35">
        <v>114.3</v>
      </c>
      <c r="BE340" s="35">
        <f t="shared" si="100"/>
        <v>-4.3</v>
      </c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9"/>
      <c r="BU340" s="9"/>
      <c r="BV340" s="9"/>
      <c r="BW340" s="9"/>
      <c r="BX340" s="9"/>
      <c r="BY340" s="9"/>
      <c r="BZ340" s="9"/>
      <c r="CA340" s="9"/>
      <c r="CB340" s="9"/>
      <c r="CC340" s="9"/>
      <c r="CD340" s="9"/>
      <c r="CE340" s="9"/>
      <c r="CF340" s="9"/>
      <c r="CG340" s="9"/>
      <c r="CH340" s="9"/>
      <c r="CI340" s="9"/>
      <c r="CJ340" s="9"/>
      <c r="CK340" s="9"/>
      <c r="CL340" s="9"/>
      <c r="CM340" s="9"/>
      <c r="CN340" s="9"/>
      <c r="CO340" s="9"/>
      <c r="CP340" s="9"/>
      <c r="CQ340" s="10"/>
      <c r="CR340" s="9"/>
      <c r="CS340" s="9"/>
      <c r="CT340" s="9"/>
      <c r="CU340" s="9"/>
      <c r="CV340" s="9"/>
      <c r="CW340" s="9"/>
      <c r="CX340" s="9"/>
      <c r="CY340" s="9"/>
      <c r="CZ340" s="9"/>
      <c r="DA340" s="9"/>
      <c r="DB340" s="9"/>
      <c r="DC340" s="9"/>
      <c r="DD340" s="9"/>
      <c r="DE340" s="9"/>
      <c r="DF340" s="9"/>
      <c r="DG340" s="9"/>
      <c r="DH340" s="9"/>
      <c r="DI340" s="9"/>
      <c r="DJ340" s="9"/>
      <c r="DK340" s="9"/>
      <c r="DL340" s="9"/>
      <c r="DM340" s="9"/>
      <c r="DN340" s="9"/>
      <c r="DO340" s="9"/>
      <c r="DP340" s="9"/>
      <c r="DQ340" s="9"/>
      <c r="DR340" s="9"/>
      <c r="DS340" s="10"/>
      <c r="DT340" s="9"/>
      <c r="DU340" s="9"/>
      <c r="DV340" s="9"/>
      <c r="DW340" s="9"/>
      <c r="DX340" s="9"/>
      <c r="DY340" s="9"/>
      <c r="DZ340" s="9"/>
      <c r="EA340" s="9"/>
      <c r="EB340" s="9"/>
      <c r="EC340" s="9"/>
      <c r="ED340" s="9"/>
      <c r="EE340" s="9"/>
      <c r="EF340" s="9"/>
      <c r="EG340" s="9"/>
      <c r="EH340" s="9"/>
      <c r="EI340" s="9"/>
      <c r="EJ340" s="9"/>
      <c r="EK340" s="9"/>
      <c r="EL340" s="9"/>
      <c r="EM340" s="9"/>
      <c r="EN340" s="9"/>
      <c r="EO340" s="9"/>
      <c r="EP340" s="9"/>
      <c r="EQ340" s="9"/>
      <c r="ER340" s="9"/>
      <c r="ES340" s="9"/>
      <c r="ET340" s="9"/>
      <c r="EU340" s="10"/>
      <c r="EV340" s="9"/>
      <c r="EW340" s="9"/>
      <c r="EX340" s="9"/>
      <c r="EY340" s="9"/>
      <c r="EZ340" s="9"/>
      <c r="FA340" s="9"/>
      <c r="FB340" s="9"/>
      <c r="FC340" s="9"/>
      <c r="FD340" s="9"/>
      <c r="FE340" s="9"/>
      <c r="FF340" s="9"/>
      <c r="FG340" s="9"/>
      <c r="FH340" s="9"/>
      <c r="FI340" s="9"/>
      <c r="FJ340" s="9"/>
      <c r="FK340" s="9"/>
      <c r="FL340" s="9"/>
      <c r="FM340" s="9"/>
      <c r="FN340" s="9"/>
      <c r="FO340" s="9"/>
      <c r="FP340" s="9"/>
      <c r="FQ340" s="9"/>
      <c r="FR340" s="9"/>
      <c r="FS340" s="9"/>
      <c r="FT340" s="9"/>
      <c r="FU340" s="9"/>
      <c r="FV340" s="9"/>
      <c r="FW340" s="10"/>
      <c r="FX340" s="9"/>
      <c r="FY340" s="9"/>
      <c r="FZ340" s="9"/>
      <c r="GA340" s="9"/>
      <c r="GB340" s="9"/>
      <c r="GC340" s="9"/>
      <c r="GD340" s="9"/>
      <c r="GE340" s="9"/>
      <c r="GF340" s="9"/>
      <c r="GG340" s="9"/>
      <c r="GH340" s="9"/>
      <c r="GI340" s="9"/>
      <c r="GJ340" s="9"/>
      <c r="GK340" s="9"/>
      <c r="GL340" s="9"/>
      <c r="GM340" s="9"/>
      <c r="GN340" s="9"/>
      <c r="GO340" s="9"/>
      <c r="GP340" s="9"/>
      <c r="GQ340" s="9"/>
      <c r="GR340" s="9"/>
      <c r="GS340" s="9"/>
      <c r="GT340" s="9"/>
      <c r="GU340" s="9"/>
      <c r="GV340" s="9"/>
      <c r="GW340" s="9"/>
      <c r="GX340" s="9"/>
      <c r="GY340" s="10"/>
      <c r="GZ340" s="9"/>
      <c r="HA340" s="9"/>
    </row>
    <row r="341" spans="1:209" s="2" customFormat="1" ht="17" customHeight="1">
      <c r="A341" s="46" t="s">
        <v>333</v>
      </c>
      <c r="B341" s="35">
        <v>105</v>
      </c>
      <c r="C341" s="35">
        <v>96</v>
      </c>
      <c r="D341" s="4">
        <f t="shared" si="87"/>
        <v>0.91428571428571426</v>
      </c>
      <c r="E341" s="11">
        <v>10</v>
      </c>
      <c r="F341" s="5" t="s">
        <v>362</v>
      </c>
      <c r="G341" s="5" t="s">
        <v>362</v>
      </c>
      <c r="H341" s="5" t="s">
        <v>362</v>
      </c>
      <c r="I341" s="5" t="s">
        <v>362</v>
      </c>
      <c r="J341" s="5" t="s">
        <v>362</v>
      </c>
      <c r="K341" s="5" t="s">
        <v>362</v>
      </c>
      <c r="L341" s="5" t="s">
        <v>362</v>
      </c>
      <c r="M341" s="5" t="s">
        <v>362</v>
      </c>
      <c r="N341" s="35">
        <v>116.6</v>
      </c>
      <c r="O341" s="35">
        <v>62.6</v>
      </c>
      <c r="P341" s="4">
        <f t="shared" si="88"/>
        <v>0.53687821612349917</v>
      </c>
      <c r="Q341" s="11">
        <v>20</v>
      </c>
      <c r="R341" s="35">
        <v>74</v>
      </c>
      <c r="S341" s="35">
        <v>104.3</v>
      </c>
      <c r="T341" s="4">
        <f t="shared" si="89"/>
        <v>1.220945945945946</v>
      </c>
      <c r="U341" s="11">
        <v>30</v>
      </c>
      <c r="V341" s="35">
        <v>3.5</v>
      </c>
      <c r="W341" s="35">
        <v>3.6</v>
      </c>
      <c r="X341" s="4">
        <f t="shared" si="90"/>
        <v>1.0285714285714287</v>
      </c>
      <c r="Y341" s="11">
        <v>20</v>
      </c>
      <c r="Z341" s="35">
        <v>2039</v>
      </c>
      <c r="AA341" s="35">
        <v>1898</v>
      </c>
      <c r="AB341" s="4">
        <f t="shared" si="91"/>
        <v>0.93084845512506131</v>
      </c>
      <c r="AC341" s="11">
        <v>5</v>
      </c>
      <c r="AD341" s="11">
        <v>207</v>
      </c>
      <c r="AE341" s="11">
        <v>207</v>
      </c>
      <c r="AF341" s="4">
        <f t="shared" si="92"/>
        <v>1</v>
      </c>
      <c r="AG341" s="11">
        <v>20</v>
      </c>
      <c r="AH341" s="5" t="s">
        <v>362</v>
      </c>
      <c r="AI341" s="5" t="s">
        <v>362</v>
      </c>
      <c r="AJ341" s="5" t="s">
        <v>362</v>
      </c>
      <c r="AK341" s="5" t="s">
        <v>362</v>
      </c>
      <c r="AL341" s="5" t="s">
        <v>362</v>
      </c>
      <c r="AM341" s="5" t="s">
        <v>362</v>
      </c>
      <c r="AN341" s="5" t="s">
        <v>362</v>
      </c>
      <c r="AO341" s="5" t="s">
        <v>362</v>
      </c>
      <c r="AP341" s="44">
        <f t="shared" si="101"/>
        <v>0.96889972086437504</v>
      </c>
      <c r="AQ341" s="45">
        <v>551</v>
      </c>
      <c r="AR341" s="35">
        <f t="shared" si="93"/>
        <v>150.27272727272728</v>
      </c>
      <c r="AS341" s="35">
        <f t="shared" si="94"/>
        <v>145.6</v>
      </c>
      <c r="AT341" s="35">
        <f t="shared" si="95"/>
        <v>-4.6727272727272862</v>
      </c>
      <c r="AU341" s="35">
        <v>60.6</v>
      </c>
      <c r="AV341" s="35">
        <v>45.8</v>
      </c>
      <c r="AW341" s="35">
        <f t="shared" si="96"/>
        <v>39.200000000000003</v>
      </c>
      <c r="AX341" s="35"/>
      <c r="AY341" s="35">
        <f t="shared" si="97"/>
        <v>39.200000000000003</v>
      </c>
      <c r="AZ341" s="35">
        <v>0</v>
      </c>
      <c r="BA341" s="35">
        <f t="shared" si="98"/>
        <v>39.200000000000003</v>
      </c>
      <c r="BB341" s="35"/>
      <c r="BC341" s="35">
        <f t="shared" si="99"/>
        <v>39.200000000000003</v>
      </c>
      <c r="BD341" s="35">
        <v>39.5</v>
      </c>
      <c r="BE341" s="35">
        <f t="shared" si="100"/>
        <v>-0.3</v>
      </c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9"/>
      <c r="BU341" s="9"/>
      <c r="BV341" s="9"/>
      <c r="BW341" s="9"/>
      <c r="BX341" s="9"/>
      <c r="BY341" s="9"/>
      <c r="BZ341" s="9"/>
      <c r="CA341" s="9"/>
      <c r="CB341" s="9"/>
      <c r="CC341" s="9"/>
      <c r="CD341" s="9"/>
      <c r="CE341" s="9"/>
      <c r="CF341" s="9"/>
      <c r="CG341" s="9"/>
      <c r="CH341" s="9"/>
      <c r="CI341" s="9"/>
      <c r="CJ341" s="9"/>
      <c r="CK341" s="9"/>
      <c r="CL341" s="9"/>
      <c r="CM341" s="9"/>
      <c r="CN341" s="9"/>
      <c r="CO341" s="9"/>
      <c r="CP341" s="9"/>
      <c r="CQ341" s="10"/>
      <c r="CR341" s="9"/>
      <c r="CS341" s="9"/>
      <c r="CT341" s="9"/>
      <c r="CU341" s="9"/>
      <c r="CV341" s="9"/>
      <c r="CW341" s="9"/>
      <c r="CX341" s="9"/>
      <c r="CY341" s="9"/>
      <c r="CZ341" s="9"/>
      <c r="DA341" s="9"/>
      <c r="DB341" s="9"/>
      <c r="DC341" s="9"/>
      <c r="DD341" s="9"/>
      <c r="DE341" s="9"/>
      <c r="DF341" s="9"/>
      <c r="DG341" s="9"/>
      <c r="DH341" s="9"/>
      <c r="DI341" s="9"/>
      <c r="DJ341" s="9"/>
      <c r="DK341" s="9"/>
      <c r="DL341" s="9"/>
      <c r="DM341" s="9"/>
      <c r="DN341" s="9"/>
      <c r="DO341" s="9"/>
      <c r="DP341" s="9"/>
      <c r="DQ341" s="9"/>
      <c r="DR341" s="9"/>
      <c r="DS341" s="10"/>
      <c r="DT341" s="9"/>
      <c r="DU341" s="9"/>
      <c r="DV341" s="9"/>
      <c r="DW341" s="9"/>
      <c r="DX341" s="9"/>
      <c r="DY341" s="9"/>
      <c r="DZ341" s="9"/>
      <c r="EA341" s="9"/>
      <c r="EB341" s="9"/>
      <c r="EC341" s="9"/>
      <c r="ED341" s="9"/>
      <c r="EE341" s="9"/>
      <c r="EF341" s="9"/>
      <c r="EG341" s="9"/>
      <c r="EH341" s="9"/>
      <c r="EI341" s="9"/>
      <c r="EJ341" s="9"/>
      <c r="EK341" s="9"/>
      <c r="EL341" s="9"/>
      <c r="EM341" s="9"/>
      <c r="EN341" s="9"/>
      <c r="EO341" s="9"/>
      <c r="EP341" s="9"/>
      <c r="EQ341" s="9"/>
      <c r="ER341" s="9"/>
      <c r="ES341" s="9"/>
      <c r="ET341" s="9"/>
      <c r="EU341" s="10"/>
      <c r="EV341" s="9"/>
      <c r="EW341" s="9"/>
      <c r="EX341" s="9"/>
      <c r="EY341" s="9"/>
      <c r="EZ341" s="9"/>
      <c r="FA341" s="9"/>
      <c r="FB341" s="9"/>
      <c r="FC341" s="9"/>
      <c r="FD341" s="9"/>
      <c r="FE341" s="9"/>
      <c r="FF341" s="9"/>
      <c r="FG341" s="9"/>
      <c r="FH341" s="9"/>
      <c r="FI341" s="9"/>
      <c r="FJ341" s="9"/>
      <c r="FK341" s="9"/>
      <c r="FL341" s="9"/>
      <c r="FM341" s="9"/>
      <c r="FN341" s="9"/>
      <c r="FO341" s="9"/>
      <c r="FP341" s="9"/>
      <c r="FQ341" s="9"/>
      <c r="FR341" s="9"/>
      <c r="FS341" s="9"/>
      <c r="FT341" s="9"/>
      <c r="FU341" s="9"/>
      <c r="FV341" s="9"/>
      <c r="FW341" s="10"/>
      <c r="FX341" s="9"/>
      <c r="FY341" s="9"/>
      <c r="FZ341" s="9"/>
      <c r="GA341" s="9"/>
      <c r="GB341" s="9"/>
      <c r="GC341" s="9"/>
      <c r="GD341" s="9"/>
      <c r="GE341" s="9"/>
      <c r="GF341" s="9"/>
      <c r="GG341" s="9"/>
      <c r="GH341" s="9"/>
      <c r="GI341" s="9"/>
      <c r="GJ341" s="9"/>
      <c r="GK341" s="9"/>
      <c r="GL341" s="9"/>
      <c r="GM341" s="9"/>
      <c r="GN341" s="9"/>
      <c r="GO341" s="9"/>
      <c r="GP341" s="9"/>
      <c r="GQ341" s="9"/>
      <c r="GR341" s="9"/>
      <c r="GS341" s="9"/>
      <c r="GT341" s="9"/>
      <c r="GU341" s="9"/>
      <c r="GV341" s="9"/>
      <c r="GW341" s="9"/>
      <c r="GX341" s="9"/>
      <c r="GY341" s="10"/>
      <c r="GZ341" s="9"/>
      <c r="HA341" s="9"/>
    </row>
    <row r="342" spans="1:209" s="2" customFormat="1" ht="17" customHeight="1">
      <c r="A342" s="46" t="s">
        <v>334</v>
      </c>
      <c r="B342" s="35">
        <v>82010</v>
      </c>
      <c r="C342" s="35">
        <v>70915.5</v>
      </c>
      <c r="D342" s="4">
        <f t="shared" si="87"/>
        <v>0.86471771735154246</v>
      </c>
      <c r="E342" s="11">
        <v>10</v>
      </c>
      <c r="F342" s="5" t="s">
        <v>362</v>
      </c>
      <c r="G342" s="5" t="s">
        <v>362</v>
      </c>
      <c r="H342" s="5" t="s">
        <v>362</v>
      </c>
      <c r="I342" s="5" t="s">
        <v>362</v>
      </c>
      <c r="J342" s="5" t="s">
        <v>362</v>
      </c>
      <c r="K342" s="5" t="s">
        <v>362</v>
      </c>
      <c r="L342" s="5" t="s">
        <v>362</v>
      </c>
      <c r="M342" s="5" t="s">
        <v>362</v>
      </c>
      <c r="N342" s="35">
        <v>1917.1</v>
      </c>
      <c r="O342" s="35">
        <v>1662.5</v>
      </c>
      <c r="P342" s="4">
        <f t="shared" si="88"/>
        <v>0.86719524281466798</v>
      </c>
      <c r="Q342" s="11">
        <v>20</v>
      </c>
      <c r="R342" s="35">
        <v>38</v>
      </c>
      <c r="S342" s="35">
        <v>39.4</v>
      </c>
      <c r="T342" s="4">
        <f t="shared" si="89"/>
        <v>1.0368421052631578</v>
      </c>
      <c r="U342" s="11">
        <v>20</v>
      </c>
      <c r="V342" s="35">
        <v>11</v>
      </c>
      <c r="W342" s="35">
        <v>11.1</v>
      </c>
      <c r="X342" s="4">
        <f t="shared" si="90"/>
        <v>1.009090909090909</v>
      </c>
      <c r="Y342" s="11">
        <v>30</v>
      </c>
      <c r="Z342" s="35">
        <v>128251</v>
      </c>
      <c r="AA342" s="35">
        <v>121542</v>
      </c>
      <c r="AB342" s="4">
        <f t="shared" si="91"/>
        <v>0.94768851704860002</v>
      </c>
      <c r="AC342" s="11">
        <v>5</v>
      </c>
      <c r="AD342" s="11">
        <v>310</v>
      </c>
      <c r="AE342" s="11">
        <v>310</v>
      </c>
      <c r="AF342" s="4">
        <f t="shared" si="92"/>
        <v>1</v>
      </c>
      <c r="AG342" s="11">
        <v>20</v>
      </c>
      <c r="AH342" s="5" t="s">
        <v>362</v>
      </c>
      <c r="AI342" s="5" t="s">
        <v>362</v>
      </c>
      <c r="AJ342" s="5" t="s">
        <v>362</v>
      </c>
      <c r="AK342" s="5" t="s">
        <v>362</v>
      </c>
      <c r="AL342" s="5" t="s">
        <v>362</v>
      </c>
      <c r="AM342" s="5" t="s">
        <v>362</v>
      </c>
      <c r="AN342" s="5" t="s">
        <v>362</v>
      </c>
      <c r="AO342" s="5" t="s">
        <v>362</v>
      </c>
      <c r="AP342" s="44">
        <f t="shared" si="101"/>
        <v>0.96894375231468777</v>
      </c>
      <c r="AQ342" s="45">
        <v>1726</v>
      </c>
      <c r="AR342" s="35">
        <f t="shared" si="93"/>
        <v>470.72727272727275</v>
      </c>
      <c r="AS342" s="35">
        <f t="shared" si="94"/>
        <v>456.1</v>
      </c>
      <c r="AT342" s="35">
        <f t="shared" si="95"/>
        <v>-14.627272727272725</v>
      </c>
      <c r="AU342" s="35">
        <v>165</v>
      </c>
      <c r="AV342" s="35">
        <v>146.6</v>
      </c>
      <c r="AW342" s="35">
        <f t="shared" si="96"/>
        <v>144.5</v>
      </c>
      <c r="AX342" s="35"/>
      <c r="AY342" s="35">
        <f t="shared" si="97"/>
        <v>144.5</v>
      </c>
      <c r="AZ342" s="35">
        <v>0</v>
      </c>
      <c r="BA342" s="35">
        <f t="shared" si="98"/>
        <v>144.5</v>
      </c>
      <c r="BB342" s="35"/>
      <c r="BC342" s="35">
        <f t="shared" si="99"/>
        <v>144.5</v>
      </c>
      <c r="BD342" s="35">
        <v>145</v>
      </c>
      <c r="BE342" s="35">
        <f t="shared" si="100"/>
        <v>-0.5</v>
      </c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9"/>
      <c r="BU342" s="9"/>
      <c r="BV342" s="9"/>
      <c r="BW342" s="9"/>
      <c r="BX342" s="9"/>
      <c r="BY342" s="9"/>
      <c r="BZ342" s="9"/>
      <c r="CA342" s="9"/>
      <c r="CB342" s="9"/>
      <c r="CC342" s="9"/>
      <c r="CD342" s="9"/>
      <c r="CE342" s="9"/>
      <c r="CF342" s="9"/>
      <c r="CG342" s="9"/>
      <c r="CH342" s="9"/>
      <c r="CI342" s="9"/>
      <c r="CJ342" s="9"/>
      <c r="CK342" s="9"/>
      <c r="CL342" s="9"/>
      <c r="CM342" s="9"/>
      <c r="CN342" s="9"/>
      <c r="CO342" s="9"/>
      <c r="CP342" s="9"/>
      <c r="CQ342" s="10"/>
      <c r="CR342" s="9"/>
      <c r="CS342" s="9"/>
      <c r="CT342" s="9"/>
      <c r="CU342" s="9"/>
      <c r="CV342" s="9"/>
      <c r="CW342" s="9"/>
      <c r="CX342" s="9"/>
      <c r="CY342" s="9"/>
      <c r="CZ342" s="9"/>
      <c r="DA342" s="9"/>
      <c r="DB342" s="9"/>
      <c r="DC342" s="9"/>
      <c r="DD342" s="9"/>
      <c r="DE342" s="9"/>
      <c r="DF342" s="9"/>
      <c r="DG342" s="9"/>
      <c r="DH342" s="9"/>
      <c r="DI342" s="9"/>
      <c r="DJ342" s="9"/>
      <c r="DK342" s="9"/>
      <c r="DL342" s="9"/>
      <c r="DM342" s="9"/>
      <c r="DN342" s="9"/>
      <c r="DO342" s="9"/>
      <c r="DP342" s="9"/>
      <c r="DQ342" s="9"/>
      <c r="DR342" s="9"/>
      <c r="DS342" s="10"/>
      <c r="DT342" s="9"/>
      <c r="DU342" s="9"/>
      <c r="DV342" s="9"/>
      <c r="DW342" s="9"/>
      <c r="DX342" s="9"/>
      <c r="DY342" s="9"/>
      <c r="DZ342" s="9"/>
      <c r="EA342" s="9"/>
      <c r="EB342" s="9"/>
      <c r="EC342" s="9"/>
      <c r="ED342" s="9"/>
      <c r="EE342" s="9"/>
      <c r="EF342" s="9"/>
      <c r="EG342" s="9"/>
      <c r="EH342" s="9"/>
      <c r="EI342" s="9"/>
      <c r="EJ342" s="9"/>
      <c r="EK342" s="9"/>
      <c r="EL342" s="9"/>
      <c r="EM342" s="9"/>
      <c r="EN342" s="9"/>
      <c r="EO342" s="9"/>
      <c r="EP342" s="9"/>
      <c r="EQ342" s="9"/>
      <c r="ER342" s="9"/>
      <c r="ES342" s="9"/>
      <c r="ET342" s="9"/>
      <c r="EU342" s="10"/>
      <c r="EV342" s="9"/>
      <c r="EW342" s="9"/>
      <c r="EX342" s="9"/>
      <c r="EY342" s="9"/>
      <c r="EZ342" s="9"/>
      <c r="FA342" s="9"/>
      <c r="FB342" s="9"/>
      <c r="FC342" s="9"/>
      <c r="FD342" s="9"/>
      <c r="FE342" s="9"/>
      <c r="FF342" s="9"/>
      <c r="FG342" s="9"/>
      <c r="FH342" s="9"/>
      <c r="FI342" s="9"/>
      <c r="FJ342" s="9"/>
      <c r="FK342" s="9"/>
      <c r="FL342" s="9"/>
      <c r="FM342" s="9"/>
      <c r="FN342" s="9"/>
      <c r="FO342" s="9"/>
      <c r="FP342" s="9"/>
      <c r="FQ342" s="9"/>
      <c r="FR342" s="9"/>
      <c r="FS342" s="9"/>
      <c r="FT342" s="9"/>
      <c r="FU342" s="9"/>
      <c r="FV342" s="9"/>
      <c r="FW342" s="10"/>
      <c r="FX342" s="9"/>
      <c r="FY342" s="9"/>
      <c r="FZ342" s="9"/>
      <c r="GA342" s="9"/>
      <c r="GB342" s="9"/>
      <c r="GC342" s="9"/>
      <c r="GD342" s="9"/>
      <c r="GE342" s="9"/>
      <c r="GF342" s="9"/>
      <c r="GG342" s="9"/>
      <c r="GH342" s="9"/>
      <c r="GI342" s="9"/>
      <c r="GJ342" s="9"/>
      <c r="GK342" s="9"/>
      <c r="GL342" s="9"/>
      <c r="GM342" s="9"/>
      <c r="GN342" s="9"/>
      <c r="GO342" s="9"/>
      <c r="GP342" s="9"/>
      <c r="GQ342" s="9"/>
      <c r="GR342" s="9"/>
      <c r="GS342" s="9"/>
      <c r="GT342" s="9"/>
      <c r="GU342" s="9"/>
      <c r="GV342" s="9"/>
      <c r="GW342" s="9"/>
      <c r="GX342" s="9"/>
      <c r="GY342" s="10"/>
      <c r="GZ342" s="9"/>
      <c r="HA342" s="9"/>
    </row>
    <row r="343" spans="1:209" s="2" customFormat="1" ht="17" customHeight="1">
      <c r="A343" s="46" t="s">
        <v>335</v>
      </c>
      <c r="B343" s="35">
        <v>110</v>
      </c>
      <c r="C343" s="35">
        <v>107.6</v>
      </c>
      <c r="D343" s="4">
        <f t="shared" si="87"/>
        <v>0.97818181818181815</v>
      </c>
      <c r="E343" s="11">
        <v>10</v>
      </c>
      <c r="F343" s="5" t="s">
        <v>362</v>
      </c>
      <c r="G343" s="5" t="s">
        <v>362</v>
      </c>
      <c r="H343" s="5" t="s">
        <v>362</v>
      </c>
      <c r="I343" s="5" t="s">
        <v>362</v>
      </c>
      <c r="J343" s="5" t="s">
        <v>362</v>
      </c>
      <c r="K343" s="5" t="s">
        <v>362</v>
      </c>
      <c r="L343" s="5" t="s">
        <v>362</v>
      </c>
      <c r="M343" s="5" t="s">
        <v>362</v>
      </c>
      <c r="N343" s="35">
        <v>126.6</v>
      </c>
      <c r="O343" s="35">
        <v>77.099999999999994</v>
      </c>
      <c r="P343" s="4">
        <f t="shared" si="88"/>
        <v>0.60900473933649291</v>
      </c>
      <c r="Q343" s="11">
        <v>20</v>
      </c>
      <c r="R343" s="35">
        <v>49</v>
      </c>
      <c r="S343" s="35">
        <v>48.9</v>
      </c>
      <c r="T343" s="4">
        <f t="shared" si="89"/>
        <v>0.99795918367346936</v>
      </c>
      <c r="U343" s="11">
        <v>30</v>
      </c>
      <c r="V343" s="35">
        <v>6</v>
      </c>
      <c r="W343" s="35">
        <v>6.1</v>
      </c>
      <c r="X343" s="4">
        <f t="shared" si="90"/>
        <v>1.0166666666666666</v>
      </c>
      <c r="Y343" s="11">
        <v>20</v>
      </c>
      <c r="Z343" s="35">
        <v>866</v>
      </c>
      <c r="AA343" s="35">
        <v>487</v>
      </c>
      <c r="AB343" s="4">
        <f t="shared" si="91"/>
        <v>0.56235565819861433</v>
      </c>
      <c r="AC343" s="11">
        <v>5</v>
      </c>
      <c r="AD343" s="11">
        <v>560</v>
      </c>
      <c r="AE343" s="11">
        <v>560</v>
      </c>
      <c r="AF343" s="4">
        <f t="shared" si="92"/>
        <v>1</v>
      </c>
      <c r="AG343" s="11">
        <v>20</v>
      </c>
      <c r="AH343" s="5" t="s">
        <v>362</v>
      </c>
      <c r="AI343" s="5" t="s">
        <v>362</v>
      </c>
      <c r="AJ343" s="5" t="s">
        <v>362</v>
      </c>
      <c r="AK343" s="5" t="s">
        <v>362</v>
      </c>
      <c r="AL343" s="5" t="s">
        <v>362</v>
      </c>
      <c r="AM343" s="5" t="s">
        <v>362</v>
      </c>
      <c r="AN343" s="5" t="s">
        <v>362</v>
      </c>
      <c r="AO343" s="5" t="s">
        <v>362</v>
      </c>
      <c r="AP343" s="44">
        <f t="shared" si="101"/>
        <v>0.90519809621979552</v>
      </c>
      <c r="AQ343" s="45">
        <v>538</v>
      </c>
      <c r="AR343" s="35">
        <f t="shared" si="93"/>
        <v>146.72727272727272</v>
      </c>
      <c r="AS343" s="35">
        <f t="shared" si="94"/>
        <v>132.80000000000001</v>
      </c>
      <c r="AT343" s="35">
        <f t="shared" si="95"/>
        <v>-13.927272727272708</v>
      </c>
      <c r="AU343" s="35">
        <v>43.5</v>
      </c>
      <c r="AV343" s="35">
        <v>44.4</v>
      </c>
      <c r="AW343" s="35">
        <f t="shared" si="96"/>
        <v>44.9</v>
      </c>
      <c r="AX343" s="35"/>
      <c r="AY343" s="35">
        <f t="shared" si="97"/>
        <v>44.9</v>
      </c>
      <c r="AZ343" s="35">
        <v>0</v>
      </c>
      <c r="BA343" s="35">
        <f t="shared" si="98"/>
        <v>44.9</v>
      </c>
      <c r="BB343" s="35"/>
      <c r="BC343" s="35">
        <f t="shared" si="99"/>
        <v>44.9</v>
      </c>
      <c r="BD343" s="35">
        <v>47.4</v>
      </c>
      <c r="BE343" s="35">
        <f t="shared" si="100"/>
        <v>-2.5</v>
      </c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</row>
    <row r="344" spans="1:209" s="2" customFormat="1" ht="17" customHeight="1">
      <c r="A344" s="46" t="s">
        <v>336</v>
      </c>
      <c r="B344" s="35">
        <v>69</v>
      </c>
      <c r="C344" s="35">
        <v>75.2</v>
      </c>
      <c r="D344" s="4">
        <f t="shared" si="87"/>
        <v>1.0898550724637681</v>
      </c>
      <c r="E344" s="11">
        <v>10</v>
      </c>
      <c r="F344" s="5" t="s">
        <v>362</v>
      </c>
      <c r="G344" s="5" t="s">
        <v>362</v>
      </c>
      <c r="H344" s="5" t="s">
        <v>362</v>
      </c>
      <c r="I344" s="5" t="s">
        <v>362</v>
      </c>
      <c r="J344" s="5" t="s">
        <v>362</v>
      </c>
      <c r="K344" s="5" t="s">
        <v>362</v>
      </c>
      <c r="L344" s="5" t="s">
        <v>362</v>
      </c>
      <c r="M344" s="5" t="s">
        <v>362</v>
      </c>
      <c r="N344" s="35">
        <v>131.4</v>
      </c>
      <c r="O344" s="35">
        <v>127.8</v>
      </c>
      <c r="P344" s="4">
        <f t="shared" si="88"/>
        <v>0.97260273972602729</v>
      </c>
      <c r="Q344" s="11">
        <v>20</v>
      </c>
      <c r="R344" s="35">
        <v>4</v>
      </c>
      <c r="S344" s="35">
        <v>16</v>
      </c>
      <c r="T344" s="4">
        <f t="shared" si="89"/>
        <v>1.3</v>
      </c>
      <c r="U344" s="11">
        <v>25</v>
      </c>
      <c r="V344" s="35">
        <v>4.4000000000000004</v>
      </c>
      <c r="W344" s="35">
        <v>4.5</v>
      </c>
      <c r="X344" s="4">
        <f t="shared" si="90"/>
        <v>1.0227272727272727</v>
      </c>
      <c r="Y344" s="11">
        <v>25</v>
      </c>
      <c r="Z344" s="35">
        <v>5387</v>
      </c>
      <c r="AA344" s="35">
        <v>4045</v>
      </c>
      <c r="AB344" s="4">
        <f t="shared" si="91"/>
        <v>0.75088175236680899</v>
      </c>
      <c r="AC344" s="11">
        <v>5</v>
      </c>
      <c r="AD344" s="11">
        <v>355</v>
      </c>
      <c r="AE344" s="11">
        <v>355</v>
      </c>
      <c r="AF344" s="4">
        <f t="shared" si="92"/>
        <v>1</v>
      </c>
      <c r="AG344" s="11">
        <v>20</v>
      </c>
      <c r="AH344" s="5" t="s">
        <v>362</v>
      </c>
      <c r="AI344" s="5" t="s">
        <v>362</v>
      </c>
      <c r="AJ344" s="5" t="s">
        <v>362</v>
      </c>
      <c r="AK344" s="5" t="s">
        <v>362</v>
      </c>
      <c r="AL344" s="5" t="s">
        <v>362</v>
      </c>
      <c r="AM344" s="5" t="s">
        <v>362</v>
      </c>
      <c r="AN344" s="5" t="s">
        <v>362</v>
      </c>
      <c r="AO344" s="5" t="s">
        <v>362</v>
      </c>
      <c r="AP344" s="44">
        <f t="shared" si="101"/>
        <v>1.0683161533254675</v>
      </c>
      <c r="AQ344" s="45">
        <v>1335</v>
      </c>
      <c r="AR344" s="35">
        <f t="shared" si="93"/>
        <v>364.09090909090907</v>
      </c>
      <c r="AS344" s="35">
        <f t="shared" si="94"/>
        <v>389</v>
      </c>
      <c r="AT344" s="35">
        <f t="shared" si="95"/>
        <v>24.909090909090935</v>
      </c>
      <c r="AU344" s="35">
        <v>131.80000000000001</v>
      </c>
      <c r="AV344" s="35">
        <v>110.6</v>
      </c>
      <c r="AW344" s="35">
        <f t="shared" si="96"/>
        <v>146.6</v>
      </c>
      <c r="AX344" s="35"/>
      <c r="AY344" s="35">
        <f t="shared" si="97"/>
        <v>146.6</v>
      </c>
      <c r="AZ344" s="35">
        <v>0</v>
      </c>
      <c r="BA344" s="35">
        <f t="shared" si="98"/>
        <v>146.6</v>
      </c>
      <c r="BB344" s="35">
        <f>MIN(BA344,4)</f>
        <v>4</v>
      </c>
      <c r="BC344" s="35">
        <f t="shared" si="99"/>
        <v>142.6</v>
      </c>
      <c r="BD344" s="35">
        <v>148.30000000000001</v>
      </c>
      <c r="BE344" s="35">
        <f t="shared" si="100"/>
        <v>-5.7</v>
      </c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</row>
    <row r="345" spans="1:209" s="2" customFormat="1" ht="17" customHeight="1">
      <c r="A345" s="18" t="s">
        <v>337</v>
      </c>
      <c r="B345" s="61"/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35"/>
      <c r="AA345" s="35"/>
      <c r="AB345" s="11"/>
      <c r="AC345" s="11"/>
      <c r="AD345" s="11"/>
      <c r="AE345" s="11"/>
      <c r="AF345" s="11"/>
      <c r="AG345" s="11"/>
      <c r="AH345" s="11"/>
      <c r="AI345" s="11"/>
      <c r="AJ345" s="11"/>
      <c r="AK345" s="11"/>
      <c r="AL345" s="11"/>
      <c r="AM345" s="11"/>
      <c r="AN345" s="11"/>
      <c r="AO345" s="11"/>
      <c r="AP345" s="11"/>
      <c r="AQ345" s="11"/>
      <c r="AR345" s="11"/>
      <c r="AS345" s="11"/>
      <c r="AT345" s="11"/>
      <c r="AU345" s="11"/>
      <c r="AV345" s="11"/>
      <c r="AW345" s="11"/>
      <c r="AX345" s="11"/>
      <c r="AY345" s="11"/>
      <c r="AZ345" s="11"/>
      <c r="BA345" s="11"/>
      <c r="BB345" s="11"/>
      <c r="BC345" s="35"/>
      <c r="BD345" s="35"/>
      <c r="BE345" s="35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</row>
    <row r="346" spans="1:209" s="2" customFormat="1" ht="17" customHeight="1">
      <c r="A346" s="46" t="s">
        <v>338</v>
      </c>
      <c r="B346" s="35">
        <v>95</v>
      </c>
      <c r="C346" s="35">
        <v>95.9</v>
      </c>
      <c r="D346" s="4">
        <f t="shared" si="87"/>
        <v>1.0094736842105263</v>
      </c>
      <c r="E346" s="11">
        <v>10</v>
      </c>
      <c r="F346" s="5" t="s">
        <v>362</v>
      </c>
      <c r="G346" s="5" t="s">
        <v>362</v>
      </c>
      <c r="H346" s="5" t="s">
        <v>362</v>
      </c>
      <c r="I346" s="5" t="s">
        <v>362</v>
      </c>
      <c r="J346" s="5" t="s">
        <v>362</v>
      </c>
      <c r="K346" s="5" t="s">
        <v>362</v>
      </c>
      <c r="L346" s="5" t="s">
        <v>362</v>
      </c>
      <c r="M346" s="5" t="s">
        <v>362</v>
      </c>
      <c r="N346" s="35">
        <v>65</v>
      </c>
      <c r="O346" s="35">
        <v>33.9</v>
      </c>
      <c r="P346" s="4">
        <f t="shared" si="88"/>
        <v>0.52153846153846151</v>
      </c>
      <c r="Q346" s="11">
        <v>20</v>
      </c>
      <c r="R346" s="35">
        <v>12.5</v>
      </c>
      <c r="S346" s="35">
        <v>13.3</v>
      </c>
      <c r="T346" s="4">
        <f t="shared" si="89"/>
        <v>1.0640000000000001</v>
      </c>
      <c r="U346" s="11">
        <v>15</v>
      </c>
      <c r="V346" s="35">
        <v>2</v>
      </c>
      <c r="W346" s="35">
        <v>2</v>
      </c>
      <c r="X346" s="4">
        <f t="shared" si="90"/>
        <v>1</v>
      </c>
      <c r="Y346" s="11">
        <v>35</v>
      </c>
      <c r="Z346" s="35">
        <v>700</v>
      </c>
      <c r="AA346" s="35">
        <v>546</v>
      </c>
      <c r="AB346" s="4">
        <f t="shared" si="91"/>
        <v>0.78</v>
      </c>
      <c r="AC346" s="11">
        <v>5</v>
      </c>
      <c r="AD346" s="11">
        <v>114</v>
      </c>
      <c r="AE346" s="11">
        <v>114</v>
      </c>
      <c r="AF346" s="4">
        <f t="shared" si="92"/>
        <v>1</v>
      </c>
      <c r="AG346" s="11">
        <v>20</v>
      </c>
      <c r="AH346" s="5" t="s">
        <v>362</v>
      </c>
      <c r="AI346" s="5" t="s">
        <v>362</v>
      </c>
      <c r="AJ346" s="5" t="s">
        <v>362</v>
      </c>
      <c r="AK346" s="5" t="s">
        <v>362</v>
      </c>
      <c r="AL346" s="5" t="s">
        <v>362</v>
      </c>
      <c r="AM346" s="5" t="s">
        <v>362</v>
      </c>
      <c r="AN346" s="5" t="s">
        <v>362</v>
      </c>
      <c r="AO346" s="5" t="s">
        <v>362</v>
      </c>
      <c r="AP346" s="44">
        <f t="shared" si="101"/>
        <v>0.90843339117023336</v>
      </c>
      <c r="AQ346" s="45">
        <v>769</v>
      </c>
      <c r="AR346" s="35">
        <f t="shared" si="93"/>
        <v>209.72727272727272</v>
      </c>
      <c r="AS346" s="35">
        <f t="shared" si="94"/>
        <v>190.5</v>
      </c>
      <c r="AT346" s="35">
        <f t="shared" si="95"/>
        <v>-19.22727272727272</v>
      </c>
      <c r="AU346" s="35">
        <v>67.2</v>
      </c>
      <c r="AV346" s="35">
        <v>60.6</v>
      </c>
      <c r="AW346" s="35">
        <f t="shared" si="96"/>
        <v>62.7</v>
      </c>
      <c r="AX346" s="35"/>
      <c r="AY346" s="35">
        <f t="shared" si="97"/>
        <v>62.7</v>
      </c>
      <c r="AZ346" s="35">
        <v>0</v>
      </c>
      <c r="BA346" s="35">
        <f t="shared" si="98"/>
        <v>62.7</v>
      </c>
      <c r="BB346" s="35"/>
      <c r="BC346" s="35">
        <f t="shared" si="99"/>
        <v>62.7</v>
      </c>
      <c r="BD346" s="35">
        <v>64.099999999999994</v>
      </c>
      <c r="BE346" s="35">
        <f t="shared" si="100"/>
        <v>-1.4</v>
      </c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</row>
    <row r="347" spans="1:209" s="2" customFormat="1" ht="17" customHeight="1">
      <c r="A347" s="46" t="s">
        <v>53</v>
      </c>
      <c r="B347" s="35">
        <v>71</v>
      </c>
      <c r="C347" s="35">
        <v>72.7</v>
      </c>
      <c r="D347" s="4">
        <f t="shared" si="87"/>
        <v>1.023943661971831</v>
      </c>
      <c r="E347" s="11">
        <v>10</v>
      </c>
      <c r="F347" s="5" t="s">
        <v>362</v>
      </c>
      <c r="G347" s="5" t="s">
        <v>362</v>
      </c>
      <c r="H347" s="5" t="s">
        <v>362</v>
      </c>
      <c r="I347" s="5" t="s">
        <v>362</v>
      </c>
      <c r="J347" s="5" t="s">
        <v>362</v>
      </c>
      <c r="K347" s="5" t="s">
        <v>362</v>
      </c>
      <c r="L347" s="5" t="s">
        <v>362</v>
      </c>
      <c r="M347" s="5" t="s">
        <v>362</v>
      </c>
      <c r="N347" s="35">
        <v>160.19999999999999</v>
      </c>
      <c r="O347" s="35">
        <v>104.9</v>
      </c>
      <c r="P347" s="4">
        <f t="shared" si="88"/>
        <v>0.65480649188514362</v>
      </c>
      <c r="Q347" s="11">
        <v>20</v>
      </c>
      <c r="R347" s="35">
        <v>104</v>
      </c>
      <c r="S347" s="35">
        <v>107.1</v>
      </c>
      <c r="T347" s="4">
        <f t="shared" si="89"/>
        <v>1.0298076923076922</v>
      </c>
      <c r="U347" s="11">
        <v>30</v>
      </c>
      <c r="V347" s="35">
        <v>3</v>
      </c>
      <c r="W347" s="35">
        <v>3.1</v>
      </c>
      <c r="X347" s="4">
        <f t="shared" si="90"/>
        <v>1.0333333333333334</v>
      </c>
      <c r="Y347" s="11">
        <v>20</v>
      </c>
      <c r="Z347" s="35">
        <v>1800</v>
      </c>
      <c r="AA347" s="35">
        <v>1415</v>
      </c>
      <c r="AB347" s="4">
        <f t="shared" si="91"/>
        <v>0.78611111111111109</v>
      </c>
      <c r="AC347" s="11">
        <v>5</v>
      </c>
      <c r="AD347" s="11">
        <v>258</v>
      </c>
      <c r="AE347" s="11">
        <v>258</v>
      </c>
      <c r="AF347" s="4">
        <f t="shared" si="92"/>
        <v>1</v>
      </c>
      <c r="AG347" s="11">
        <v>20</v>
      </c>
      <c r="AH347" s="5" t="s">
        <v>362</v>
      </c>
      <c r="AI347" s="5" t="s">
        <v>362</v>
      </c>
      <c r="AJ347" s="5" t="s">
        <v>362</v>
      </c>
      <c r="AK347" s="5" t="s">
        <v>362</v>
      </c>
      <c r="AL347" s="5" t="s">
        <v>362</v>
      </c>
      <c r="AM347" s="5" t="s">
        <v>362</v>
      </c>
      <c r="AN347" s="5" t="s">
        <v>362</v>
      </c>
      <c r="AO347" s="5" t="s">
        <v>362</v>
      </c>
      <c r="AP347" s="44">
        <f t="shared" si="101"/>
        <v>0.94120970903689682</v>
      </c>
      <c r="AQ347" s="45">
        <v>2759</v>
      </c>
      <c r="AR347" s="35">
        <f t="shared" si="93"/>
        <v>752.4545454545455</v>
      </c>
      <c r="AS347" s="35">
        <f t="shared" si="94"/>
        <v>708.2</v>
      </c>
      <c r="AT347" s="35">
        <f t="shared" si="95"/>
        <v>-44.25454545454545</v>
      </c>
      <c r="AU347" s="35">
        <v>236.6</v>
      </c>
      <c r="AV347" s="35">
        <v>222.4</v>
      </c>
      <c r="AW347" s="35">
        <f t="shared" si="96"/>
        <v>249.2</v>
      </c>
      <c r="AX347" s="35"/>
      <c r="AY347" s="35">
        <f t="shared" si="97"/>
        <v>249.2</v>
      </c>
      <c r="AZ347" s="35">
        <v>0</v>
      </c>
      <c r="BA347" s="35">
        <f t="shared" si="98"/>
        <v>249.2</v>
      </c>
      <c r="BB347" s="35"/>
      <c r="BC347" s="35">
        <f t="shared" si="99"/>
        <v>249.2</v>
      </c>
      <c r="BD347" s="35">
        <v>255.1</v>
      </c>
      <c r="BE347" s="35">
        <f t="shared" si="100"/>
        <v>-5.9</v>
      </c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</row>
    <row r="348" spans="1:209" s="2" customFormat="1" ht="17" customHeight="1">
      <c r="A348" s="46" t="s">
        <v>339</v>
      </c>
      <c r="B348" s="35">
        <v>235</v>
      </c>
      <c r="C348" s="35">
        <v>235</v>
      </c>
      <c r="D348" s="4">
        <f t="shared" si="87"/>
        <v>1</v>
      </c>
      <c r="E348" s="11">
        <v>10</v>
      </c>
      <c r="F348" s="5" t="s">
        <v>362</v>
      </c>
      <c r="G348" s="5" t="s">
        <v>362</v>
      </c>
      <c r="H348" s="5" t="s">
        <v>362</v>
      </c>
      <c r="I348" s="5" t="s">
        <v>362</v>
      </c>
      <c r="J348" s="5" t="s">
        <v>362</v>
      </c>
      <c r="K348" s="5" t="s">
        <v>362</v>
      </c>
      <c r="L348" s="5" t="s">
        <v>362</v>
      </c>
      <c r="M348" s="5" t="s">
        <v>362</v>
      </c>
      <c r="N348" s="35">
        <v>102.4</v>
      </c>
      <c r="O348" s="35">
        <v>137.1</v>
      </c>
      <c r="P348" s="4">
        <f t="shared" si="88"/>
        <v>1.21388671875</v>
      </c>
      <c r="Q348" s="11">
        <v>20</v>
      </c>
      <c r="R348" s="35">
        <v>25</v>
      </c>
      <c r="S348" s="35">
        <v>25.8</v>
      </c>
      <c r="T348" s="4">
        <f t="shared" si="89"/>
        <v>1.032</v>
      </c>
      <c r="U348" s="11">
        <v>30</v>
      </c>
      <c r="V348" s="35">
        <v>2.2999999999999998</v>
      </c>
      <c r="W348" s="35">
        <v>2.9</v>
      </c>
      <c r="X348" s="4">
        <f t="shared" si="90"/>
        <v>1.2060869565217391</v>
      </c>
      <c r="Y348" s="11">
        <v>20</v>
      </c>
      <c r="Z348" s="35">
        <v>2870</v>
      </c>
      <c r="AA348" s="35">
        <v>2466</v>
      </c>
      <c r="AB348" s="4">
        <f t="shared" si="91"/>
        <v>0.85923344947735192</v>
      </c>
      <c r="AC348" s="11">
        <v>5</v>
      </c>
      <c r="AD348" s="11">
        <v>220</v>
      </c>
      <c r="AE348" s="11">
        <v>220</v>
      </c>
      <c r="AF348" s="4">
        <f t="shared" si="92"/>
        <v>1</v>
      </c>
      <c r="AG348" s="11">
        <v>20</v>
      </c>
      <c r="AH348" s="5" t="s">
        <v>362</v>
      </c>
      <c r="AI348" s="5" t="s">
        <v>362</v>
      </c>
      <c r="AJ348" s="5" t="s">
        <v>362</v>
      </c>
      <c r="AK348" s="5" t="s">
        <v>362</v>
      </c>
      <c r="AL348" s="5" t="s">
        <v>362</v>
      </c>
      <c r="AM348" s="5" t="s">
        <v>362</v>
      </c>
      <c r="AN348" s="5" t="s">
        <v>362</v>
      </c>
      <c r="AO348" s="5" t="s">
        <v>362</v>
      </c>
      <c r="AP348" s="44">
        <f t="shared" si="101"/>
        <v>1.0824346738363957</v>
      </c>
      <c r="AQ348" s="45">
        <v>779</v>
      </c>
      <c r="AR348" s="35">
        <f t="shared" si="93"/>
        <v>212.45454545454544</v>
      </c>
      <c r="AS348" s="35">
        <f t="shared" si="94"/>
        <v>230</v>
      </c>
      <c r="AT348" s="35">
        <f t="shared" si="95"/>
        <v>17.545454545454561</v>
      </c>
      <c r="AU348" s="35">
        <v>68.3</v>
      </c>
      <c r="AV348" s="35">
        <v>82.4</v>
      </c>
      <c r="AW348" s="35">
        <f t="shared" si="96"/>
        <v>79.3</v>
      </c>
      <c r="AX348" s="35"/>
      <c r="AY348" s="35">
        <f t="shared" si="97"/>
        <v>79.3</v>
      </c>
      <c r="AZ348" s="35">
        <v>0</v>
      </c>
      <c r="BA348" s="35">
        <f t="shared" si="98"/>
        <v>79.3</v>
      </c>
      <c r="BB348" s="35"/>
      <c r="BC348" s="35">
        <f t="shared" si="99"/>
        <v>79.3</v>
      </c>
      <c r="BD348" s="35">
        <v>81.599999999999994</v>
      </c>
      <c r="BE348" s="35">
        <f t="shared" si="100"/>
        <v>-2.2999999999999998</v>
      </c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</row>
    <row r="349" spans="1:209" s="2" customFormat="1" ht="17" customHeight="1">
      <c r="A349" s="46" t="s">
        <v>340</v>
      </c>
      <c r="B349" s="35">
        <v>5451</v>
      </c>
      <c r="C349" s="35">
        <v>15497.7</v>
      </c>
      <c r="D349" s="4">
        <f t="shared" si="87"/>
        <v>1.3</v>
      </c>
      <c r="E349" s="11">
        <v>10</v>
      </c>
      <c r="F349" s="5" t="s">
        <v>362</v>
      </c>
      <c r="G349" s="5" t="s">
        <v>362</v>
      </c>
      <c r="H349" s="5" t="s">
        <v>362</v>
      </c>
      <c r="I349" s="5" t="s">
        <v>362</v>
      </c>
      <c r="J349" s="5" t="s">
        <v>362</v>
      </c>
      <c r="K349" s="5" t="s">
        <v>362</v>
      </c>
      <c r="L349" s="5" t="s">
        <v>362</v>
      </c>
      <c r="M349" s="5" t="s">
        <v>362</v>
      </c>
      <c r="N349" s="35">
        <v>226.9</v>
      </c>
      <c r="O349" s="35">
        <v>95</v>
      </c>
      <c r="P349" s="4">
        <f t="shared" si="88"/>
        <v>0.41868664609960332</v>
      </c>
      <c r="Q349" s="11">
        <v>20</v>
      </c>
      <c r="R349" s="35">
        <v>455</v>
      </c>
      <c r="S349" s="35">
        <v>528.4</v>
      </c>
      <c r="T349" s="4">
        <f t="shared" si="89"/>
        <v>1.1613186813186813</v>
      </c>
      <c r="U349" s="11">
        <v>30</v>
      </c>
      <c r="V349" s="35">
        <v>7.5</v>
      </c>
      <c r="W349" s="35">
        <v>8.5</v>
      </c>
      <c r="X349" s="4">
        <f t="shared" si="90"/>
        <v>1.1333333333333333</v>
      </c>
      <c r="Y349" s="11">
        <v>20</v>
      </c>
      <c r="Z349" s="35">
        <v>1400</v>
      </c>
      <c r="AA349" s="35">
        <v>1512</v>
      </c>
      <c r="AB349" s="4">
        <f t="shared" si="91"/>
        <v>1.08</v>
      </c>
      <c r="AC349" s="11">
        <v>5</v>
      </c>
      <c r="AD349" s="11">
        <v>1030</v>
      </c>
      <c r="AE349" s="11">
        <v>1030</v>
      </c>
      <c r="AF349" s="4">
        <f t="shared" si="92"/>
        <v>1</v>
      </c>
      <c r="AG349" s="11">
        <v>20</v>
      </c>
      <c r="AH349" s="5" t="s">
        <v>362</v>
      </c>
      <c r="AI349" s="5" t="s">
        <v>362</v>
      </c>
      <c r="AJ349" s="5" t="s">
        <v>362</v>
      </c>
      <c r="AK349" s="5" t="s">
        <v>362</v>
      </c>
      <c r="AL349" s="5" t="s">
        <v>362</v>
      </c>
      <c r="AM349" s="5" t="s">
        <v>362</v>
      </c>
      <c r="AN349" s="5" t="s">
        <v>362</v>
      </c>
      <c r="AO349" s="5" t="s">
        <v>362</v>
      </c>
      <c r="AP349" s="44">
        <f t="shared" si="101"/>
        <v>0.99314247645923015</v>
      </c>
      <c r="AQ349" s="45">
        <v>1055</v>
      </c>
      <c r="AR349" s="35">
        <f t="shared" si="93"/>
        <v>287.72727272727275</v>
      </c>
      <c r="AS349" s="35">
        <f t="shared" si="94"/>
        <v>285.8</v>
      </c>
      <c r="AT349" s="35">
        <f t="shared" si="95"/>
        <v>-1.9272727272727366</v>
      </c>
      <c r="AU349" s="35">
        <v>93.2</v>
      </c>
      <c r="AV349" s="35">
        <v>111.2</v>
      </c>
      <c r="AW349" s="35">
        <f t="shared" si="96"/>
        <v>81.400000000000006</v>
      </c>
      <c r="AX349" s="35"/>
      <c r="AY349" s="35">
        <f t="shared" si="97"/>
        <v>81.400000000000006</v>
      </c>
      <c r="AZ349" s="35">
        <v>0</v>
      </c>
      <c r="BA349" s="35">
        <f t="shared" si="98"/>
        <v>81.400000000000006</v>
      </c>
      <c r="BB349" s="35"/>
      <c r="BC349" s="35">
        <f t="shared" si="99"/>
        <v>81.400000000000006</v>
      </c>
      <c r="BD349" s="35">
        <v>80.099999999999994</v>
      </c>
      <c r="BE349" s="35">
        <f t="shared" si="100"/>
        <v>1.3</v>
      </c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</row>
    <row r="350" spans="1:209" s="2" customFormat="1" ht="17" customHeight="1">
      <c r="A350" s="46" t="s">
        <v>341</v>
      </c>
      <c r="B350" s="35">
        <v>147073</v>
      </c>
      <c r="C350" s="35">
        <v>120402</v>
      </c>
      <c r="D350" s="4">
        <f t="shared" si="87"/>
        <v>0.81865468168868516</v>
      </c>
      <c r="E350" s="11">
        <v>10</v>
      </c>
      <c r="F350" s="5" t="s">
        <v>362</v>
      </c>
      <c r="G350" s="5" t="s">
        <v>362</v>
      </c>
      <c r="H350" s="5" t="s">
        <v>362</v>
      </c>
      <c r="I350" s="5" t="s">
        <v>362</v>
      </c>
      <c r="J350" s="5" t="s">
        <v>362</v>
      </c>
      <c r="K350" s="5" t="s">
        <v>362</v>
      </c>
      <c r="L350" s="5" t="s">
        <v>362</v>
      </c>
      <c r="M350" s="5" t="s">
        <v>362</v>
      </c>
      <c r="N350" s="35">
        <v>319.10000000000002</v>
      </c>
      <c r="O350" s="35">
        <v>226.7</v>
      </c>
      <c r="P350" s="4">
        <f t="shared" si="88"/>
        <v>0.71043560012535245</v>
      </c>
      <c r="Q350" s="11">
        <v>20</v>
      </c>
      <c r="R350" s="35">
        <v>0</v>
      </c>
      <c r="S350" s="35">
        <v>0</v>
      </c>
      <c r="T350" s="4">
        <f t="shared" si="89"/>
        <v>1</v>
      </c>
      <c r="U350" s="11">
        <v>25</v>
      </c>
      <c r="V350" s="35">
        <v>1.9</v>
      </c>
      <c r="W350" s="35">
        <v>2</v>
      </c>
      <c r="X350" s="4">
        <f t="shared" si="90"/>
        <v>1.0526315789473684</v>
      </c>
      <c r="Y350" s="11">
        <v>25</v>
      </c>
      <c r="Z350" s="35">
        <v>2860</v>
      </c>
      <c r="AA350" s="35">
        <v>2242</v>
      </c>
      <c r="AB350" s="4">
        <f t="shared" si="91"/>
        <v>0.78391608391608392</v>
      </c>
      <c r="AC350" s="11">
        <v>5</v>
      </c>
      <c r="AD350" s="11">
        <v>40</v>
      </c>
      <c r="AE350" s="11">
        <v>41</v>
      </c>
      <c r="AF350" s="4">
        <f t="shared" si="92"/>
        <v>1.0249999999999999</v>
      </c>
      <c r="AG350" s="11">
        <v>20</v>
      </c>
      <c r="AH350" s="5" t="s">
        <v>362</v>
      </c>
      <c r="AI350" s="5" t="s">
        <v>362</v>
      </c>
      <c r="AJ350" s="5" t="s">
        <v>362</v>
      </c>
      <c r="AK350" s="5" t="s">
        <v>362</v>
      </c>
      <c r="AL350" s="5" t="s">
        <v>362</v>
      </c>
      <c r="AM350" s="5" t="s">
        <v>362</v>
      </c>
      <c r="AN350" s="5" t="s">
        <v>362</v>
      </c>
      <c r="AO350" s="5" t="s">
        <v>362</v>
      </c>
      <c r="AP350" s="44">
        <f t="shared" si="101"/>
        <v>0.93457741631103353</v>
      </c>
      <c r="AQ350" s="45">
        <v>570</v>
      </c>
      <c r="AR350" s="35">
        <f t="shared" si="93"/>
        <v>155.45454545454547</v>
      </c>
      <c r="AS350" s="35">
        <f t="shared" si="94"/>
        <v>145.30000000000001</v>
      </c>
      <c r="AT350" s="35">
        <f t="shared" si="95"/>
        <v>-10.154545454545456</v>
      </c>
      <c r="AU350" s="35">
        <v>45.5</v>
      </c>
      <c r="AV350" s="35">
        <v>49</v>
      </c>
      <c r="AW350" s="35">
        <f t="shared" si="96"/>
        <v>50.8</v>
      </c>
      <c r="AX350" s="35"/>
      <c r="AY350" s="35">
        <f t="shared" si="97"/>
        <v>50.8</v>
      </c>
      <c r="AZ350" s="35">
        <v>0</v>
      </c>
      <c r="BA350" s="35">
        <f t="shared" si="98"/>
        <v>50.8</v>
      </c>
      <c r="BB350" s="35"/>
      <c r="BC350" s="35">
        <f>IF((BA350-BB350)&gt;0,ROUND(BA350-BB350,1),0)</f>
        <v>50.8</v>
      </c>
      <c r="BD350" s="35">
        <v>52</v>
      </c>
      <c r="BE350" s="35">
        <f t="shared" si="100"/>
        <v>-1.2</v>
      </c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</row>
    <row r="351" spans="1:209" s="2" customFormat="1" ht="17" customHeight="1">
      <c r="A351" s="46" t="s">
        <v>342</v>
      </c>
      <c r="B351" s="35">
        <v>94</v>
      </c>
      <c r="C351" s="35">
        <v>101</v>
      </c>
      <c r="D351" s="4">
        <f t="shared" si="87"/>
        <v>1.074468085106383</v>
      </c>
      <c r="E351" s="11">
        <v>10</v>
      </c>
      <c r="F351" s="5" t="s">
        <v>362</v>
      </c>
      <c r="G351" s="5" t="s">
        <v>362</v>
      </c>
      <c r="H351" s="5" t="s">
        <v>362</v>
      </c>
      <c r="I351" s="5" t="s">
        <v>362</v>
      </c>
      <c r="J351" s="5" t="s">
        <v>362</v>
      </c>
      <c r="K351" s="5" t="s">
        <v>362</v>
      </c>
      <c r="L351" s="5" t="s">
        <v>362</v>
      </c>
      <c r="M351" s="5" t="s">
        <v>362</v>
      </c>
      <c r="N351" s="35">
        <v>750.3</v>
      </c>
      <c r="O351" s="35">
        <v>646.9</v>
      </c>
      <c r="P351" s="4">
        <f t="shared" si="88"/>
        <v>0.86218845795015331</v>
      </c>
      <c r="Q351" s="11">
        <v>20</v>
      </c>
      <c r="R351" s="35">
        <v>428</v>
      </c>
      <c r="S351" s="35">
        <v>371</v>
      </c>
      <c r="T351" s="4">
        <f t="shared" si="89"/>
        <v>0.86682242990654201</v>
      </c>
      <c r="U351" s="11">
        <v>30</v>
      </c>
      <c r="V351" s="35">
        <v>9</v>
      </c>
      <c r="W351" s="35">
        <v>9.3000000000000007</v>
      </c>
      <c r="X351" s="4">
        <f t="shared" si="90"/>
        <v>1.0333333333333334</v>
      </c>
      <c r="Y351" s="11">
        <v>20</v>
      </c>
      <c r="Z351" s="35">
        <v>1000</v>
      </c>
      <c r="AA351" s="35">
        <v>1009</v>
      </c>
      <c r="AB351" s="4">
        <f t="shared" si="91"/>
        <v>1.0089999999999999</v>
      </c>
      <c r="AC351" s="11">
        <v>5</v>
      </c>
      <c r="AD351" s="11">
        <v>765</v>
      </c>
      <c r="AE351" s="11">
        <v>889</v>
      </c>
      <c r="AF351" s="4">
        <f t="shared" si="92"/>
        <v>1.1620915032679739</v>
      </c>
      <c r="AG351" s="11">
        <v>20</v>
      </c>
      <c r="AH351" s="5" t="s">
        <v>362</v>
      </c>
      <c r="AI351" s="5" t="s">
        <v>362</v>
      </c>
      <c r="AJ351" s="5" t="s">
        <v>362</v>
      </c>
      <c r="AK351" s="5" t="s">
        <v>362</v>
      </c>
      <c r="AL351" s="5" t="s">
        <v>362</v>
      </c>
      <c r="AM351" s="5" t="s">
        <v>362</v>
      </c>
      <c r="AN351" s="5" t="s">
        <v>362</v>
      </c>
      <c r="AO351" s="5" t="s">
        <v>362</v>
      </c>
      <c r="AP351" s="44">
        <f t="shared" si="101"/>
        <v>0.98044399656466008</v>
      </c>
      <c r="AQ351" s="45">
        <v>271</v>
      </c>
      <c r="AR351" s="35">
        <f t="shared" si="93"/>
        <v>73.909090909090907</v>
      </c>
      <c r="AS351" s="35">
        <f t="shared" si="94"/>
        <v>72.5</v>
      </c>
      <c r="AT351" s="35">
        <f t="shared" si="95"/>
        <v>-1.4090909090909065</v>
      </c>
      <c r="AU351" s="35">
        <v>18.2</v>
      </c>
      <c r="AV351" s="35">
        <v>18.899999999999999</v>
      </c>
      <c r="AW351" s="35">
        <f t="shared" si="96"/>
        <v>35.4</v>
      </c>
      <c r="AX351" s="35"/>
      <c r="AY351" s="35">
        <f t="shared" si="97"/>
        <v>35.4</v>
      </c>
      <c r="AZ351" s="35">
        <v>0</v>
      </c>
      <c r="BA351" s="35">
        <f t="shared" si="98"/>
        <v>35.4</v>
      </c>
      <c r="BB351" s="35"/>
      <c r="BC351" s="35">
        <f t="shared" si="99"/>
        <v>35.4</v>
      </c>
      <c r="BD351" s="35">
        <v>35.299999999999997</v>
      </c>
      <c r="BE351" s="35">
        <f t="shared" si="100"/>
        <v>0.1</v>
      </c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</row>
    <row r="352" spans="1:209" s="2" customFormat="1" ht="17" customHeight="1">
      <c r="A352" s="46" t="s">
        <v>343</v>
      </c>
      <c r="B352" s="35">
        <v>86</v>
      </c>
      <c r="C352" s="35">
        <v>82</v>
      </c>
      <c r="D352" s="4">
        <f t="shared" si="87"/>
        <v>0.95348837209302328</v>
      </c>
      <c r="E352" s="11">
        <v>10</v>
      </c>
      <c r="F352" s="5" t="s">
        <v>362</v>
      </c>
      <c r="G352" s="5" t="s">
        <v>362</v>
      </c>
      <c r="H352" s="5" t="s">
        <v>362</v>
      </c>
      <c r="I352" s="5" t="s">
        <v>362</v>
      </c>
      <c r="J352" s="5" t="s">
        <v>362</v>
      </c>
      <c r="K352" s="5" t="s">
        <v>362</v>
      </c>
      <c r="L352" s="5" t="s">
        <v>362</v>
      </c>
      <c r="M352" s="5" t="s">
        <v>362</v>
      </c>
      <c r="N352" s="35">
        <v>352.7</v>
      </c>
      <c r="O352" s="35">
        <v>210.2</v>
      </c>
      <c r="P352" s="4">
        <f t="shared" si="88"/>
        <v>0.59597391550893108</v>
      </c>
      <c r="Q352" s="11">
        <v>20</v>
      </c>
      <c r="R352" s="35">
        <v>3</v>
      </c>
      <c r="S352" s="35">
        <v>3.5</v>
      </c>
      <c r="T352" s="4">
        <f t="shared" si="89"/>
        <v>1.1666666666666667</v>
      </c>
      <c r="U352" s="11">
        <v>20</v>
      </c>
      <c r="V352" s="35">
        <v>1.4</v>
      </c>
      <c r="W352" s="35">
        <v>1.8</v>
      </c>
      <c r="X352" s="4">
        <f t="shared" si="90"/>
        <v>1.2085714285714286</v>
      </c>
      <c r="Y352" s="11">
        <v>30</v>
      </c>
      <c r="Z352" s="35">
        <v>1400</v>
      </c>
      <c r="AA352" s="35">
        <v>1821</v>
      </c>
      <c r="AB352" s="4">
        <f t="shared" si="91"/>
        <v>1.2100714285714285</v>
      </c>
      <c r="AC352" s="11">
        <v>5</v>
      </c>
      <c r="AD352" s="11">
        <v>110</v>
      </c>
      <c r="AE352" s="11">
        <v>110</v>
      </c>
      <c r="AF352" s="4">
        <f t="shared" si="92"/>
        <v>1</v>
      </c>
      <c r="AG352" s="11">
        <v>20</v>
      </c>
      <c r="AH352" s="5" t="s">
        <v>362</v>
      </c>
      <c r="AI352" s="5" t="s">
        <v>362</v>
      </c>
      <c r="AJ352" s="5" t="s">
        <v>362</v>
      </c>
      <c r="AK352" s="5" t="s">
        <v>362</v>
      </c>
      <c r="AL352" s="5" t="s">
        <v>362</v>
      </c>
      <c r="AM352" s="5" t="s">
        <v>362</v>
      </c>
      <c r="AN352" s="5" t="s">
        <v>362</v>
      </c>
      <c r="AO352" s="5" t="s">
        <v>362</v>
      </c>
      <c r="AP352" s="44">
        <f t="shared" si="101"/>
        <v>1.019954241566116</v>
      </c>
      <c r="AQ352" s="45">
        <v>1339</v>
      </c>
      <c r="AR352" s="35">
        <f t="shared" si="93"/>
        <v>365.18181818181819</v>
      </c>
      <c r="AS352" s="35">
        <f t="shared" si="94"/>
        <v>372.5</v>
      </c>
      <c r="AT352" s="35">
        <f t="shared" si="95"/>
        <v>7.318181818181813</v>
      </c>
      <c r="AU352" s="35">
        <v>122.1</v>
      </c>
      <c r="AV352" s="35">
        <v>122.1</v>
      </c>
      <c r="AW352" s="35">
        <f t="shared" si="96"/>
        <v>128.30000000000001</v>
      </c>
      <c r="AX352" s="35"/>
      <c r="AY352" s="35">
        <f t="shared" si="97"/>
        <v>128.30000000000001</v>
      </c>
      <c r="AZ352" s="35">
        <v>0</v>
      </c>
      <c r="BA352" s="35">
        <f t="shared" si="98"/>
        <v>128.30000000000001</v>
      </c>
      <c r="BB352" s="35"/>
      <c r="BC352" s="35">
        <f t="shared" si="99"/>
        <v>128.30000000000001</v>
      </c>
      <c r="BD352" s="35">
        <v>124.8</v>
      </c>
      <c r="BE352" s="35">
        <f t="shared" si="100"/>
        <v>3.5</v>
      </c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</row>
    <row r="353" spans="1:71" s="2" customFormat="1" ht="17" customHeight="1">
      <c r="A353" s="46" t="s">
        <v>344</v>
      </c>
      <c r="B353" s="35">
        <v>124</v>
      </c>
      <c r="C353" s="35">
        <v>124.7</v>
      </c>
      <c r="D353" s="4">
        <f t="shared" si="87"/>
        <v>1.0056451612903226</v>
      </c>
      <c r="E353" s="11">
        <v>10</v>
      </c>
      <c r="F353" s="5" t="s">
        <v>362</v>
      </c>
      <c r="G353" s="5" t="s">
        <v>362</v>
      </c>
      <c r="H353" s="5" t="s">
        <v>362</v>
      </c>
      <c r="I353" s="5" t="s">
        <v>362</v>
      </c>
      <c r="J353" s="5" t="s">
        <v>362</v>
      </c>
      <c r="K353" s="5" t="s">
        <v>362</v>
      </c>
      <c r="L353" s="5" t="s">
        <v>362</v>
      </c>
      <c r="M353" s="5" t="s">
        <v>362</v>
      </c>
      <c r="N353" s="35">
        <v>184.7</v>
      </c>
      <c r="O353" s="35">
        <v>63.5</v>
      </c>
      <c r="P353" s="4">
        <f t="shared" si="88"/>
        <v>0.34380075798592313</v>
      </c>
      <c r="Q353" s="11">
        <v>20</v>
      </c>
      <c r="R353" s="35">
        <v>22</v>
      </c>
      <c r="S353" s="35">
        <v>23.8</v>
      </c>
      <c r="T353" s="4">
        <f t="shared" si="89"/>
        <v>1.0818181818181818</v>
      </c>
      <c r="U353" s="11">
        <v>15</v>
      </c>
      <c r="V353" s="35">
        <v>1.9</v>
      </c>
      <c r="W353" s="35">
        <v>2.5</v>
      </c>
      <c r="X353" s="4">
        <f t="shared" si="90"/>
        <v>1.2115789473684211</v>
      </c>
      <c r="Y353" s="11">
        <v>35</v>
      </c>
      <c r="Z353" s="35">
        <v>1800</v>
      </c>
      <c r="AA353" s="35">
        <v>1863</v>
      </c>
      <c r="AB353" s="4">
        <f t="shared" si="91"/>
        <v>1.0349999999999999</v>
      </c>
      <c r="AC353" s="11">
        <v>5</v>
      </c>
      <c r="AD353" s="11">
        <v>205</v>
      </c>
      <c r="AE353" s="11">
        <v>205</v>
      </c>
      <c r="AF353" s="4">
        <f t="shared" si="92"/>
        <v>1</v>
      </c>
      <c r="AG353" s="11">
        <v>20</v>
      </c>
      <c r="AH353" s="5" t="s">
        <v>362</v>
      </c>
      <c r="AI353" s="5" t="s">
        <v>362</v>
      </c>
      <c r="AJ353" s="5" t="s">
        <v>362</v>
      </c>
      <c r="AK353" s="5" t="s">
        <v>362</v>
      </c>
      <c r="AL353" s="5" t="s">
        <v>362</v>
      </c>
      <c r="AM353" s="5" t="s">
        <v>362</v>
      </c>
      <c r="AN353" s="5" t="s">
        <v>362</v>
      </c>
      <c r="AO353" s="5" t="s">
        <v>362</v>
      </c>
      <c r="AP353" s="44">
        <f t="shared" si="101"/>
        <v>0.95942859674084902</v>
      </c>
      <c r="AQ353" s="45">
        <v>1017</v>
      </c>
      <c r="AR353" s="35">
        <f t="shared" si="93"/>
        <v>277.36363636363637</v>
      </c>
      <c r="AS353" s="35">
        <f t="shared" si="94"/>
        <v>266.10000000000002</v>
      </c>
      <c r="AT353" s="35">
        <f t="shared" si="95"/>
        <v>-11.263636363636351</v>
      </c>
      <c r="AU353" s="35">
        <v>102.7</v>
      </c>
      <c r="AV353" s="35">
        <v>93.2</v>
      </c>
      <c r="AW353" s="35">
        <f t="shared" si="96"/>
        <v>70.2</v>
      </c>
      <c r="AX353" s="35"/>
      <c r="AY353" s="35">
        <f t="shared" si="97"/>
        <v>70.2</v>
      </c>
      <c r="AZ353" s="35">
        <v>0</v>
      </c>
      <c r="BA353" s="35">
        <f t="shared" si="98"/>
        <v>70.2</v>
      </c>
      <c r="BB353" s="35"/>
      <c r="BC353" s="35">
        <f t="shared" si="99"/>
        <v>70.2</v>
      </c>
      <c r="BD353" s="35">
        <v>69.2</v>
      </c>
      <c r="BE353" s="35">
        <f t="shared" si="100"/>
        <v>1</v>
      </c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</row>
    <row r="354" spans="1:71" s="2" customFormat="1" ht="17" customHeight="1">
      <c r="A354" s="46" t="s">
        <v>345</v>
      </c>
      <c r="B354" s="35">
        <v>30</v>
      </c>
      <c r="C354" s="35">
        <v>30.1</v>
      </c>
      <c r="D354" s="4">
        <f t="shared" si="87"/>
        <v>1.0033333333333334</v>
      </c>
      <c r="E354" s="11">
        <v>10</v>
      </c>
      <c r="F354" s="5" t="s">
        <v>362</v>
      </c>
      <c r="G354" s="5" t="s">
        <v>362</v>
      </c>
      <c r="H354" s="5" t="s">
        <v>362</v>
      </c>
      <c r="I354" s="5" t="s">
        <v>362</v>
      </c>
      <c r="J354" s="5" t="s">
        <v>362</v>
      </c>
      <c r="K354" s="5" t="s">
        <v>362</v>
      </c>
      <c r="L354" s="5" t="s">
        <v>362</v>
      </c>
      <c r="M354" s="5" t="s">
        <v>362</v>
      </c>
      <c r="N354" s="35">
        <v>127.8</v>
      </c>
      <c r="O354" s="35">
        <v>52.5</v>
      </c>
      <c r="P354" s="4">
        <f t="shared" si="88"/>
        <v>0.41079812206572769</v>
      </c>
      <c r="Q354" s="11">
        <v>20</v>
      </c>
      <c r="R354" s="35">
        <v>19</v>
      </c>
      <c r="S354" s="35">
        <v>20.5</v>
      </c>
      <c r="T354" s="4">
        <f t="shared" si="89"/>
        <v>1.0789473684210527</v>
      </c>
      <c r="U354" s="11">
        <v>10</v>
      </c>
      <c r="V354" s="35">
        <v>2.8</v>
      </c>
      <c r="W354" s="35">
        <v>2.9</v>
      </c>
      <c r="X354" s="4">
        <f t="shared" si="90"/>
        <v>1.0357142857142858</v>
      </c>
      <c r="Y354" s="11">
        <v>40</v>
      </c>
      <c r="Z354" s="35">
        <v>800</v>
      </c>
      <c r="AA354" s="35">
        <v>799</v>
      </c>
      <c r="AB354" s="4">
        <f t="shared" si="91"/>
        <v>0.99875000000000003</v>
      </c>
      <c r="AC354" s="11">
        <v>5</v>
      </c>
      <c r="AD354" s="11">
        <v>185</v>
      </c>
      <c r="AE354" s="11">
        <v>185</v>
      </c>
      <c r="AF354" s="4">
        <f t="shared" si="92"/>
        <v>1</v>
      </c>
      <c r="AG354" s="11">
        <v>20</v>
      </c>
      <c r="AH354" s="5" t="s">
        <v>362</v>
      </c>
      <c r="AI354" s="5" t="s">
        <v>362</v>
      </c>
      <c r="AJ354" s="5" t="s">
        <v>362</v>
      </c>
      <c r="AK354" s="5" t="s">
        <v>362</v>
      </c>
      <c r="AL354" s="5" t="s">
        <v>362</v>
      </c>
      <c r="AM354" s="5" t="s">
        <v>362</v>
      </c>
      <c r="AN354" s="5" t="s">
        <v>362</v>
      </c>
      <c r="AO354" s="5" t="s">
        <v>362</v>
      </c>
      <c r="AP354" s="44">
        <f t="shared" si="101"/>
        <v>0.90915324654695107</v>
      </c>
      <c r="AQ354" s="45">
        <v>812</v>
      </c>
      <c r="AR354" s="35">
        <f t="shared" si="93"/>
        <v>221.45454545454544</v>
      </c>
      <c r="AS354" s="35">
        <f t="shared" si="94"/>
        <v>201.3</v>
      </c>
      <c r="AT354" s="35">
        <f t="shared" si="95"/>
        <v>-20.154545454545428</v>
      </c>
      <c r="AU354" s="35">
        <v>73</v>
      </c>
      <c r="AV354" s="35">
        <v>67.2</v>
      </c>
      <c r="AW354" s="35">
        <f t="shared" si="96"/>
        <v>61.1</v>
      </c>
      <c r="AX354" s="35"/>
      <c r="AY354" s="35">
        <f t="shared" si="97"/>
        <v>61.1</v>
      </c>
      <c r="AZ354" s="35">
        <v>0</v>
      </c>
      <c r="BA354" s="35">
        <f t="shared" si="98"/>
        <v>61.1</v>
      </c>
      <c r="BB354" s="35"/>
      <c r="BC354" s="35">
        <f t="shared" si="99"/>
        <v>61.1</v>
      </c>
      <c r="BD354" s="35">
        <v>60.1</v>
      </c>
      <c r="BE354" s="35">
        <f t="shared" si="100"/>
        <v>1</v>
      </c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</row>
    <row r="355" spans="1:71" s="2" customFormat="1" ht="17" customHeight="1">
      <c r="A355" s="46" t="s">
        <v>346</v>
      </c>
      <c r="B355" s="35">
        <v>24707</v>
      </c>
      <c r="C355" s="35">
        <v>24214</v>
      </c>
      <c r="D355" s="4">
        <f t="shared" si="87"/>
        <v>0.98004614076982233</v>
      </c>
      <c r="E355" s="11">
        <v>10</v>
      </c>
      <c r="F355" s="5" t="s">
        <v>362</v>
      </c>
      <c r="G355" s="5" t="s">
        <v>362</v>
      </c>
      <c r="H355" s="5" t="s">
        <v>362</v>
      </c>
      <c r="I355" s="5" t="s">
        <v>362</v>
      </c>
      <c r="J355" s="5" t="s">
        <v>362</v>
      </c>
      <c r="K355" s="5" t="s">
        <v>362</v>
      </c>
      <c r="L355" s="5" t="s">
        <v>362</v>
      </c>
      <c r="M355" s="5" t="s">
        <v>362</v>
      </c>
      <c r="N355" s="35">
        <v>1896.1</v>
      </c>
      <c r="O355" s="35">
        <v>1522.7</v>
      </c>
      <c r="P355" s="4">
        <f t="shared" si="88"/>
        <v>0.8030694583619008</v>
      </c>
      <c r="Q355" s="11">
        <v>20</v>
      </c>
      <c r="R355" s="35">
        <v>3</v>
      </c>
      <c r="S355" s="35">
        <v>3</v>
      </c>
      <c r="T355" s="4">
        <f t="shared" si="89"/>
        <v>1</v>
      </c>
      <c r="U355" s="11">
        <v>25</v>
      </c>
      <c r="V355" s="35">
        <v>2.2999999999999998</v>
      </c>
      <c r="W355" s="35">
        <v>2.2999999999999998</v>
      </c>
      <c r="X355" s="4">
        <f t="shared" si="90"/>
        <v>1</v>
      </c>
      <c r="Y355" s="11">
        <v>25</v>
      </c>
      <c r="Z355" s="35">
        <v>144262.29999999999</v>
      </c>
      <c r="AA355" s="35">
        <v>126423</v>
      </c>
      <c r="AB355" s="4">
        <f t="shared" si="91"/>
        <v>0.87634122012473126</v>
      </c>
      <c r="AC355" s="11">
        <v>5</v>
      </c>
      <c r="AD355" s="11">
        <v>73</v>
      </c>
      <c r="AE355" s="11">
        <v>73</v>
      </c>
      <c r="AF355" s="4">
        <f t="shared" si="92"/>
        <v>1</v>
      </c>
      <c r="AG355" s="11">
        <v>20</v>
      </c>
      <c r="AH355" s="5" t="s">
        <v>362</v>
      </c>
      <c r="AI355" s="5" t="s">
        <v>362</v>
      </c>
      <c r="AJ355" s="5" t="s">
        <v>362</v>
      </c>
      <c r="AK355" s="5" t="s">
        <v>362</v>
      </c>
      <c r="AL355" s="5" t="s">
        <v>362</v>
      </c>
      <c r="AM355" s="5" t="s">
        <v>362</v>
      </c>
      <c r="AN355" s="5" t="s">
        <v>362</v>
      </c>
      <c r="AO355" s="5" t="s">
        <v>362</v>
      </c>
      <c r="AP355" s="44">
        <f t="shared" si="101"/>
        <v>0.95470053976723712</v>
      </c>
      <c r="AQ355" s="45">
        <v>1529</v>
      </c>
      <c r="AR355" s="35">
        <f t="shared" si="93"/>
        <v>417</v>
      </c>
      <c r="AS355" s="35">
        <f t="shared" si="94"/>
        <v>398.1</v>
      </c>
      <c r="AT355" s="35">
        <f t="shared" si="95"/>
        <v>-18.899999999999977</v>
      </c>
      <c r="AU355" s="35">
        <v>127</v>
      </c>
      <c r="AV355" s="35">
        <v>140.5</v>
      </c>
      <c r="AW355" s="35">
        <f t="shared" si="96"/>
        <v>130.6</v>
      </c>
      <c r="AX355" s="35"/>
      <c r="AY355" s="35">
        <f t="shared" si="97"/>
        <v>130.6</v>
      </c>
      <c r="AZ355" s="35">
        <v>0</v>
      </c>
      <c r="BA355" s="35">
        <f t="shared" si="98"/>
        <v>130.6</v>
      </c>
      <c r="BB355" s="35"/>
      <c r="BC355" s="35">
        <f t="shared" si="99"/>
        <v>130.6</v>
      </c>
      <c r="BD355" s="35">
        <v>132.19999999999999</v>
      </c>
      <c r="BE355" s="35">
        <f t="shared" si="100"/>
        <v>-1.6</v>
      </c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</row>
    <row r="356" spans="1:71" s="2" customFormat="1" ht="17" customHeight="1">
      <c r="A356" s="18" t="s">
        <v>347</v>
      </c>
      <c r="B356" s="61"/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35"/>
      <c r="AA356" s="35"/>
      <c r="AB356" s="11"/>
      <c r="AC356" s="11"/>
      <c r="AD356" s="11"/>
      <c r="AE356" s="11"/>
      <c r="AF356" s="11"/>
      <c r="AG356" s="11"/>
      <c r="AH356" s="11"/>
      <c r="AI356" s="11"/>
      <c r="AJ356" s="11"/>
      <c r="AK356" s="11"/>
      <c r="AL356" s="11"/>
      <c r="AM356" s="11"/>
      <c r="AN356" s="11"/>
      <c r="AO356" s="11"/>
      <c r="AP356" s="11"/>
      <c r="AQ356" s="11"/>
      <c r="AR356" s="11"/>
      <c r="AS356" s="11"/>
      <c r="AT356" s="11"/>
      <c r="AU356" s="11"/>
      <c r="AV356" s="11"/>
      <c r="AW356" s="11"/>
      <c r="AX356" s="11"/>
      <c r="AY356" s="11"/>
      <c r="AZ356" s="11"/>
      <c r="BA356" s="11"/>
      <c r="BB356" s="11"/>
      <c r="BC356" s="35"/>
      <c r="BD356" s="35"/>
      <c r="BE356" s="35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</row>
    <row r="357" spans="1:71" s="2" customFormat="1" ht="17" customHeight="1">
      <c r="A357" s="14" t="s">
        <v>348</v>
      </c>
      <c r="B357" s="35">
        <v>2700</v>
      </c>
      <c r="C357" s="35">
        <v>2324</v>
      </c>
      <c r="D357" s="4">
        <f t="shared" si="87"/>
        <v>0.8607407407407407</v>
      </c>
      <c r="E357" s="11">
        <v>10</v>
      </c>
      <c r="F357" s="5" t="s">
        <v>362</v>
      </c>
      <c r="G357" s="5" t="s">
        <v>362</v>
      </c>
      <c r="H357" s="5" t="s">
        <v>362</v>
      </c>
      <c r="I357" s="5" t="s">
        <v>362</v>
      </c>
      <c r="J357" s="5" t="s">
        <v>362</v>
      </c>
      <c r="K357" s="5" t="s">
        <v>362</v>
      </c>
      <c r="L357" s="5" t="s">
        <v>362</v>
      </c>
      <c r="M357" s="5" t="s">
        <v>362</v>
      </c>
      <c r="N357" s="35">
        <v>174.4</v>
      </c>
      <c r="O357" s="35">
        <v>133.9</v>
      </c>
      <c r="P357" s="4">
        <f t="shared" si="88"/>
        <v>0.76777522935779818</v>
      </c>
      <c r="Q357" s="11">
        <v>20</v>
      </c>
      <c r="R357" s="35">
        <v>3</v>
      </c>
      <c r="S357" s="35">
        <v>4</v>
      </c>
      <c r="T357" s="4">
        <f t="shared" si="89"/>
        <v>1.2133333333333334</v>
      </c>
      <c r="U357" s="11">
        <v>15</v>
      </c>
      <c r="V357" s="35">
        <v>0</v>
      </c>
      <c r="W357" s="35">
        <v>0</v>
      </c>
      <c r="X357" s="4">
        <f t="shared" si="90"/>
        <v>1</v>
      </c>
      <c r="Y357" s="11">
        <v>35</v>
      </c>
      <c r="Z357" s="35">
        <v>2000</v>
      </c>
      <c r="AA357" s="35">
        <v>1760</v>
      </c>
      <c r="AB357" s="4">
        <f t="shared" si="91"/>
        <v>0.88</v>
      </c>
      <c r="AC357" s="11">
        <v>5</v>
      </c>
      <c r="AD357" s="11">
        <v>816</v>
      </c>
      <c r="AE357" s="11">
        <v>1049</v>
      </c>
      <c r="AF357" s="4">
        <f t="shared" si="92"/>
        <v>1.2085539215686274</v>
      </c>
      <c r="AG357" s="11">
        <v>20</v>
      </c>
      <c r="AH357" s="5" t="s">
        <v>362</v>
      </c>
      <c r="AI357" s="5" t="s">
        <v>362</v>
      </c>
      <c r="AJ357" s="5" t="s">
        <v>362</v>
      </c>
      <c r="AK357" s="5" t="s">
        <v>362</v>
      </c>
      <c r="AL357" s="5" t="s">
        <v>362</v>
      </c>
      <c r="AM357" s="5" t="s">
        <v>362</v>
      </c>
      <c r="AN357" s="5" t="s">
        <v>362</v>
      </c>
      <c r="AO357" s="5" t="s">
        <v>362</v>
      </c>
      <c r="AP357" s="44">
        <f t="shared" si="101"/>
        <v>1.0069903850089137</v>
      </c>
      <c r="AQ357" s="45">
        <v>1832</v>
      </c>
      <c r="AR357" s="35">
        <f t="shared" si="93"/>
        <v>499.63636363636363</v>
      </c>
      <c r="AS357" s="35">
        <f t="shared" si="94"/>
        <v>503.1</v>
      </c>
      <c r="AT357" s="35">
        <f t="shared" si="95"/>
        <v>3.4636363636363967</v>
      </c>
      <c r="AU357" s="35">
        <v>146.6</v>
      </c>
      <c r="AV357" s="35">
        <v>155.9</v>
      </c>
      <c r="AW357" s="35">
        <f t="shared" si="96"/>
        <v>200.6</v>
      </c>
      <c r="AX357" s="35"/>
      <c r="AY357" s="35">
        <f t="shared" si="97"/>
        <v>200.6</v>
      </c>
      <c r="AZ357" s="35">
        <v>0</v>
      </c>
      <c r="BA357" s="35">
        <f t="shared" si="98"/>
        <v>200.6</v>
      </c>
      <c r="BB357" s="35"/>
      <c r="BC357" s="35">
        <f t="shared" si="99"/>
        <v>200.6</v>
      </c>
      <c r="BD357" s="35">
        <v>203.8</v>
      </c>
      <c r="BE357" s="35">
        <f t="shared" si="100"/>
        <v>-3.2</v>
      </c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</row>
    <row r="358" spans="1:71" s="2" customFormat="1" ht="17" customHeight="1">
      <c r="A358" s="14" t="s">
        <v>349</v>
      </c>
      <c r="B358" s="35">
        <v>0</v>
      </c>
      <c r="C358" s="35">
        <v>0</v>
      </c>
      <c r="D358" s="4">
        <f t="shared" si="87"/>
        <v>0</v>
      </c>
      <c r="E358" s="11">
        <v>0</v>
      </c>
      <c r="F358" s="5" t="s">
        <v>362</v>
      </c>
      <c r="G358" s="5" t="s">
        <v>362</v>
      </c>
      <c r="H358" s="5" t="s">
        <v>362</v>
      </c>
      <c r="I358" s="5" t="s">
        <v>362</v>
      </c>
      <c r="J358" s="5" t="s">
        <v>362</v>
      </c>
      <c r="K358" s="5" t="s">
        <v>362</v>
      </c>
      <c r="L358" s="5" t="s">
        <v>362</v>
      </c>
      <c r="M358" s="5" t="s">
        <v>362</v>
      </c>
      <c r="N358" s="35">
        <v>171.1</v>
      </c>
      <c r="O358" s="35">
        <v>115.7</v>
      </c>
      <c r="P358" s="4">
        <f t="shared" si="88"/>
        <v>0.67621274108708362</v>
      </c>
      <c r="Q358" s="11">
        <v>20</v>
      </c>
      <c r="R358" s="35">
        <v>30</v>
      </c>
      <c r="S358" s="35">
        <v>33</v>
      </c>
      <c r="T358" s="4">
        <f t="shared" si="89"/>
        <v>1.1000000000000001</v>
      </c>
      <c r="U358" s="11">
        <v>25</v>
      </c>
      <c r="V358" s="35">
        <v>0</v>
      </c>
      <c r="W358" s="35">
        <v>2.4</v>
      </c>
      <c r="X358" s="4">
        <f t="shared" si="90"/>
        <v>1</v>
      </c>
      <c r="Y358" s="11">
        <v>25</v>
      </c>
      <c r="Z358" s="35">
        <v>2300</v>
      </c>
      <c r="AA358" s="35">
        <v>1700</v>
      </c>
      <c r="AB358" s="4">
        <f t="shared" si="91"/>
        <v>0.73913043478260865</v>
      </c>
      <c r="AC358" s="11">
        <v>5</v>
      </c>
      <c r="AD358" s="11">
        <v>83</v>
      </c>
      <c r="AE358" s="11">
        <v>89</v>
      </c>
      <c r="AF358" s="4">
        <f t="shared" si="92"/>
        <v>1.072289156626506</v>
      </c>
      <c r="AG358" s="11">
        <v>20</v>
      </c>
      <c r="AH358" s="5" t="s">
        <v>362</v>
      </c>
      <c r="AI358" s="5" t="s">
        <v>362</v>
      </c>
      <c r="AJ358" s="5" t="s">
        <v>362</v>
      </c>
      <c r="AK358" s="5" t="s">
        <v>362</v>
      </c>
      <c r="AL358" s="5" t="s">
        <v>362</v>
      </c>
      <c r="AM358" s="5" t="s">
        <v>362</v>
      </c>
      <c r="AN358" s="5" t="s">
        <v>362</v>
      </c>
      <c r="AO358" s="5" t="s">
        <v>362</v>
      </c>
      <c r="AP358" s="44">
        <f t="shared" si="101"/>
        <v>0.95963884345457739</v>
      </c>
      <c r="AQ358" s="45">
        <v>1461</v>
      </c>
      <c r="AR358" s="35">
        <f t="shared" si="93"/>
        <v>398.45454545454544</v>
      </c>
      <c r="AS358" s="35">
        <f t="shared" si="94"/>
        <v>382.4</v>
      </c>
      <c r="AT358" s="35">
        <f t="shared" si="95"/>
        <v>-16.054545454545462</v>
      </c>
      <c r="AU358" s="35">
        <v>148.5</v>
      </c>
      <c r="AV358" s="35">
        <v>111.1</v>
      </c>
      <c r="AW358" s="35">
        <f t="shared" si="96"/>
        <v>122.8</v>
      </c>
      <c r="AX358" s="35"/>
      <c r="AY358" s="35">
        <f t="shared" si="97"/>
        <v>122.8</v>
      </c>
      <c r="AZ358" s="35">
        <v>0</v>
      </c>
      <c r="BA358" s="35">
        <f t="shared" si="98"/>
        <v>122.8</v>
      </c>
      <c r="BB358" s="35"/>
      <c r="BC358" s="35">
        <f t="shared" si="99"/>
        <v>122.8</v>
      </c>
      <c r="BD358" s="35">
        <v>127.7</v>
      </c>
      <c r="BE358" s="35">
        <f t="shared" si="100"/>
        <v>-4.9000000000000004</v>
      </c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</row>
    <row r="359" spans="1:71" s="2" customFormat="1" ht="17" customHeight="1">
      <c r="A359" s="46" t="s">
        <v>350</v>
      </c>
      <c r="B359" s="35">
        <v>4800</v>
      </c>
      <c r="C359" s="35">
        <v>4745</v>
      </c>
      <c r="D359" s="4">
        <f t="shared" si="87"/>
        <v>0.98854166666666665</v>
      </c>
      <c r="E359" s="11">
        <v>10</v>
      </c>
      <c r="F359" s="5" t="s">
        <v>362</v>
      </c>
      <c r="G359" s="5" t="s">
        <v>362</v>
      </c>
      <c r="H359" s="5" t="s">
        <v>362</v>
      </c>
      <c r="I359" s="5" t="s">
        <v>362</v>
      </c>
      <c r="J359" s="5" t="s">
        <v>362</v>
      </c>
      <c r="K359" s="5" t="s">
        <v>362</v>
      </c>
      <c r="L359" s="5" t="s">
        <v>362</v>
      </c>
      <c r="M359" s="5" t="s">
        <v>362</v>
      </c>
      <c r="N359" s="35">
        <v>1008.3</v>
      </c>
      <c r="O359" s="35">
        <v>536.79999999999995</v>
      </c>
      <c r="P359" s="4">
        <f t="shared" si="88"/>
        <v>0.53238123574333029</v>
      </c>
      <c r="Q359" s="11">
        <v>20</v>
      </c>
      <c r="R359" s="35">
        <v>0</v>
      </c>
      <c r="S359" s="35">
        <v>0</v>
      </c>
      <c r="T359" s="4">
        <f t="shared" si="89"/>
        <v>1</v>
      </c>
      <c r="U359" s="11">
        <v>15</v>
      </c>
      <c r="V359" s="35">
        <v>0</v>
      </c>
      <c r="W359" s="35">
        <v>0</v>
      </c>
      <c r="X359" s="4">
        <f t="shared" si="90"/>
        <v>1</v>
      </c>
      <c r="Y359" s="11">
        <v>35</v>
      </c>
      <c r="Z359" s="35">
        <v>19500</v>
      </c>
      <c r="AA359" s="35">
        <v>18021</v>
      </c>
      <c r="AB359" s="4">
        <f t="shared" si="91"/>
        <v>0.9241538461538461</v>
      </c>
      <c r="AC359" s="11">
        <v>5</v>
      </c>
      <c r="AD359" s="11">
        <v>14</v>
      </c>
      <c r="AE359" s="11">
        <v>15</v>
      </c>
      <c r="AF359" s="4">
        <f t="shared" si="92"/>
        <v>1.0714285714285714</v>
      </c>
      <c r="AG359" s="11">
        <v>20</v>
      </c>
      <c r="AH359" s="5" t="s">
        <v>362</v>
      </c>
      <c r="AI359" s="5" t="s">
        <v>362</v>
      </c>
      <c r="AJ359" s="5" t="s">
        <v>362</v>
      </c>
      <c r="AK359" s="5" t="s">
        <v>362</v>
      </c>
      <c r="AL359" s="5" t="s">
        <v>362</v>
      </c>
      <c r="AM359" s="5" t="s">
        <v>362</v>
      </c>
      <c r="AN359" s="5" t="s">
        <v>362</v>
      </c>
      <c r="AO359" s="5" t="s">
        <v>362</v>
      </c>
      <c r="AP359" s="44">
        <f t="shared" si="101"/>
        <v>0.91983220991308512</v>
      </c>
      <c r="AQ359" s="45">
        <v>15</v>
      </c>
      <c r="AR359" s="35">
        <f t="shared" si="93"/>
        <v>4.0909090909090908</v>
      </c>
      <c r="AS359" s="35">
        <f t="shared" si="94"/>
        <v>3.8</v>
      </c>
      <c r="AT359" s="35">
        <f t="shared" si="95"/>
        <v>-0.29090909090909101</v>
      </c>
      <c r="AU359" s="35">
        <v>1.4</v>
      </c>
      <c r="AV359" s="35">
        <v>1.2</v>
      </c>
      <c r="AW359" s="35">
        <f t="shared" si="96"/>
        <v>1.2</v>
      </c>
      <c r="AX359" s="35"/>
      <c r="AY359" s="35">
        <f t="shared" si="97"/>
        <v>1.2</v>
      </c>
      <c r="AZ359" s="35">
        <v>0</v>
      </c>
      <c r="BA359" s="35">
        <f t="shared" si="98"/>
        <v>1.2</v>
      </c>
      <c r="BB359" s="35">
        <f>MIN(BA359,0.7)</f>
        <v>0.7</v>
      </c>
      <c r="BC359" s="35">
        <f t="shared" si="99"/>
        <v>0.5</v>
      </c>
      <c r="BD359" s="35">
        <v>0.5</v>
      </c>
      <c r="BE359" s="35">
        <f t="shared" si="100"/>
        <v>0</v>
      </c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</row>
    <row r="360" spans="1:71" s="2" customFormat="1" ht="17" customHeight="1">
      <c r="A360" s="14" t="s">
        <v>351</v>
      </c>
      <c r="B360" s="35">
        <v>0</v>
      </c>
      <c r="C360" s="35">
        <v>0</v>
      </c>
      <c r="D360" s="4">
        <f t="shared" si="87"/>
        <v>0</v>
      </c>
      <c r="E360" s="11">
        <v>0</v>
      </c>
      <c r="F360" s="5" t="s">
        <v>362</v>
      </c>
      <c r="G360" s="5" t="s">
        <v>362</v>
      </c>
      <c r="H360" s="5" t="s">
        <v>362</v>
      </c>
      <c r="I360" s="5" t="s">
        <v>362</v>
      </c>
      <c r="J360" s="5" t="s">
        <v>362</v>
      </c>
      <c r="K360" s="5" t="s">
        <v>362</v>
      </c>
      <c r="L360" s="5" t="s">
        <v>362</v>
      </c>
      <c r="M360" s="5" t="s">
        <v>362</v>
      </c>
      <c r="N360" s="35">
        <v>56.1</v>
      </c>
      <c r="O360" s="35">
        <v>45.8</v>
      </c>
      <c r="P360" s="4">
        <f t="shared" si="88"/>
        <v>0.81639928698752218</v>
      </c>
      <c r="Q360" s="11">
        <v>20</v>
      </c>
      <c r="R360" s="35">
        <v>0</v>
      </c>
      <c r="S360" s="35">
        <v>0</v>
      </c>
      <c r="T360" s="4">
        <f t="shared" si="89"/>
        <v>1</v>
      </c>
      <c r="U360" s="11">
        <v>20</v>
      </c>
      <c r="V360" s="35">
        <v>0</v>
      </c>
      <c r="W360" s="35">
        <v>0</v>
      </c>
      <c r="X360" s="4">
        <f t="shared" si="90"/>
        <v>1</v>
      </c>
      <c r="Y360" s="11">
        <v>30</v>
      </c>
      <c r="Z360" s="35">
        <v>4500</v>
      </c>
      <c r="AA360" s="35">
        <v>4721</v>
      </c>
      <c r="AB360" s="4">
        <f t="shared" si="91"/>
        <v>1.0491111111111111</v>
      </c>
      <c r="AC360" s="11">
        <v>5</v>
      </c>
      <c r="AD360" s="11">
        <v>78</v>
      </c>
      <c r="AE360" s="11">
        <v>78</v>
      </c>
      <c r="AF360" s="4">
        <f t="shared" si="92"/>
        <v>1</v>
      </c>
      <c r="AG360" s="11">
        <v>20</v>
      </c>
      <c r="AH360" s="5" t="s">
        <v>362</v>
      </c>
      <c r="AI360" s="5" t="s">
        <v>362</v>
      </c>
      <c r="AJ360" s="5" t="s">
        <v>362</v>
      </c>
      <c r="AK360" s="5" t="s">
        <v>362</v>
      </c>
      <c r="AL360" s="5" t="s">
        <v>362</v>
      </c>
      <c r="AM360" s="5" t="s">
        <v>362</v>
      </c>
      <c r="AN360" s="5" t="s">
        <v>362</v>
      </c>
      <c r="AO360" s="5" t="s">
        <v>362</v>
      </c>
      <c r="AP360" s="44">
        <f t="shared" si="101"/>
        <v>0.96393201363479997</v>
      </c>
      <c r="AQ360" s="45">
        <v>950</v>
      </c>
      <c r="AR360" s="35">
        <f t="shared" si="93"/>
        <v>259.09090909090907</v>
      </c>
      <c r="AS360" s="35">
        <f t="shared" si="94"/>
        <v>249.7</v>
      </c>
      <c r="AT360" s="35">
        <f t="shared" si="95"/>
        <v>-9.3909090909090764</v>
      </c>
      <c r="AU360" s="35">
        <v>76.2</v>
      </c>
      <c r="AV360" s="35">
        <v>76.3</v>
      </c>
      <c r="AW360" s="35">
        <f t="shared" si="96"/>
        <v>97.2</v>
      </c>
      <c r="AX360" s="35"/>
      <c r="AY360" s="35">
        <f t="shared" si="97"/>
        <v>97.2</v>
      </c>
      <c r="AZ360" s="35">
        <v>0</v>
      </c>
      <c r="BA360" s="35">
        <f t="shared" si="98"/>
        <v>97.2</v>
      </c>
      <c r="BB360" s="35">
        <f>MIN(BA360,43.2)</f>
        <v>43.2</v>
      </c>
      <c r="BC360" s="35">
        <f t="shared" si="99"/>
        <v>54</v>
      </c>
      <c r="BD360" s="35">
        <v>52.8</v>
      </c>
      <c r="BE360" s="35">
        <f t="shared" si="100"/>
        <v>1.2</v>
      </c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</row>
    <row r="361" spans="1:71" s="2" customFormat="1" ht="17" customHeight="1">
      <c r="A361" s="14" t="s">
        <v>352</v>
      </c>
      <c r="B361" s="35">
        <v>4450</v>
      </c>
      <c r="C361" s="35">
        <v>4091.9</v>
      </c>
      <c r="D361" s="4">
        <f t="shared" si="87"/>
        <v>0.91952808988764045</v>
      </c>
      <c r="E361" s="11">
        <v>10</v>
      </c>
      <c r="F361" s="5" t="s">
        <v>362</v>
      </c>
      <c r="G361" s="5" t="s">
        <v>362</v>
      </c>
      <c r="H361" s="5" t="s">
        <v>362</v>
      </c>
      <c r="I361" s="5" t="s">
        <v>362</v>
      </c>
      <c r="J361" s="5" t="s">
        <v>362</v>
      </c>
      <c r="K361" s="5" t="s">
        <v>362</v>
      </c>
      <c r="L361" s="5" t="s">
        <v>362</v>
      </c>
      <c r="M361" s="5" t="s">
        <v>362</v>
      </c>
      <c r="N361" s="35">
        <v>704.4</v>
      </c>
      <c r="O361" s="35">
        <v>447.1</v>
      </c>
      <c r="P361" s="4">
        <f t="shared" si="88"/>
        <v>0.6347245883021011</v>
      </c>
      <c r="Q361" s="11">
        <v>20</v>
      </c>
      <c r="R361" s="35">
        <v>30</v>
      </c>
      <c r="S361" s="35">
        <v>33</v>
      </c>
      <c r="T361" s="4">
        <f t="shared" si="89"/>
        <v>1.1000000000000001</v>
      </c>
      <c r="U361" s="11">
        <v>20</v>
      </c>
      <c r="V361" s="35">
        <v>80</v>
      </c>
      <c r="W361" s="35">
        <v>82</v>
      </c>
      <c r="X361" s="4">
        <f t="shared" si="90"/>
        <v>1.0249999999999999</v>
      </c>
      <c r="Y361" s="11">
        <v>30</v>
      </c>
      <c r="Z361" s="35">
        <v>3200</v>
      </c>
      <c r="AA361" s="35">
        <v>3614</v>
      </c>
      <c r="AB361" s="4">
        <f t="shared" si="91"/>
        <v>1.129375</v>
      </c>
      <c r="AC361" s="11">
        <v>5</v>
      </c>
      <c r="AD361" s="11">
        <v>129</v>
      </c>
      <c r="AE361" s="11">
        <v>127</v>
      </c>
      <c r="AF361" s="4">
        <f t="shared" si="92"/>
        <v>0.98449612403100772</v>
      </c>
      <c r="AG361" s="11">
        <v>20</v>
      </c>
      <c r="AH361" s="5" t="s">
        <v>362</v>
      </c>
      <c r="AI361" s="5" t="s">
        <v>362</v>
      </c>
      <c r="AJ361" s="5" t="s">
        <v>362</v>
      </c>
      <c r="AK361" s="5" t="s">
        <v>362</v>
      </c>
      <c r="AL361" s="5" t="s">
        <v>362</v>
      </c>
      <c r="AM361" s="5" t="s">
        <v>362</v>
      </c>
      <c r="AN361" s="5" t="s">
        <v>362</v>
      </c>
      <c r="AO361" s="5" t="s">
        <v>362</v>
      </c>
      <c r="AP361" s="44">
        <f t="shared" si="101"/>
        <v>0.95215781090989116</v>
      </c>
      <c r="AQ361" s="45">
        <v>1750</v>
      </c>
      <c r="AR361" s="35">
        <f t="shared" si="93"/>
        <v>477.27272727272725</v>
      </c>
      <c r="AS361" s="35">
        <f t="shared" si="94"/>
        <v>454.4</v>
      </c>
      <c r="AT361" s="35">
        <f t="shared" si="95"/>
        <v>-22.872727272727275</v>
      </c>
      <c r="AU361" s="35">
        <v>124.1</v>
      </c>
      <c r="AV361" s="35">
        <v>163.4</v>
      </c>
      <c r="AW361" s="35">
        <f t="shared" si="96"/>
        <v>166.9</v>
      </c>
      <c r="AX361" s="35"/>
      <c r="AY361" s="35">
        <f t="shared" si="97"/>
        <v>166.9</v>
      </c>
      <c r="AZ361" s="35">
        <v>0</v>
      </c>
      <c r="BA361" s="35">
        <f t="shared" si="98"/>
        <v>166.9</v>
      </c>
      <c r="BB361" s="35">
        <f>MIN(BA361,15.7)</f>
        <v>15.7</v>
      </c>
      <c r="BC361" s="35">
        <f t="shared" si="99"/>
        <v>151.19999999999999</v>
      </c>
      <c r="BD361" s="35">
        <v>147</v>
      </c>
      <c r="BE361" s="35">
        <f t="shared" si="100"/>
        <v>4.2</v>
      </c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</row>
    <row r="362" spans="1:71" s="2" customFormat="1" ht="17" customHeight="1">
      <c r="A362" s="14" t="s">
        <v>353</v>
      </c>
      <c r="B362" s="35">
        <v>180</v>
      </c>
      <c r="C362" s="35">
        <v>227.7</v>
      </c>
      <c r="D362" s="4">
        <f t="shared" si="87"/>
        <v>1.2064999999999999</v>
      </c>
      <c r="E362" s="11">
        <v>10</v>
      </c>
      <c r="F362" s="5" t="s">
        <v>362</v>
      </c>
      <c r="G362" s="5" t="s">
        <v>362</v>
      </c>
      <c r="H362" s="5" t="s">
        <v>362</v>
      </c>
      <c r="I362" s="5" t="s">
        <v>362</v>
      </c>
      <c r="J362" s="5" t="s">
        <v>362</v>
      </c>
      <c r="K362" s="5" t="s">
        <v>362</v>
      </c>
      <c r="L362" s="5" t="s">
        <v>362</v>
      </c>
      <c r="M362" s="5" t="s">
        <v>362</v>
      </c>
      <c r="N362" s="35">
        <v>235.1</v>
      </c>
      <c r="O362" s="35">
        <v>122.1</v>
      </c>
      <c r="P362" s="4">
        <f t="shared" si="88"/>
        <v>0.51935346660995318</v>
      </c>
      <c r="Q362" s="11">
        <v>20</v>
      </c>
      <c r="R362" s="35">
        <v>30</v>
      </c>
      <c r="S362" s="35">
        <v>34</v>
      </c>
      <c r="T362" s="4">
        <f t="shared" si="89"/>
        <v>1.1333333333333333</v>
      </c>
      <c r="U362" s="11">
        <v>20</v>
      </c>
      <c r="V362" s="35">
        <v>0</v>
      </c>
      <c r="W362" s="35">
        <v>1.4</v>
      </c>
      <c r="X362" s="4">
        <f t="shared" si="90"/>
        <v>1</v>
      </c>
      <c r="Y362" s="11">
        <v>30</v>
      </c>
      <c r="Z362" s="35">
        <v>5100</v>
      </c>
      <c r="AA362" s="35">
        <v>3621</v>
      </c>
      <c r="AB362" s="4">
        <f t="shared" si="91"/>
        <v>0.71</v>
      </c>
      <c r="AC362" s="11">
        <v>5</v>
      </c>
      <c r="AD362" s="11">
        <v>236</v>
      </c>
      <c r="AE362" s="11">
        <v>257</v>
      </c>
      <c r="AF362" s="4">
        <f t="shared" si="92"/>
        <v>1.0889830508474576</v>
      </c>
      <c r="AG362" s="11">
        <v>20</v>
      </c>
      <c r="AH362" s="5" t="s">
        <v>362</v>
      </c>
      <c r="AI362" s="5" t="s">
        <v>362</v>
      </c>
      <c r="AJ362" s="5" t="s">
        <v>362</v>
      </c>
      <c r="AK362" s="5" t="s">
        <v>362</v>
      </c>
      <c r="AL362" s="5" t="s">
        <v>362</v>
      </c>
      <c r="AM362" s="5" t="s">
        <v>362</v>
      </c>
      <c r="AN362" s="5" t="s">
        <v>362</v>
      </c>
      <c r="AO362" s="5" t="s">
        <v>362</v>
      </c>
      <c r="AP362" s="44">
        <f t="shared" si="101"/>
        <v>0.95665140015061789</v>
      </c>
      <c r="AQ362" s="45">
        <v>2522</v>
      </c>
      <c r="AR362" s="35">
        <f t="shared" si="93"/>
        <v>687.81818181818187</v>
      </c>
      <c r="AS362" s="35">
        <f t="shared" si="94"/>
        <v>658</v>
      </c>
      <c r="AT362" s="35">
        <f t="shared" si="95"/>
        <v>-29.81818181818187</v>
      </c>
      <c r="AU362" s="35">
        <v>206.4</v>
      </c>
      <c r="AV362" s="35">
        <v>189</v>
      </c>
      <c r="AW362" s="35">
        <f t="shared" si="96"/>
        <v>262.60000000000002</v>
      </c>
      <c r="AX362" s="35"/>
      <c r="AY362" s="35">
        <f t="shared" si="97"/>
        <v>262.60000000000002</v>
      </c>
      <c r="AZ362" s="35">
        <v>0</v>
      </c>
      <c r="BA362" s="35">
        <f t="shared" si="98"/>
        <v>262.60000000000002</v>
      </c>
      <c r="BB362" s="35"/>
      <c r="BC362" s="35">
        <f t="shared" si="99"/>
        <v>262.60000000000002</v>
      </c>
      <c r="BD362" s="35">
        <v>271.10000000000002</v>
      </c>
      <c r="BE362" s="35">
        <f t="shared" si="100"/>
        <v>-8.5</v>
      </c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</row>
    <row r="363" spans="1:71" s="2" customFormat="1" ht="17" customHeight="1">
      <c r="A363" s="14" t="s">
        <v>354</v>
      </c>
      <c r="B363" s="35">
        <v>3240</v>
      </c>
      <c r="C363" s="35">
        <v>1651.8</v>
      </c>
      <c r="D363" s="4">
        <f t="shared" si="87"/>
        <v>0.50981481481481483</v>
      </c>
      <c r="E363" s="11">
        <v>10</v>
      </c>
      <c r="F363" s="5" t="s">
        <v>362</v>
      </c>
      <c r="G363" s="5" t="s">
        <v>362</v>
      </c>
      <c r="H363" s="5" t="s">
        <v>362</v>
      </c>
      <c r="I363" s="5" t="s">
        <v>362</v>
      </c>
      <c r="J363" s="5" t="s">
        <v>362</v>
      </c>
      <c r="K363" s="5" t="s">
        <v>362</v>
      </c>
      <c r="L363" s="5" t="s">
        <v>362</v>
      </c>
      <c r="M363" s="5" t="s">
        <v>362</v>
      </c>
      <c r="N363" s="35">
        <v>110.7</v>
      </c>
      <c r="O363" s="35">
        <v>390.8</v>
      </c>
      <c r="P363" s="4">
        <f t="shared" si="88"/>
        <v>1.3</v>
      </c>
      <c r="Q363" s="11">
        <v>20</v>
      </c>
      <c r="R363" s="35">
        <v>0</v>
      </c>
      <c r="S363" s="35">
        <v>2.7</v>
      </c>
      <c r="T363" s="4">
        <f t="shared" si="89"/>
        <v>1</v>
      </c>
      <c r="U363" s="11">
        <v>30</v>
      </c>
      <c r="V363" s="35">
        <v>0</v>
      </c>
      <c r="W363" s="35">
        <v>0.5</v>
      </c>
      <c r="X363" s="4">
        <f t="shared" si="90"/>
        <v>1</v>
      </c>
      <c r="Y363" s="11">
        <v>20</v>
      </c>
      <c r="Z363" s="35">
        <v>5500</v>
      </c>
      <c r="AA363" s="35">
        <v>7830</v>
      </c>
      <c r="AB363" s="4">
        <f t="shared" si="91"/>
        <v>1.2223636363636363</v>
      </c>
      <c r="AC363" s="11">
        <v>5</v>
      </c>
      <c r="AD363" s="11">
        <v>51</v>
      </c>
      <c r="AE363" s="11">
        <v>52</v>
      </c>
      <c r="AF363" s="4">
        <f t="shared" si="92"/>
        <v>1.0196078431372548</v>
      </c>
      <c r="AG363" s="11">
        <v>20</v>
      </c>
      <c r="AH363" s="5" t="s">
        <v>362</v>
      </c>
      <c r="AI363" s="5" t="s">
        <v>362</v>
      </c>
      <c r="AJ363" s="5" t="s">
        <v>362</v>
      </c>
      <c r="AK363" s="5" t="s">
        <v>362</v>
      </c>
      <c r="AL363" s="5" t="s">
        <v>362</v>
      </c>
      <c r="AM363" s="5" t="s">
        <v>362</v>
      </c>
      <c r="AN363" s="5" t="s">
        <v>362</v>
      </c>
      <c r="AO363" s="5" t="s">
        <v>362</v>
      </c>
      <c r="AP363" s="44">
        <f t="shared" si="101"/>
        <v>1.0247821256448706</v>
      </c>
      <c r="AQ363" s="45">
        <v>1041</v>
      </c>
      <c r="AR363" s="35">
        <f t="shared" si="93"/>
        <v>283.90909090909093</v>
      </c>
      <c r="AS363" s="35">
        <f t="shared" si="94"/>
        <v>290.89999999999998</v>
      </c>
      <c r="AT363" s="35">
        <f t="shared" si="95"/>
        <v>6.9909090909090423</v>
      </c>
      <c r="AU363" s="35">
        <v>89.5</v>
      </c>
      <c r="AV363" s="35">
        <v>96</v>
      </c>
      <c r="AW363" s="35">
        <f t="shared" si="96"/>
        <v>105.4</v>
      </c>
      <c r="AX363" s="35"/>
      <c r="AY363" s="35">
        <f t="shared" si="97"/>
        <v>105.4</v>
      </c>
      <c r="AZ363" s="35">
        <v>0</v>
      </c>
      <c r="BA363" s="35">
        <f t="shared" si="98"/>
        <v>105.4</v>
      </c>
      <c r="BB363" s="35"/>
      <c r="BC363" s="35">
        <f t="shared" si="99"/>
        <v>105.4</v>
      </c>
      <c r="BD363" s="35">
        <v>102.6</v>
      </c>
      <c r="BE363" s="35">
        <f t="shared" si="100"/>
        <v>2.8</v>
      </c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</row>
    <row r="364" spans="1:71" s="2" customFormat="1" ht="17" customHeight="1">
      <c r="A364" s="14" t="s">
        <v>355</v>
      </c>
      <c r="B364" s="35">
        <v>0</v>
      </c>
      <c r="C364" s="35">
        <v>0</v>
      </c>
      <c r="D364" s="4">
        <f t="shared" si="87"/>
        <v>0</v>
      </c>
      <c r="E364" s="11">
        <v>0</v>
      </c>
      <c r="F364" s="5" t="s">
        <v>362</v>
      </c>
      <c r="G364" s="5" t="s">
        <v>362</v>
      </c>
      <c r="H364" s="5" t="s">
        <v>362</v>
      </c>
      <c r="I364" s="5" t="s">
        <v>362</v>
      </c>
      <c r="J364" s="5" t="s">
        <v>362</v>
      </c>
      <c r="K364" s="5" t="s">
        <v>362</v>
      </c>
      <c r="L364" s="5" t="s">
        <v>362</v>
      </c>
      <c r="M364" s="5" t="s">
        <v>362</v>
      </c>
      <c r="N364" s="35">
        <v>76.400000000000006</v>
      </c>
      <c r="O364" s="35">
        <v>110.2</v>
      </c>
      <c r="P364" s="4">
        <f t="shared" si="88"/>
        <v>1.224240837696335</v>
      </c>
      <c r="Q364" s="11">
        <v>20</v>
      </c>
      <c r="R364" s="35">
        <v>0</v>
      </c>
      <c r="S364" s="35">
        <v>3</v>
      </c>
      <c r="T364" s="4">
        <f t="shared" si="89"/>
        <v>1</v>
      </c>
      <c r="U364" s="11">
        <v>25</v>
      </c>
      <c r="V364" s="35">
        <v>1</v>
      </c>
      <c r="W364" s="35">
        <v>0</v>
      </c>
      <c r="X364" s="4">
        <f t="shared" si="90"/>
        <v>0</v>
      </c>
      <c r="Y364" s="11">
        <v>25</v>
      </c>
      <c r="Z364" s="35">
        <v>650</v>
      </c>
      <c r="AA364" s="35">
        <v>481</v>
      </c>
      <c r="AB364" s="4">
        <f t="shared" si="91"/>
        <v>0.74</v>
      </c>
      <c r="AC364" s="11">
        <v>5</v>
      </c>
      <c r="AD364" s="11">
        <v>75</v>
      </c>
      <c r="AE364" s="11">
        <v>70</v>
      </c>
      <c r="AF364" s="4">
        <f t="shared" si="92"/>
        <v>0.93333333333333335</v>
      </c>
      <c r="AG364" s="11">
        <v>20</v>
      </c>
      <c r="AH364" s="5" t="s">
        <v>362</v>
      </c>
      <c r="AI364" s="5" t="s">
        <v>362</v>
      </c>
      <c r="AJ364" s="5" t="s">
        <v>362</v>
      </c>
      <c r="AK364" s="5" t="s">
        <v>362</v>
      </c>
      <c r="AL364" s="5" t="s">
        <v>362</v>
      </c>
      <c r="AM364" s="5" t="s">
        <v>362</v>
      </c>
      <c r="AN364" s="5" t="s">
        <v>362</v>
      </c>
      <c r="AO364" s="5" t="s">
        <v>362</v>
      </c>
      <c r="AP364" s="44">
        <f t="shared" si="101"/>
        <v>0.75633140442729863</v>
      </c>
      <c r="AQ364" s="45">
        <v>1264</v>
      </c>
      <c r="AR364" s="35">
        <f t="shared" si="93"/>
        <v>344.72727272727275</v>
      </c>
      <c r="AS364" s="35">
        <f t="shared" si="94"/>
        <v>260.7</v>
      </c>
      <c r="AT364" s="35">
        <f t="shared" si="95"/>
        <v>-84.027272727272759</v>
      </c>
      <c r="AU364" s="35">
        <v>107.2</v>
      </c>
      <c r="AV364" s="35">
        <v>124</v>
      </c>
      <c r="AW364" s="35">
        <f t="shared" si="96"/>
        <v>29.5</v>
      </c>
      <c r="AX364" s="35"/>
      <c r="AY364" s="35">
        <f t="shared" si="97"/>
        <v>29.5</v>
      </c>
      <c r="AZ364" s="35">
        <v>0</v>
      </c>
      <c r="BA364" s="35">
        <f t="shared" si="98"/>
        <v>29.5</v>
      </c>
      <c r="BB364" s="35">
        <f>MIN(BA364,57.5)</f>
        <v>29.5</v>
      </c>
      <c r="BC364" s="35">
        <f t="shared" si="99"/>
        <v>0</v>
      </c>
      <c r="BD364" s="35">
        <v>0</v>
      </c>
      <c r="BE364" s="35">
        <f t="shared" si="100"/>
        <v>0</v>
      </c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</row>
    <row r="365" spans="1:71" s="2" customFormat="1" ht="17" customHeight="1">
      <c r="A365" s="14" t="s">
        <v>356</v>
      </c>
      <c r="B365" s="35">
        <v>0</v>
      </c>
      <c r="C365" s="35">
        <v>0</v>
      </c>
      <c r="D365" s="4">
        <f t="shared" si="87"/>
        <v>0</v>
      </c>
      <c r="E365" s="11">
        <v>0</v>
      </c>
      <c r="F365" s="5" t="s">
        <v>362</v>
      </c>
      <c r="G365" s="5" t="s">
        <v>362</v>
      </c>
      <c r="H365" s="5" t="s">
        <v>362</v>
      </c>
      <c r="I365" s="5" t="s">
        <v>362</v>
      </c>
      <c r="J365" s="5" t="s">
        <v>362</v>
      </c>
      <c r="K365" s="5" t="s">
        <v>362</v>
      </c>
      <c r="L365" s="5" t="s">
        <v>362</v>
      </c>
      <c r="M365" s="5" t="s">
        <v>362</v>
      </c>
      <c r="N365" s="35">
        <v>80.5</v>
      </c>
      <c r="O365" s="35">
        <v>116</v>
      </c>
      <c r="P365" s="4">
        <f t="shared" si="88"/>
        <v>1.2240993788819876</v>
      </c>
      <c r="Q365" s="11">
        <v>20</v>
      </c>
      <c r="R365" s="35">
        <v>0</v>
      </c>
      <c r="S365" s="35">
        <v>0</v>
      </c>
      <c r="T365" s="4">
        <f t="shared" si="89"/>
        <v>1</v>
      </c>
      <c r="U365" s="11">
        <v>20</v>
      </c>
      <c r="V365" s="35">
        <v>1</v>
      </c>
      <c r="W365" s="35">
        <v>7.8</v>
      </c>
      <c r="X365" s="4">
        <f t="shared" si="90"/>
        <v>1.3</v>
      </c>
      <c r="Y365" s="11">
        <v>30</v>
      </c>
      <c r="Z365" s="35">
        <v>4500</v>
      </c>
      <c r="AA365" s="35">
        <v>4312</v>
      </c>
      <c r="AB365" s="4">
        <f t="shared" si="91"/>
        <v>0.9582222222222222</v>
      </c>
      <c r="AC365" s="11">
        <v>5</v>
      </c>
      <c r="AD365" s="11">
        <v>74</v>
      </c>
      <c r="AE365" s="11">
        <v>75</v>
      </c>
      <c r="AF365" s="4">
        <f t="shared" si="92"/>
        <v>1.0135135135135136</v>
      </c>
      <c r="AG365" s="11">
        <v>20</v>
      </c>
      <c r="AH365" s="5" t="s">
        <v>362</v>
      </c>
      <c r="AI365" s="5" t="s">
        <v>362</v>
      </c>
      <c r="AJ365" s="5" t="s">
        <v>362</v>
      </c>
      <c r="AK365" s="5" t="s">
        <v>362</v>
      </c>
      <c r="AL365" s="5" t="s">
        <v>362</v>
      </c>
      <c r="AM365" s="5" t="s">
        <v>362</v>
      </c>
      <c r="AN365" s="5" t="s">
        <v>362</v>
      </c>
      <c r="AO365" s="5" t="s">
        <v>362</v>
      </c>
      <c r="AP365" s="44">
        <f t="shared" si="101"/>
        <v>1.142561778516012</v>
      </c>
      <c r="AQ365" s="45">
        <v>1901</v>
      </c>
      <c r="AR365" s="35">
        <f t="shared" si="93"/>
        <v>518.4545454545455</v>
      </c>
      <c r="AS365" s="35">
        <f t="shared" si="94"/>
        <v>592.4</v>
      </c>
      <c r="AT365" s="35">
        <f t="shared" si="95"/>
        <v>73.945454545454481</v>
      </c>
      <c r="AU365" s="35">
        <v>187.6</v>
      </c>
      <c r="AV365" s="35">
        <v>171.8</v>
      </c>
      <c r="AW365" s="35">
        <f t="shared" si="96"/>
        <v>233</v>
      </c>
      <c r="AX365" s="35"/>
      <c r="AY365" s="35">
        <f t="shared" si="97"/>
        <v>233</v>
      </c>
      <c r="AZ365" s="35">
        <v>0</v>
      </c>
      <c r="BA365" s="35">
        <f t="shared" si="98"/>
        <v>233</v>
      </c>
      <c r="BB365" s="35">
        <f>MIN(BA365,86.4)</f>
        <v>86.4</v>
      </c>
      <c r="BC365" s="35">
        <f t="shared" si="99"/>
        <v>146.6</v>
      </c>
      <c r="BD365" s="35">
        <v>151.9</v>
      </c>
      <c r="BE365" s="35">
        <f t="shared" si="100"/>
        <v>-5.3</v>
      </c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</row>
    <row r="366" spans="1:71" s="2" customFormat="1" ht="17" customHeight="1">
      <c r="A366" s="14" t="s">
        <v>357</v>
      </c>
      <c r="B366" s="35">
        <v>0</v>
      </c>
      <c r="C366" s="35">
        <v>0</v>
      </c>
      <c r="D366" s="4">
        <f t="shared" si="87"/>
        <v>0</v>
      </c>
      <c r="E366" s="11">
        <v>0</v>
      </c>
      <c r="F366" s="5" t="s">
        <v>362</v>
      </c>
      <c r="G366" s="5" t="s">
        <v>362</v>
      </c>
      <c r="H366" s="5" t="s">
        <v>362</v>
      </c>
      <c r="I366" s="5" t="s">
        <v>362</v>
      </c>
      <c r="J366" s="5" t="s">
        <v>362</v>
      </c>
      <c r="K366" s="5" t="s">
        <v>362</v>
      </c>
      <c r="L366" s="5" t="s">
        <v>362</v>
      </c>
      <c r="M366" s="5" t="s">
        <v>362</v>
      </c>
      <c r="N366" s="35">
        <v>55.4</v>
      </c>
      <c r="O366" s="35">
        <v>113</v>
      </c>
      <c r="P366" s="4">
        <f t="shared" si="88"/>
        <v>1.2839711191335739</v>
      </c>
      <c r="Q366" s="11">
        <v>20</v>
      </c>
      <c r="R366" s="35">
        <v>24</v>
      </c>
      <c r="S366" s="35">
        <v>28.2</v>
      </c>
      <c r="T366" s="4">
        <f t="shared" si="89"/>
        <v>1.175</v>
      </c>
      <c r="U366" s="11">
        <v>20</v>
      </c>
      <c r="V366" s="35">
        <v>0</v>
      </c>
      <c r="W366" s="35">
        <v>0.7</v>
      </c>
      <c r="X366" s="4">
        <f t="shared" si="90"/>
        <v>1</v>
      </c>
      <c r="Y366" s="11">
        <v>30</v>
      </c>
      <c r="Z366" s="35">
        <v>1300</v>
      </c>
      <c r="AA366" s="35">
        <v>1076</v>
      </c>
      <c r="AB366" s="4">
        <f t="shared" si="91"/>
        <v>0.82769230769230773</v>
      </c>
      <c r="AC366" s="11">
        <v>5</v>
      </c>
      <c r="AD366" s="11">
        <v>288</v>
      </c>
      <c r="AE366" s="11">
        <v>291</v>
      </c>
      <c r="AF366" s="4">
        <f t="shared" si="92"/>
        <v>1.0104166666666667</v>
      </c>
      <c r="AG366" s="11">
        <v>20</v>
      </c>
      <c r="AH366" s="5" t="s">
        <v>362</v>
      </c>
      <c r="AI366" s="5" t="s">
        <v>362</v>
      </c>
      <c r="AJ366" s="5" t="s">
        <v>362</v>
      </c>
      <c r="AK366" s="5" t="s">
        <v>362</v>
      </c>
      <c r="AL366" s="5" t="s">
        <v>362</v>
      </c>
      <c r="AM366" s="5" t="s">
        <v>362</v>
      </c>
      <c r="AN366" s="5" t="s">
        <v>362</v>
      </c>
      <c r="AO366" s="5" t="s">
        <v>362</v>
      </c>
      <c r="AP366" s="44">
        <f t="shared" si="101"/>
        <v>1.0897496553101722</v>
      </c>
      <c r="AQ366" s="45">
        <v>1628</v>
      </c>
      <c r="AR366" s="35">
        <f t="shared" si="93"/>
        <v>444</v>
      </c>
      <c r="AS366" s="35">
        <f t="shared" si="94"/>
        <v>483.8</v>
      </c>
      <c r="AT366" s="35">
        <f t="shared" si="95"/>
        <v>39.800000000000011</v>
      </c>
      <c r="AU366" s="35">
        <v>141.19999999999999</v>
      </c>
      <c r="AV366" s="35">
        <v>166.5</v>
      </c>
      <c r="AW366" s="35">
        <f t="shared" si="96"/>
        <v>176.1</v>
      </c>
      <c r="AX366" s="35"/>
      <c r="AY366" s="35">
        <f t="shared" si="97"/>
        <v>176.1</v>
      </c>
      <c r="AZ366" s="35">
        <v>0</v>
      </c>
      <c r="BA366" s="35">
        <f t="shared" si="98"/>
        <v>176.1</v>
      </c>
      <c r="BB366" s="35"/>
      <c r="BC366" s="35">
        <f t="shared" si="99"/>
        <v>176.1</v>
      </c>
      <c r="BD366" s="35">
        <v>182.6</v>
      </c>
      <c r="BE366" s="35">
        <f t="shared" si="100"/>
        <v>-6.5</v>
      </c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</row>
    <row r="367" spans="1:71" s="2" customFormat="1" ht="17" customHeight="1">
      <c r="A367" s="14" t="s">
        <v>358</v>
      </c>
      <c r="B367" s="35">
        <v>5700</v>
      </c>
      <c r="C367" s="35">
        <v>6598</v>
      </c>
      <c r="D367" s="4">
        <f t="shared" ref="D367:D368" si="102">IF(E367=0,0,IF(B367=0,1,IF(C367&lt;0,0,IF(C367/B367&gt;1.2,IF((C367/B367-1.2)*0.1+1.2&gt;1.3,1.3,(C367/B367-1.2)*0.1+1.2),C367/B367))))</f>
        <v>1.1575438596491228</v>
      </c>
      <c r="E367" s="11">
        <v>10</v>
      </c>
      <c r="F367" s="5" t="s">
        <v>362</v>
      </c>
      <c r="G367" s="5" t="s">
        <v>362</v>
      </c>
      <c r="H367" s="5" t="s">
        <v>362</v>
      </c>
      <c r="I367" s="5" t="s">
        <v>362</v>
      </c>
      <c r="J367" s="5" t="s">
        <v>362</v>
      </c>
      <c r="K367" s="5" t="s">
        <v>362</v>
      </c>
      <c r="L367" s="5" t="s">
        <v>362</v>
      </c>
      <c r="M367" s="5" t="s">
        <v>362</v>
      </c>
      <c r="N367" s="35">
        <v>179.5</v>
      </c>
      <c r="O367" s="35">
        <v>220.4</v>
      </c>
      <c r="P367" s="4">
        <f t="shared" ref="P367:P368" si="103">IF(Q367=0,0,IF(N367=0,1,IF(O367&lt;0,0,IF(O367/N367&gt;1.2,IF((O367/N367-1.2)*0.1+1.2&gt;1.3,1.3,(O367/N367-1.2)*0.1+1.2),O367/N367))))</f>
        <v>1.2027855153203342</v>
      </c>
      <c r="Q367" s="11">
        <v>20</v>
      </c>
      <c r="R367" s="35">
        <v>2</v>
      </c>
      <c r="S367" s="35">
        <v>3.7</v>
      </c>
      <c r="T367" s="4">
        <f t="shared" ref="T367:T368" si="104">IF(U367=0,0,IF(R367=0,1,IF(S367&lt;0,0,IF(S367/R367&gt;1.2,IF((S367/R367-1.2)*0.1+1.2&gt;1.3,1.3,(S367/R367-1.2)*0.1+1.2),S367/R367))))</f>
        <v>1.2649999999999999</v>
      </c>
      <c r="U367" s="11">
        <v>20</v>
      </c>
      <c r="V367" s="35">
        <v>0</v>
      </c>
      <c r="W367" s="35">
        <v>0</v>
      </c>
      <c r="X367" s="4">
        <f t="shared" ref="X367:X368" si="105">IF(Y367=0,0,IF(V367=0,1,IF(W367&lt;0,0,IF(W367/V367&gt;1.2,IF((W367/V367-1.2)*0.1+1.2&gt;1.3,1.3,(W367/V367-1.2)*0.1+1.2),W367/V367))))</f>
        <v>1</v>
      </c>
      <c r="Y367" s="11">
        <v>30</v>
      </c>
      <c r="Z367" s="35">
        <v>5900</v>
      </c>
      <c r="AA367" s="35">
        <v>5269</v>
      </c>
      <c r="AB367" s="4">
        <f t="shared" ref="AB367:AB368" si="106">IF(AC367=0,0,IF(Z367=0,1,IF(AA367&lt;0,0,IF(AA367/Z367&gt;1.2,IF((AA367/Z367-1.2)*0.1+1.2&gt;1.3,1.3,(AA367/Z367-1.2)*0.1+1.2),AA367/Z367))))</f>
        <v>0.89305084745762708</v>
      </c>
      <c r="AC367" s="11">
        <v>5</v>
      </c>
      <c r="AD367" s="11">
        <v>70</v>
      </c>
      <c r="AE367" s="11">
        <v>66</v>
      </c>
      <c r="AF367" s="4">
        <f t="shared" ref="AF367:AF368" si="107">IF(AG367=0,0,IF(AD367=0,1,IF(AE367&lt;0,0,IF(AE367/AD367&gt;1.2,IF((AE367/AD367-1.2)*0.1+1.2&gt;1.3,1.3,(AE367/AD367-1.2)*0.1+1.2),AE367/AD367))))</f>
        <v>0.94285714285714284</v>
      </c>
      <c r="AG367" s="11">
        <v>20</v>
      </c>
      <c r="AH367" s="5" t="s">
        <v>362</v>
      </c>
      <c r="AI367" s="5" t="s">
        <v>362</v>
      </c>
      <c r="AJ367" s="5" t="s">
        <v>362</v>
      </c>
      <c r="AK367" s="5" t="s">
        <v>362</v>
      </c>
      <c r="AL367" s="5" t="s">
        <v>362</v>
      </c>
      <c r="AM367" s="5" t="s">
        <v>362</v>
      </c>
      <c r="AN367" s="5" t="s">
        <v>362</v>
      </c>
      <c r="AO367" s="5" t="s">
        <v>362</v>
      </c>
      <c r="AP367" s="44">
        <f t="shared" si="101"/>
        <v>1.0881290094983707</v>
      </c>
      <c r="AQ367" s="45">
        <v>1248</v>
      </c>
      <c r="AR367" s="35">
        <f t="shared" ref="AR367" si="108">AQ367/11*3</f>
        <v>340.36363636363637</v>
      </c>
      <c r="AS367" s="35">
        <f t="shared" ref="AS367:AS368" si="109">ROUND(AP367*AR367,1)</f>
        <v>370.4</v>
      </c>
      <c r="AT367" s="35">
        <f t="shared" ref="AT367:AT368" si="110">AS367-AR367</f>
        <v>30.036363636363603</v>
      </c>
      <c r="AU367" s="35">
        <v>117</v>
      </c>
      <c r="AV367" s="35">
        <v>128.19999999999999</v>
      </c>
      <c r="AW367" s="35">
        <f t="shared" ref="AW367:AW368" si="111">ROUND(AS367-SUM(AU367:AV367),1)</f>
        <v>125.2</v>
      </c>
      <c r="AX367" s="35"/>
      <c r="AY367" s="35">
        <f t="shared" ref="AY367:AY368" si="112">IF(OR(AW367&lt;0,AX367="+"),0,AW367)</f>
        <v>125.2</v>
      </c>
      <c r="AZ367" s="35">
        <v>0</v>
      </c>
      <c r="BA367" s="35">
        <f t="shared" ref="BA367:BA368" si="113">AY367+AZ367</f>
        <v>125.2</v>
      </c>
      <c r="BB367" s="35">
        <f>MIN(BA367,56.7)</f>
        <v>56.7</v>
      </c>
      <c r="BC367" s="35">
        <f t="shared" ref="BC367" si="114">IF((BA367-BB367)&gt;0,ROUND(BA367-BB367,1),0)</f>
        <v>68.5</v>
      </c>
      <c r="BD367" s="35">
        <v>71.8</v>
      </c>
      <c r="BE367" s="35">
        <f t="shared" ref="BE367:BE368" si="115">ROUND(BC367-BD367,1)</f>
        <v>-3.3</v>
      </c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</row>
    <row r="368" spans="1:71" s="2" customFormat="1" ht="17" customHeight="1">
      <c r="A368" s="14" t="s">
        <v>359</v>
      </c>
      <c r="B368" s="35">
        <v>35900</v>
      </c>
      <c r="C368" s="35">
        <v>35669.300000000003</v>
      </c>
      <c r="D368" s="4">
        <f t="shared" si="102"/>
        <v>0.99357381615598894</v>
      </c>
      <c r="E368" s="11">
        <v>10</v>
      </c>
      <c r="F368" s="5" t="s">
        <v>362</v>
      </c>
      <c r="G368" s="5" t="s">
        <v>362</v>
      </c>
      <c r="H368" s="5" t="s">
        <v>362</v>
      </c>
      <c r="I368" s="5" t="s">
        <v>362</v>
      </c>
      <c r="J368" s="5" t="s">
        <v>362</v>
      </c>
      <c r="K368" s="5" t="s">
        <v>362</v>
      </c>
      <c r="L368" s="5" t="s">
        <v>362</v>
      </c>
      <c r="M368" s="5" t="s">
        <v>362</v>
      </c>
      <c r="N368" s="35">
        <v>2302.8000000000002</v>
      </c>
      <c r="O368" s="35">
        <v>1971.6</v>
      </c>
      <c r="P368" s="4">
        <f t="shared" si="103"/>
        <v>0.8561750911933298</v>
      </c>
      <c r="Q368" s="11">
        <v>20</v>
      </c>
      <c r="R368" s="35">
        <v>1</v>
      </c>
      <c r="S368" s="35">
        <v>0</v>
      </c>
      <c r="T368" s="4">
        <f t="shared" si="104"/>
        <v>0</v>
      </c>
      <c r="U368" s="11">
        <v>20</v>
      </c>
      <c r="V368" s="35">
        <v>0</v>
      </c>
      <c r="W368" s="35">
        <v>0.4</v>
      </c>
      <c r="X368" s="4">
        <f t="shared" si="105"/>
        <v>1</v>
      </c>
      <c r="Y368" s="11">
        <v>30</v>
      </c>
      <c r="Z368" s="35">
        <v>135550</v>
      </c>
      <c r="AA368" s="35">
        <v>128472</v>
      </c>
      <c r="AB368" s="4">
        <f t="shared" si="106"/>
        <v>0.94778310586499448</v>
      </c>
      <c r="AC368" s="11">
        <v>5</v>
      </c>
      <c r="AD368" s="11">
        <v>56</v>
      </c>
      <c r="AE368" s="11">
        <v>56</v>
      </c>
      <c r="AF368" s="4">
        <f t="shared" si="107"/>
        <v>1</v>
      </c>
      <c r="AG368" s="11">
        <v>20</v>
      </c>
      <c r="AH368" s="5" t="s">
        <v>362</v>
      </c>
      <c r="AI368" s="5" t="s">
        <v>362</v>
      </c>
      <c r="AJ368" s="5" t="s">
        <v>362</v>
      </c>
      <c r="AK368" s="5" t="s">
        <v>362</v>
      </c>
      <c r="AL368" s="5" t="s">
        <v>362</v>
      </c>
      <c r="AM368" s="5" t="s">
        <v>362</v>
      </c>
      <c r="AN368" s="5" t="s">
        <v>362</v>
      </c>
      <c r="AO368" s="5" t="s">
        <v>362</v>
      </c>
      <c r="AP368" s="44">
        <f>(D368*E368+P368*Q368+T368*U368+X368*Y368+AB368*AC368+AF368*AG368)/(E368+Q368+U368+Y368+AC368+AG368)</f>
        <v>0.77903005252144242</v>
      </c>
      <c r="AQ368" s="45">
        <v>1295</v>
      </c>
      <c r="AR368" s="35">
        <f>AQ368/11*3</f>
        <v>353.18181818181819</v>
      </c>
      <c r="AS368" s="35">
        <f t="shared" si="109"/>
        <v>275.10000000000002</v>
      </c>
      <c r="AT368" s="35">
        <f t="shared" si="110"/>
        <v>-78.081818181818164</v>
      </c>
      <c r="AU368" s="35">
        <v>105.9</v>
      </c>
      <c r="AV368" s="35">
        <v>119.6</v>
      </c>
      <c r="AW368" s="35">
        <f t="shared" si="111"/>
        <v>49.6</v>
      </c>
      <c r="AX368" s="35"/>
      <c r="AY368" s="35">
        <f t="shared" si="112"/>
        <v>49.6</v>
      </c>
      <c r="AZ368" s="35">
        <v>0</v>
      </c>
      <c r="BA368" s="35">
        <f t="shared" si="113"/>
        <v>49.6</v>
      </c>
      <c r="BB368" s="35">
        <f>MIN(BA368,58.9)</f>
        <v>49.6</v>
      </c>
      <c r="BC368" s="35">
        <f>IF((BA368-BB368)&gt;0,ROUND(BA368-BB368,1),0)</f>
        <v>0</v>
      </c>
      <c r="BD368" s="35">
        <v>0</v>
      </c>
      <c r="BE368" s="35">
        <f t="shared" si="115"/>
        <v>0</v>
      </c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</row>
    <row r="369" spans="1:71" s="41" customFormat="1" ht="17" customHeight="1">
      <c r="A369" s="40" t="s">
        <v>369</v>
      </c>
      <c r="B369" s="42">
        <f>B6+B17</f>
        <v>230121434</v>
      </c>
      <c r="C369" s="42">
        <f>C6+C17</f>
        <v>218092570.49999997</v>
      </c>
      <c r="D369" s="43">
        <f>IF(C369/B369&gt;1.2,IF((C369/B369-1.2)*0.1+1.2&gt;1.3,1.3,(C369/B369-1.2)*0.1+1.2),C369/B369)</f>
        <v>0.94772819162946798</v>
      </c>
      <c r="E369" s="40"/>
      <c r="F369" s="40"/>
      <c r="G369" s="40"/>
      <c r="H369" s="40"/>
      <c r="I369" s="40"/>
      <c r="J369" s="42">
        <f>J6+J17</f>
        <v>22915</v>
      </c>
      <c r="K369" s="42">
        <f>K6+K17</f>
        <v>26224</v>
      </c>
      <c r="L369" s="43">
        <f>IF(J369/K369&gt;1.2,IF((J369/K369-1.2)*0.1+1.2&gt;1.3,1.3,(J369/K369-1.2)*0.1+1.2),J369/K369)</f>
        <v>0.87381787675411837</v>
      </c>
      <c r="M369" s="40"/>
      <c r="N369" s="42">
        <f>N6+N17</f>
        <v>6141987.6000000015</v>
      </c>
      <c r="O369" s="42">
        <f>O6+O17</f>
        <v>5956980.1000000006</v>
      </c>
      <c r="P369" s="43">
        <f>IF(O369/N369&gt;1.2,IF((O369/N369-1.2)*0.1+1.2&gt;1.3,1.3,(O369/N369-1.2)*0.1+1.2),O369/N369)</f>
        <v>0.96987823615925228</v>
      </c>
      <c r="Q369" s="40"/>
      <c r="R369" s="42">
        <f>R17</f>
        <v>35712.400000000001</v>
      </c>
      <c r="S369" s="42">
        <f>S17</f>
        <v>38588.400000000001</v>
      </c>
      <c r="T369" s="43">
        <f>IF(S369/R369&gt;1.2,IF((S369/R369-1.2)*0.1+1.2&gt;1.3,1.3,(S369/R369-1.2)*0.1+1.2),S369/R369)</f>
        <v>1.080532252102911</v>
      </c>
      <c r="U369" s="40"/>
      <c r="V369" s="42">
        <f t="shared" ref="V369:W369" si="116">V17</f>
        <v>15720.699999999999</v>
      </c>
      <c r="W369" s="42">
        <f t="shared" si="116"/>
        <v>19938.099999999999</v>
      </c>
      <c r="X369" s="43">
        <f>IF(W369/V369&gt;1.2,IF((W369/V369-1.2)*0.1+1.2&gt;1.3,1.3,(W369/V369-1.2)*0.1+1.2),W369/V369)</f>
        <v>1.2068270496860827</v>
      </c>
      <c r="Y369" s="40"/>
      <c r="Z369" s="42">
        <f>Z6+Z17</f>
        <v>129002779</v>
      </c>
      <c r="AA369" s="42">
        <f>AA6+AA17</f>
        <v>118447142</v>
      </c>
      <c r="AB369" s="43">
        <f>IF(AA369/Z369&gt;1.2,IF((AA369/Z369-1.2)*0.1+1.2&gt;1.3,1.3,(AA369/Z369-1.2)*0.1+1.2),AA369/Z369)</f>
        <v>0.91817511931273976</v>
      </c>
      <c r="AC369" s="40"/>
      <c r="AD369" s="40"/>
      <c r="AE369" s="40"/>
      <c r="AF369" s="40"/>
      <c r="AG369" s="40"/>
      <c r="AH369" s="40"/>
      <c r="AI369" s="40"/>
      <c r="AJ369" s="40"/>
      <c r="AK369" s="40"/>
      <c r="AL369" s="40"/>
      <c r="AM369" s="40"/>
      <c r="AN369" s="40"/>
      <c r="AO369" s="40"/>
      <c r="AP369" s="40"/>
      <c r="AQ369" s="62">
        <f>SUM(AQ7:AQ368)-AQ17-AQ45</f>
        <v>3552990</v>
      </c>
      <c r="AR369" s="42">
        <f>SUM(AR7:AR368)-AR17-AR45</f>
        <v>968997.27272727131</v>
      </c>
      <c r="AS369" s="42">
        <f>SUM(AS7:AS368)-AS17-AS45</f>
        <v>946916.10000000126</v>
      </c>
      <c r="AT369" s="42">
        <f>SUM(AT7:AT368)-AT17-AT45</f>
        <v>-22081.172727272726</v>
      </c>
      <c r="AU369" s="42">
        <f t="shared" ref="AU369:AW369" si="117">SUM(AU7:AU368)-AU17-AU45</f>
        <v>319467.5</v>
      </c>
      <c r="AV369" s="42">
        <f t="shared" si="117"/>
        <v>313621.59999999992</v>
      </c>
      <c r="AW369" s="42">
        <f t="shared" si="117"/>
        <v>313826.99999999936</v>
      </c>
      <c r="AX369" s="67">
        <f>COUNTIF(AX6:AX368,"+")</f>
        <v>0</v>
      </c>
      <c r="AY369" s="42">
        <f>SUM(AY7:AY368)-AY17-AY45</f>
        <v>313826.99999999936</v>
      </c>
      <c r="AZ369" s="42">
        <f>SUM(AZ7:AZ368)-AZ17-AZ45</f>
        <v>2360.5999999999995</v>
      </c>
      <c r="BA369" s="42">
        <f>SUM(BA7:BA368)-BA17-BA45</f>
        <v>316187.59999999939</v>
      </c>
      <c r="BB369" s="42">
        <f>SUM(BB7:BB368)-BB17-BB45</f>
        <v>51406.400000000016</v>
      </c>
      <c r="BC369" s="42">
        <f t="shared" ref="BC369:BE369" si="118">SUM(BC7:BC368)-BC17-BC45</f>
        <v>264781.19999999937</v>
      </c>
      <c r="BD369" s="42">
        <f t="shared" si="118"/>
        <v>266115.5</v>
      </c>
      <c r="BE369" s="42">
        <f t="shared" si="118"/>
        <v>-1334.3000000000034</v>
      </c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</row>
  </sheetData>
  <mergeCells count="27">
    <mergeCell ref="A1:AK1"/>
    <mergeCell ref="A3:A4"/>
    <mergeCell ref="N3:Q3"/>
    <mergeCell ref="R3:U3"/>
    <mergeCell ref="V3:Y3"/>
    <mergeCell ref="AD3:AG3"/>
    <mergeCell ref="AH3:AK3"/>
    <mergeCell ref="F3:I3"/>
    <mergeCell ref="B3:E3"/>
    <mergeCell ref="J3:M3"/>
    <mergeCell ref="Z3:AC3"/>
    <mergeCell ref="AL3:AO3"/>
    <mergeCell ref="AP3:AP4"/>
    <mergeCell ref="AR3:AR4"/>
    <mergeCell ref="BD3:BD4"/>
    <mergeCell ref="BE3:BE4"/>
    <mergeCell ref="BC3:BC4"/>
    <mergeCell ref="AQ3:AQ4"/>
    <mergeCell ref="AT3:AT4"/>
    <mergeCell ref="AS3:AS4"/>
    <mergeCell ref="BA3:BA4"/>
    <mergeCell ref="BB3:BB4"/>
    <mergeCell ref="AU3:AV3"/>
    <mergeCell ref="AW3:AW4"/>
    <mergeCell ref="AX3:AX4"/>
    <mergeCell ref="AZ3:AZ4"/>
    <mergeCell ref="AY3:AY4"/>
  </mergeCells>
  <printOptions horizontalCentered="1"/>
  <pageMargins left="0.15748031496062992" right="0.15748031496062992" top="0.15748031496062992" bottom="0.15748031496062992" header="0.15748031496062992" footer="0.15748031496062992"/>
  <pageSetup paperSize="8" scale="47" fitToHeight="0" pageOrder="overThenDown" orientation="landscape" r:id="rId1"/>
  <headerFooter alignWithMargins="0"/>
  <colBreaks count="1" manualBreakCount="1">
    <brk id="37" max="36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AH369"/>
  <sheetViews>
    <sheetView view="pageBreakPreview" zoomScale="75" zoomScaleNormal="70" zoomScaleSheetLayoutView="75" workbookViewId="0">
      <pane xSplit="1" ySplit="5" topLeftCell="B6" activePane="bottomRight" state="frozen"/>
      <selection pane="topRight" activeCell="B1" sqref="B1"/>
      <selection pane="bottomLeft" activeCell="A6" sqref="A6"/>
      <selection pane="bottomRight" sqref="A1:AG1"/>
    </sheetView>
  </sheetViews>
  <sheetFormatPr defaultColWidth="9.109375" defaultRowHeight="12.7"/>
  <cols>
    <col min="1" max="1" width="39.109375" style="23" customWidth="1"/>
    <col min="2" max="2" width="10.6640625" style="23" customWidth="1"/>
    <col min="3" max="3" width="11.109375" style="23" customWidth="1"/>
    <col min="4" max="4" width="11" style="23" customWidth="1"/>
    <col min="5" max="5" width="12.6640625" style="23" customWidth="1"/>
    <col min="6" max="6" width="11" style="23" customWidth="1"/>
    <col min="7" max="7" width="11.44140625" style="23" customWidth="1"/>
    <col min="8" max="8" width="12.5546875" style="23" customWidth="1"/>
    <col min="9" max="9" width="10.88671875" style="23" customWidth="1"/>
    <col min="10" max="10" width="11.33203125" style="23" customWidth="1"/>
    <col min="11" max="11" width="14.44140625" style="23" customWidth="1"/>
    <col min="12" max="12" width="10.6640625" style="23" customWidth="1"/>
    <col min="13" max="13" width="11.33203125" style="23" customWidth="1"/>
    <col min="14" max="14" width="14.5546875" style="23" customWidth="1"/>
    <col min="15" max="15" width="10.6640625" style="23" customWidth="1"/>
    <col min="16" max="16" width="11.5546875" style="23" customWidth="1"/>
    <col min="17" max="17" width="14.44140625" style="23" customWidth="1"/>
    <col min="18" max="18" width="10.6640625" style="23" customWidth="1"/>
    <col min="19" max="19" width="11.109375" style="23" customWidth="1"/>
    <col min="20" max="20" width="14.44140625" style="23" customWidth="1"/>
    <col min="21" max="21" width="13" style="23" bestFit="1" customWidth="1"/>
    <col min="22" max="22" width="13.5546875" style="23" bestFit="1" customWidth="1"/>
    <col min="23" max="23" width="16.21875" style="23" bestFit="1" customWidth="1"/>
    <col min="24" max="32" width="14.44140625" style="23" customWidth="1"/>
    <col min="33" max="33" width="8.33203125" style="23" customWidth="1"/>
    <col min="34" max="34" width="63.6640625" style="23" customWidth="1"/>
    <col min="35" max="16384" width="9.109375" style="23"/>
  </cols>
  <sheetData>
    <row r="1" spans="1:33" ht="15.55">
      <c r="A1" s="84" t="s">
        <v>427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</row>
    <row r="2" spans="1:33" ht="15.55" customHeight="1">
      <c r="AG2" s="47" t="s">
        <v>383</v>
      </c>
    </row>
    <row r="3" spans="1:33" ht="191.95" customHeight="1">
      <c r="A3" s="85" t="s">
        <v>15</v>
      </c>
      <c r="B3" s="86" t="s">
        <v>363</v>
      </c>
      <c r="C3" s="88" t="s">
        <v>370</v>
      </c>
      <c r="D3" s="88"/>
      <c r="E3" s="88"/>
      <c r="F3" s="88" t="s">
        <v>17</v>
      </c>
      <c r="G3" s="88"/>
      <c r="H3" s="88"/>
      <c r="I3" s="88" t="s">
        <v>385</v>
      </c>
      <c r="J3" s="88"/>
      <c r="K3" s="88"/>
      <c r="L3" s="88" t="s">
        <v>384</v>
      </c>
      <c r="M3" s="88"/>
      <c r="N3" s="88"/>
      <c r="O3" s="88" t="s">
        <v>18</v>
      </c>
      <c r="P3" s="88"/>
      <c r="Q3" s="88"/>
      <c r="R3" s="88" t="s">
        <v>19</v>
      </c>
      <c r="S3" s="88"/>
      <c r="T3" s="88"/>
      <c r="U3" s="89" t="s">
        <v>416</v>
      </c>
      <c r="V3" s="89"/>
      <c r="W3" s="89"/>
      <c r="X3" s="89" t="s">
        <v>394</v>
      </c>
      <c r="Y3" s="89"/>
      <c r="Z3" s="89"/>
      <c r="AA3" s="89" t="s">
        <v>395</v>
      </c>
      <c r="AB3" s="89"/>
      <c r="AC3" s="89"/>
      <c r="AD3" s="89" t="s">
        <v>396</v>
      </c>
      <c r="AE3" s="89"/>
      <c r="AF3" s="89"/>
      <c r="AG3" s="87" t="s">
        <v>366</v>
      </c>
    </row>
    <row r="4" spans="1:33" ht="32" customHeight="1">
      <c r="A4" s="85"/>
      <c r="B4" s="86"/>
      <c r="C4" s="24" t="s">
        <v>364</v>
      </c>
      <c r="D4" s="24" t="s">
        <v>365</v>
      </c>
      <c r="E4" s="68" t="s">
        <v>417</v>
      </c>
      <c r="F4" s="24" t="s">
        <v>364</v>
      </c>
      <c r="G4" s="24" t="s">
        <v>365</v>
      </c>
      <c r="H4" s="68" t="s">
        <v>418</v>
      </c>
      <c r="I4" s="24" t="s">
        <v>364</v>
      </c>
      <c r="J4" s="24" t="s">
        <v>365</v>
      </c>
      <c r="K4" s="68" t="s">
        <v>419</v>
      </c>
      <c r="L4" s="24" t="s">
        <v>364</v>
      </c>
      <c r="M4" s="24" t="s">
        <v>365</v>
      </c>
      <c r="N4" s="68" t="s">
        <v>420</v>
      </c>
      <c r="O4" s="24" t="s">
        <v>364</v>
      </c>
      <c r="P4" s="24" t="s">
        <v>365</v>
      </c>
      <c r="Q4" s="68" t="s">
        <v>421</v>
      </c>
      <c r="R4" s="24" t="s">
        <v>364</v>
      </c>
      <c r="S4" s="24" t="s">
        <v>365</v>
      </c>
      <c r="T4" s="68" t="s">
        <v>422</v>
      </c>
      <c r="U4" s="24" t="s">
        <v>364</v>
      </c>
      <c r="V4" s="24" t="s">
        <v>365</v>
      </c>
      <c r="W4" s="70" t="s">
        <v>423</v>
      </c>
      <c r="X4" s="24" t="s">
        <v>364</v>
      </c>
      <c r="Y4" s="24" t="s">
        <v>365</v>
      </c>
      <c r="Z4" s="70" t="s">
        <v>424</v>
      </c>
      <c r="AA4" s="24" t="s">
        <v>364</v>
      </c>
      <c r="AB4" s="24" t="s">
        <v>365</v>
      </c>
      <c r="AC4" s="70" t="s">
        <v>425</v>
      </c>
      <c r="AD4" s="24" t="s">
        <v>364</v>
      </c>
      <c r="AE4" s="24" t="s">
        <v>365</v>
      </c>
      <c r="AF4" s="70" t="s">
        <v>426</v>
      </c>
      <c r="AG4" s="87"/>
    </row>
    <row r="5" spans="1:33">
      <c r="A5" s="25">
        <v>1</v>
      </c>
      <c r="B5" s="48">
        <v>2</v>
      </c>
      <c r="C5" s="25">
        <v>3</v>
      </c>
      <c r="D5" s="48">
        <v>4</v>
      </c>
      <c r="E5" s="25">
        <v>5</v>
      </c>
      <c r="F5" s="48">
        <v>6</v>
      </c>
      <c r="G5" s="25">
        <v>7</v>
      </c>
      <c r="H5" s="48">
        <v>8</v>
      </c>
      <c r="I5" s="25">
        <v>9</v>
      </c>
      <c r="J5" s="48">
        <v>10</v>
      </c>
      <c r="K5" s="25">
        <v>11</v>
      </c>
      <c r="L5" s="48">
        <v>12</v>
      </c>
      <c r="M5" s="25">
        <v>13</v>
      </c>
      <c r="N5" s="48">
        <v>14</v>
      </c>
      <c r="O5" s="25">
        <v>15</v>
      </c>
      <c r="P5" s="48">
        <v>16</v>
      </c>
      <c r="Q5" s="25">
        <v>17</v>
      </c>
      <c r="R5" s="48">
        <v>18</v>
      </c>
      <c r="S5" s="25">
        <v>19</v>
      </c>
      <c r="T5" s="48">
        <v>20</v>
      </c>
      <c r="U5" s="48">
        <v>21</v>
      </c>
      <c r="V5" s="48">
        <v>22</v>
      </c>
      <c r="W5" s="48">
        <v>23</v>
      </c>
      <c r="X5" s="48">
        <v>24</v>
      </c>
      <c r="Y5" s="48">
        <v>25</v>
      </c>
      <c r="Z5" s="48">
        <v>26</v>
      </c>
      <c r="AA5" s="48">
        <v>27</v>
      </c>
      <c r="AB5" s="48">
        <v>28</v>
      </c>
      <c r="AC5" s="48">
        <v>29</v>
      </c>
      <c r="AD5" s="48">
        <v>30</v>
      </c>
      <c r="AE5" s="48">
        <v>31</v>
      </c>
      <c r="AF5" s="48">
        <v>32</v>
      </c>
      <c r="AG5" s="25">
        <v>33</v>
      </c>
    </row>
    <row r="6" spans="1:33" ht="15" customHeight="1">
      <c r="A6" s="26" t="s">
        <v>4</v>
      </c>
      <c r="B6" s="51">
        <f>'Расчет субсидий'!AT6</f>
        <v>-29087.59090909089</v>
      </c>
      <c r="C6" s="51"/>
      <c r="D6" s="51"/>
      <c r="E6" s="51">
        <f>SUM(E7:E16)</f>
        <v>-8590.8265776120606</v>
      </c>
      <c r="F6" s="51"/>
      <c r="G6" s="51"/>
      <c r="H6" s="51">
        <f>SUM(H7:H16)</f>
        <v>408.20085410437406</v>
      </c>
      <c r="I6" s="51"/>
      <c r="J6" s="51"/>
      <c r="K6" s="51">
        <f>SUM(K7:K16)</f>
        <v>-10769.871502128897</v>
      </c>
      <c r="L6" s="51"/>
      <c r="M6" s="51"/>
      <c r="N6" s="51">
        <f>SUM(N7:N16)</f>
        <v>-410.33250123834227</v>
      </c>
      <c r="O6" s="51"/>
      <c r="P6" s="51"/>
      <c r="Q6" s="51"/>
      <c r="R6" s="51"/>
      <c r="S6" s="51"/>
      <c r="T6" s="51"/>
      <c r="U6" s="51"/>
      <c r="V6" s="51"/>
      <c r="W6" s="51">
        <f>SUM(W7:W16)</f>
        <v>-9724.7611822159688</v>
      </c>
      <c r="X6" s="51"/>
      <c r="Y6" s="51"/>
      <c r="Z6" s="51"/>
      <c r="AA6" s="51"/>
      <c r="AB6" s="51"/>
      <c r="AC6" s="51"/>
      <c r="AD6" s="51"/>
      <c r="AE6" s="51"/>
      <c r="AF6" s="51"/>
      <c r="AG6" s="51"/>
    </row>
    <row r="7" spans="1:33" ht="15" customHeight="1">
      <c r="A7" s="28" t="s">
        <v>5</v>
      </c>
      <c r="B7" s="52">
        <f>'Расчет субсидий'!AT7</f>
        <v>-6973.9454545454355</v>
      </c>
      <c r="C7" s="54">
        <f>'Расчет субсидий'!D7-1</f>
        <v>-4.9751381653171056E-2</v>
      </c>
      <c r="D7" s="54">
        <f>C7*'Расчет субсидий'!E7</f>
        <v>-0.74627072479756584</v>
      </c>
      <c r="E7" s="55">
        <f>$B7*D7/$AG7</f>
        <v>-1570.8567270184849</v>
      </c>
      <c r="F7" s="60">
        <f>'Расчет субсидий'!H7-1</f>
        <v>1.1204481792717047E-2</v>
      </c>
      <c r="G7" s="60">
        <f>F7*'Расчет субсидий'!I7</f>
        <v>0.11204481792717047</v>
      </c>
      <c r="H7" s="55">
        <f>$B7*G7/$AG7</f>
        <v>235.84786340935554</v>
      </c>
      <c r="I7" s="54">
        <f>'Расчет субсидий'!L7-1</f>
        <v>-0.12610411576771285</v>
      </c>
      <c r="J7" s="54">
        <f>I7*'Расчет субсидий'!M7</f>
        <v>-0.63052057883856427</v>
      </c>
      <c r="K7" s="55">
        <f t="shared" ref="K7:K16" si="0">$B7*J7/$AG7</f>
        <v>-1327.2093623407513</v>
      </c>
      <c r="L7" s="54">
        <f>'Расчет субсидий'!P7-1</f>
        <v>-6.5919871673549402E-2</v>
      </c>
      <c r="M7" s="54">
        <f>L7*'Расчет субсидий'!Q7</f>
        <v>-1.318397433470988</v>
      </c>
      <c r="N7" s="55">
        <f t="shared" ref="N7:N16" si="1">$B7*M7/$AG7</f>
        <v>-2775.150368940966</v>
      </c>
      <c r="O7" s="27" t="s">
        <v>367</v>
      </c>
      <c r="P7" s="27" t="s">
        <v>367</v>
      </c>
      <c r="Q7" s="27" t="s">
        <v>367</v>
      </c>
      <c r="R7" s="27" t="s">
        <v>367</v>
      </c>
      <c r="S7" s="27" t="s">
        <v>367</v>
      </c>
      <c r="T7" s="27" t="s">
        <v>367</v>
      </c>
      <c r="U7" s="60">
        <f>'Расчет субсидий'!AB7-1</f>
        <v>-4.8665686990565948E-2</v>
      </c>
      <c r="V7" s="60">
        <f>U7*'Расчет субсидий'!AC7</f>
        <v>-0.72998530485848923</v>
      </c>
      <c r="W7" s="55">
        <f>$B7*V7/$AG7</f>
        <v>-1536.5768596545884</v>
      </c>
      <c r="X7" s="27" t="s">
        <v>367</v>
      </c>
      <c r="Y7" s="27" t="s">
        <v>367</v>
      </c>
      <c r="Z7" s="27" t="s">
        <v>367</v>
      </c>
      <c r="AA7" s="27" t="s">
        <v>367</v>
      </c>
      <c r="AB7" s="27" t="s">
        <v>367</v>
      </c>
      <c r="AC7" s="27" t="s">
        <v>367</v>
      </c>
      <c r="AD7" s="27" t="s">
        <v>367</v>
      </c>
      <c r="AE7" s="27" t="s">
        <v>367</v>
      </c>
      <c r="AF7" s="27" t="s">
        <v>367</v>
      </c>
      <c r="AG7" s="54">
        <f>D7+G7+J7+M7+V7</f>
        <v>-3.3131292240384371</v>
      </c>
    </row>
    <row r="8" spans="1:33" ht="15" customHeight="1">
      <c r="A8" s="28" t="s">
        <v>6</v>
      </c>
      <c r="B8" s="52">
        <f>'Расчет субсидий'!AT8</f>
        <v>-9193.1090909090854</v>
      </c>
      <c r="C8" s="54">
        <f>'Расчет субсидий'!D8-1</f>
        <v>-6.559997124432182E-2</v>
      </c>
      <c r="D8" s="54">
        <f>C8*'Расчет субсидий'!E8</f>
        <v>-0.9839995686648273</v>
      </c>
      <c r="E8" s="55">
        <f t="shared" ref="E8:E16" si="2">$B8*D8/$AG8</f>
        <v>-1486.6595315404732</v>
      </c>
      <c r="F8" s="60">
        <f>'Расчет субсидий'!H8-1</f>
        <v>2.5540275049116046E-2</v>
      </c>
      <c r="G8" s="60">
        <f>F8*'Расчет субсидий'!I8</f>
        <v>0.25540275049116046</v>
      </c>
      <c r="H8" s="55">
        <f t="shared" ref="H8:H43" si="3">$B8*G8/$AG8</f>
        <v>385.87103642183644</v>
      </c>
      <c r="I8" s="54">
        <f>'Расчет субсидий'!L8-1</f>
        <v>-0.20579767695820506</v>
      </c>
      <c r="J8" s="54">
        <f>I8*'Расчет субсидий'!M8</f>
        <v>-3.0869651543730758</v>
      </c>
      <c r="K8" s="55">
        <f t="shared" si="0"/>
        <v>-4663.8904288435215</v>
      </c>
      <c r="L8" s="54">
        <f>'Расчет субсидий'!P8-1</f>
        <v>-1.9811299193832399E-2</v>
      </c>
      <c r="M8" s="54">
        <f>L8*'Расчет субсидий'!Q8</f>
        <v>-0.39622598387664798</v>
      </c>
      <c r="N8" s="55">
        <f t="shared" si="1"/>
        <v>-598.63149774902536</v>
      </c>
      <c r="O8" s="27" t="s">
        <v>367</v>
      </c>
      <c r="P8" s="27" t="s">
        <v>367</v>
      </c>
      <c r="Q8" s="27" t="s">
        <v>367</v>
      </c>
      <c r="R8" s="27" t="s">
        <v>367</v>
      </c>
      <c r="S8" s="27" t="s">
        <v>367</v>
      </c>
      <c r="T8" s="27" t="s">
        <v>367</v>
      </c>
      <c r="U8" s="60">
        <f>'Расчет субсидий'!AB8-1</f>
        <v>-0.12486699704151383</v>
      </c>
      <c r="V8" s="60">
        <f>U8*'Расчет субсидий'!AC8</f>
        <v>-1.8730049556227075</v>
      </c>
      <c r="W8" s="55">
        <f t="shared" ref="W8:W44" si="4">$B8*V8/$AG8</f>
        <v>-2829.7986691979031</v>
      </c>
      <c r="X8" s="27" t="s">
        <v>367</v>
      </c>
      <c r="Y8" s="27" t="s">
        <v>367</v>
      </c>
      <c r="Z8" s="27" t="s">
        <v>367</v>
      </c>
      <c r="AA8" s="27" t="s">
        <v>367</v>
      </c>
      <c r="AB8" s="27" t="s">
        <v>367</v>
      </c>
      <c r="AC8" s="27" t="s">
        <v>367</v>
      </c>
      <c r="AD8" s="27" t="s">
        <v>367</v>
      </c>
      <c r="AE8" s="27" t="s">
        <v>367</v>
      </c>
      <c r="AF8" s="27" t="s">
        <v>367</v>
      </c>
      <c r="AG8" s="54">
        <f t="shared" ref="AG8:AG16" si="5">D8+G8+J8+M8+V8</f>
        <v>-6.0847929120460975</v>
      </c>
    </row>
    <row r="9" spans="1:33" ht="15" customHeight="1">
      <c r="A9" s="28" t="s">
        <v>7</v>
      </c>
      <c r="B9" s="52">
        <f>'Расчет субсидий'!AT9</f>
        <v>-5997.05454545455</v>
      </c>
      <c r="C9" s="54">
        <f>'Расчет субсидий'!D9-1</f>
        <v>-0.2066682768001239</v>
      </c>
      <c r="D9" s="54">
        <f>C9*'Расчет субсидий'!E9</f>
        <v>-3.1000241520018585</v>
      </c>
      <c r="E9" s="55">
        <f t="shared" si="2"/>
        <v>-3949.2000498274306</v>
      </c>
      <c r="F9" s="60">
        <f>'Расчет субсидий'!H9-1</f>
        <v>1.5267175572519109E-2</v>
      </c>
      <c r="G9" s="60">
        <f>F9*'Расчет субсидий'!I9</f>
        <v>0.15267175572519109</v>
      </c>
      <c r="H9" s="55">
        <f t="shared" si="3"/>
        <v>194.49245417259721</v>
      </c>
      <c r="I9" s="54">
        <f>'Расчет субсидий'!L9-1</f>
        <v>-4.3715846994535568E-2</v>
      </c>
      <c r="J9" s="54">
        <f>I9*'Расчет субсидий'!M9</f>
        <v>-0.21857923497267784</v>
      </c>
      <c r="K9" s="55">
        <f t="shared" si="0"/>
        <v>-278.4536775585816</v>
      </c>
      <c r="L9" s="54">
        <f>'Расчет субсидий'!P9-1</f>
        <v>1.9163008465600706E-2</v>
      </c>
      <c r="M9" s="54">
        <f>L9*'Расчет субсидий'!Q9</f>
        <v>0.38326016931201412</v>
      </c>
      <c r="N9" s="55">
        <f t="shared" si="1"/>
        <v>488.244931500446</v>
      </c>
      <c r="O9" s="27" t="s">
        <v>367</v>
      </c>
      <c r="P9" s="27" t="s">
        <v>367</v>
      </c>
      <c r="Q9" s="27" t="s">
        <v>367</v>
      </c>
      <c r="R9" s="27" t="s">
        <v>367</v>
      </c>
      <c r="S9" s="27" t="s">
        <v>367</v>
      </c>
      <c r="T9" s="27" t="s">
        <v>367</v>
      </c>
      <c r="U9" s="60">
        <f>'Расчет субсидий'!AB9-1</f>
        <v>-0.12832451398990752</v>
      </c>
      <c r="V9" s="60">
        <f>U9*'Расчет субсидий'!AC9</f>
        <v>-1.9248677098486127</v>
      </c>
      <c r="W9" s="55">
        <f t="shared" si="4"/>
        <v>-2452.1382037415806</v>
      </c>
      <c r="X9" s="27" t="s">
        <v>367</v>
      </c>
      <c r="Y9" s="27" t="s">
        <v>367</v>
      </c>
      <c r="Z9" s="27" t="s">
        <v>367</v>
      </c>
      <c r="AA9" s="27" t="s">
        <v>367</v>
      </c>
      <c r="AB9" s="27" t="s">
        <v>367</v>
      </c>
      <c r="AC9" s="27" t="s">
        <v>367</v>
      </c>
      <c r="AD9" s="27" t="s">
        <v>367</v>
      </c>
      <c r="AE9" s="27" t="s">
        <v>367</v>
      </c>
      <c r="AF9" s="27" t="s">
        <v>367</v>
      </c>
      <c r="AG9" s="54">
        <f t="shared" si="5"/>
        <v>-4.7075391717859443</v>
      </c>
    </row>
    <row r="10" spans="1:33" ht="15" customHeight="1">
      <c r="A10" s="28" t="s">
        <v>8</v>
      </c>
      <c r="B10" s="52">
        <f>'Расчет субсидий'!AT10</f>
        <v>-632</v>
      </c>
      <c r="C10" s="54">
        <f>'Расчет субсидий'!D10-1</f>
        <v>-7.1753637500773459E-2</v>
      </c>
      <c r="D10" s="54">
        <f>C10*'Расчет субсидий'!E10</f>
        <v>-1.0763045625116019</v>
      </c>
      <c r="E10" s="55">
        <f t="shared" si="2"/>
        <v>-666.55855713992003</v>
      </c>
      <c r="F10" s="60">
        <f>'Расчет субсидий'!H10-1</f>
        <v>-2.9126213592233219E-3</v>
      </c>
      <c r="G10" s="60">
        <f>F10*'Расчет субсидий'!I10</f>
        <v>-2.9126213592233219E-2</v>
      </c>
      <c r="H10" s="55">
        <f t="shared" si="3"/>
        <v>-18.03794909285152</v>
      </c>
      <c r="I10" s="54">
        <f>'Расчет субсидий'!L10-1</f>
        <v>-0.13284132841328411</v>
      </c>
      <c r="J10" s="54">
        <f>I10*'Расчет субсидий'!M10</f>
        <v>-1.3284132841328411</v>
      </c>
      <c r="K10" s="55">
        <f t="shared" si="0"/>
        <v>-822.69022430864641</v>
      </c>
      <c r="L10" s="54">
        <f>'Расчет субсидий'!P10-1</f>
        <v>7.04852930696791E-2</v>
      </c>
      <c r="M10" s="54">
        <f>L10*'Расчет субсидий'!Q10</f>
        <v>1.409705861393582</v>
      </c>
      <c r="N10" s="55">
        <f t="shared" si="1"/>
        <v>873.03495468743347</v>
      </c>
      <c r="O10" s="27" t="s">
        <v>367</v>
      </c>
      <c r="P10" s="27" t="s">
        <v>367</v>
      </c>
      <c r="Q10" s="27" t="s">
        <v>367</v>
      </c>
      <c r="R10" s="27" t="s">
        <v>367</v>
      </c>
      <c r="S10" s="27" t="s">
        <v>367</v>
      </c>
      <c r="T10" s="27" t="s">
        <v>367</v>
      </c>
      <c r="U10" s="60">
        <f>'Расчет субсидий'!AB10-1</f>
        <v>2.4239897099676E-4</v>
      </c>
      <c r="V10" s="60">
        <f>U10*'Расчет субсидий'!AC10</f>
        <v>3.6359845649514E-3</v>
      </c>
      <c r="W10" s="55">
        <f t="shared" si="4"/>
        <v>2.2517758539845456</v>
      </c>
      <c r="X10" s="27" t="s">
        <v>367</v>
      </c>
      <c r="Y10" s="27" t="s">
        <v>367</v>
      </c>
      <c r="Z10" s="27" t="s">
        <v>367</v>
      </c>
      <c r="AA10" s="27" t="s">
        <v>367</v>
      </c>
      <c r="AB10" s="27" t="s">
        <v>367</v>
      </c>
      <c r="AC10" s="27" t="s">
        <v>367</v>
      </c>
      <c r="AD10" s="27" t="s">
        <v>367</v>
      </c>
      <c r="AE10" s="27" t="s">
        <v>367</v>
      </c>
      <c r="AF10" s="27" t="s">
        <v>367</v>
      </c>
      <c r="AG10" s="54">
        <f t="shared" si="5"/>
        <v>-1.0205022142781428</v>
      </c>
    </row>
    <row r="11" spans="1:33" ht="15" customHeight="1">
      <c r="A11" s="28" t="s">
        <v>9</v>
      </c>
      <c r="B11" s="52">
        <f>'Расчет субсидий'!AT11</f>
        <v>-358.13636363636033</v>
      </c>
      <c r="C11" s="54">
        <f>'Расчет субсидий'!D11-1</f>
        <v>-5.9755266876633573E-2</v>
      </c>
      <c r="D11" s="54">
        <f>C11*'Расчет субсидий'!E11</f>
        <v>-0.89632900314950359</v>
      </c>
      <c r="E11" s="55">
        <f t="shared" si="2"/>
        <v>-516.75446206651839</v>
      </c>
      <c r="F11" s="60">
        <f>'Расчет субсидий'!H11-1</f>
        <v>-5.8407079646017657E-2</v>
      </c>
      <c r="G11" s="60">
        <f>F11*'Расчет субсидий'!I11</f>
        <v>-0.58407079646017657</v>
      </c>
      <c r="H11" s="55">
        <f t="shared" si="3"/>
        <v>-336.73036259343166</v>
      </c>
      <c r="I11" s="54">
        <f>'Расчет субсидий'!L11-1</f>
        <v>5.0000000000000044E-2</v>
      </c>
      <c r="J11" s="54">
        <f>I11*'Расчет субсидий'!M11</f>
        <v>0.50000000000000044</v>
      </c>
      <c r="K11" s="55">
        <f t="shared" si="0"/>
        <v>288.26159828074123</v>
      </c>
      <c r="L11" s="54">
        <f>'Расчет субсидий'!P11-1</f>
        <v>0.11264812276063507</v>
      </c>
      <c r="M11" s="54">
        <f>L11*'Расчет субсидий'!Q11</f>
        <v>2.2529624552127014</v>
      </c>
      <c r="N11" s="55">
        <f t="shared" si="1"/>
        <v>1298.8851164122311</v>
      </c>
      <c r="O11" s="27" t="s">
        <v>367</v>
      </c>
      <c r="P11" s="27" t="s">
        <v>367</v>
      </c>
      <c r="Q11" s="27" t="s">
        <v>367</v>
      </c>
      <c r="R11" s="27" t="s">
        <v>367</v>
      </c>
      <c r="S11" s="27" t="s">
        <v>367</v>
      </c>
      <c r="T11" s="27" t="s">
        <v>367</v>
      </c>
      <c r="U11" s="60">
        <f>'Расчет субсидий'!AB11-1</f>
        <v>-0.12625086150694609</v>
      </c>
      <c r="V11" s="60">
        <f>U11*'Расчет субсидий'!AC11</f>
        <v>-1.8937629226041914</v>
      </c>
      <c r="W11" s="55">
        <f t="shared" si="4"/>
        <v>-1091.7982536693826</v>
      </c>
      <c r="X11" s="27" t="s">
        <v>367</v>
      </c>
      <c r="Y11" s="27" t="s">
        <v>367</v>
      </c>
      <c r="Z11" s="27" t="s">
        <v>367</v>
      </c>
      <c r="AA11" s="27" t="s">
        <v>367</v>
      </c>
      <c r="AB11" s="27" t="s">
        <v>367</v>
      </c>
      <c r="AC11" s="27" t="s">
        <v>367</v>
      </c>
      <c r="AD11" s="27" t="s">
        <v>367</v>
      </c>
      <c r="AE11" s="27" t="s">
        <v>367</v>
      </c>
      <c r="AF11" s="27" t="s">
        <v>367</v>
      </c>
      <c r="AG11" s="54">
        <f t="shared" si="5"/>
        <v>-0.62120026700116959</v>
      </c>
    </row>
    <row r="12" spans="1:33" ht="15" customHeight="1">
      <c r="A12" s="28" t="s">
        <v>10</v>
      </c>
      <c r="B12" s="52">
        <f>'Расчет субсидий'!AT12</f>
        <v>34.045454545455868</v>
      </c>
      <c r="C12" s="54">
        <f>'Расчет субсидий'!D12-1</f>
        <v>-0.11155749637180634</v>
      </c>
      <c r="D12" s="54">
        <f>C12*'Расчет субсидий'!E12</f>
        <v>-1.6733624455770952</v>
      </c>
      <c r="E12" s="55">
        <f t="shared" si="2"/>
        <v>-568.82655918325429</v>
      </c>
      <c r="F12" s="60">
        <f>'Расчет субсидий'!H12-1</f>
        <v>2.2115384615384537E-2</v>
      </c>
      <c r="G12" s="60">
        <f>F12*'Расчет субсидий'!I12</f>
        <v>0.22115384615384537</v>
      </c>
      <c r="H12" s="55">
        <f t="shared" si="3"/>
        <v>75.176888121479507</v>
      </c>
      <c r="I12" s="54">
        <f>'Расчет субсидий'!L12-1</f>
        <v>-1.9607843137254943E-2</v>
      </c>
      <c r="J12" s="54">
        <f>I12*'Расчет субсидий'!M12</f>
        <v>-0.29411764705882415</v>
      </c>
      <c r="K12" s="55">
        <f t="shared" si="0"/>
        <v>-99.979493153886352</v>
      </c>
      <c r="L12" s="54">
        <f>'Расчет субсидий'!P12-1</f>
        <v>9.1059716679423586E-2</v>
      </c>
      <c r="M12" s="54">
        <f>L12*'Расчет субсидий'!Q12</f>
        <v>1.8211943335884717</v>
      </c>
      <c r="N12" s="55">
        <f t="shared" si="1"/>
        <v>619.07909378347642</v>
      </c>
      <c r="O12" s="27" t="s">
        <v>367</v>
      </c>
      <c r="P12" s="27" t="s">
        <v>367</v>
      </c>
      <c r="Q12" s="27" t="s">
        <v>367</v>
      </c>
      <c r="R12" s="27" t="s">
        <v>367</v>
      </c>
      <c r="S12" s="27" t="s">
        <v>367</v>
      </c>
      <c r="T12" s="27" t="s">
        <v>367</v>
      </c>
      <c r="U12" s="60">
        <f>'Расчет субсидий'!AB12-1</f>
        <v>2.5286141206655177E-3</v>
      </c>
      <c r="V12" s="60">
        <f>U12*'Расчет субсидий'!AC12</f>
        <v>2.5286141206655177E-2</v>
      </c>
      <c r="W12" s="55">
        <f t="shared" si="4"/>
        <v>8.5955249776405296</v>
      </c>
      <c r="X12" s="27" t="s">
        <v>367</v>
      </c>
      <c r="Y12" s="27" t="s">
        <v>367</v>
      </c>
      <c r="Z12" s="27" t="s">
        <v>367</v>
      </c>
      <c r="AA12" s="27" t="s">
        <v>367</v>
      </c>
      <c r="AB12" s="27" t="s">
        <v>367</v>
      </c>
      <c r="AC12" s="27" t="s">
        <v>367</v>
      </c>
      <c r="AD12" s="27" t="s">
        <v>367</v>
      </c>
      <c r="AE12" s="27" t="s">
        <v>367</v>
      </c>
      <c r="AF12" s="27" t="s">
        <v>367</v>
      </c>
      <c r="AG12" s="54">
        <f t="shared" si="5"/>
        <v>0.10015422831305276</v>
      </c>
    </row>
    <row r="13" spans="1:33" ht="15" customHeight="1">
      <c r="A13" s="28" t="s">
        <v>11</v>
      </c>
      <c r="B13" s="52">
        <f>'Расчет субсидий'!AT13</f>
        <v>-114.39090909091465</v>
      </c>
      <c r="C13" s="54">
        <f>'Расчет субсидий'!D13-1</f>
        <v>0.2125404541519611</v>
      </c>
      <c r="D13" s="54">
        <f>C13*'Расчет субсидий'!E13</f>
        <v>3.1881068122794165</v>
      </c>
      <c r="E13" s="55">
        <f t="shared" si="2"/>
        <v>1663.2599358876535</v>
      </c>
      <c r="F13" s="60">
        <f>'Расчет субсидий'!H13-1</f>
        <v>-1.877934272300541E-3</v>
      </c>
      <c r="G13" s="60">
        <f>F13*'Расчет субсидий'!I13</f>
        <v>-1.877934272300541E-2</v>
      </c>
      <c r="H13" s="55">
        <f t="shared" si="3"/>
        <v>-9.7973280735679165</v>
      </c>
      <c r="I13" s="54">
        <f>'Расчет субсидий'!L13-1</f>
        <v>-0.32008368200836823</v>
      </c>
      <c r="J13" s="54">
        <f>I13*'Расчет субсидий'!M13</f>
        <v>-3.2008368200836825</v>
      </c>
      <c r="K13" s="55">
        <f t="shared" si="0"/>
        <v>-1669.9012792337487</v>
      </c>
      <c r="L13" s="54">
        <f>'Расчет субсидий'!P13-1</f>
        <v>0.10242991175363492</v>
      </c>
      <c r="M13" s="54">
        <f>L13*'Расчет субсидий'!Q13</f>
        <v>2.0485982350726983</v>
      </c>
      <c r="N13" s="55">
        <f t="shared" si="1"/>
        <v>1068.7695142467342</v>
      </c>
      <c r="O13" s="27" t="s">
        <v>367</v>
      </c>
      <c r="P13" s="27" t="s">
        <v>367</v>
      </c>
      <c r="Q13" s="27" t="s">
        <v>367</v>
      </c>
      <c r="R13" s="27" t="s">
        <v>367</v>
      </c>
      <c r="S13" s="27" t="s">
        <v>367</v>
      </c>
      <c r="T13" s="27" t="s">
        <v>367</v>
      </c>
      <c r="U13" s="60">
        <f>'Расчет субсидий'!AB13-1</f>
        <v>-0.14909008848895289</v>
      </c>
      <c r="V13" s="60">
        <f>U13*'Расчет субсидий'!AC13</f>
        <v>-2.2363513273342934</v>
      </c>
      <c r="W13" s="55">
        <f t="shared" si="4"/>
        <v>-1166.7217519179856</v>
      </c>
      <c r="X13" s="27" t="s">
        <v>367</v>
      </c>
      <c r="Y13" s="27" t="s">
        <v>367</v>
      </c>
      <c r="Z13" s="27" t="s">
        <v>367</v>
      </c>
      <c r="AA13" s="27" t="s">
        <v>367</v>
      </c>
      <c r="AB13" s="27" t="s">
        <v>367</v>
      </c>
      <c r="AC13" s="27" t="s">
        <v>367</v>
      </c>
      <c r="AD13" s="27" t="s">
        <v>367</v>
      </c>
      <c r="AE13" s="27" t="s">
        <v>367</v>
      </c>
      <c r="AF13" s="27" t="s">
        <v>367</v>
      </c>
      <c r="AG13" s="54">
        <f t="shared" si="5"/>
        <v>-0.21926244278886653</v>
      </c>
    </row>
    <row r="14" spans="1:33" ht="15" customHeight="1">
      <c r="A14" s="28" t="s">
        <v>12</v>
      </c>
      <c r="B14" s="52">
        <f>'Расчет субсидий'!AT14</f>
        <v>-4069.4090909090919</v>
      </c>
      <c r="C14" s="54">
        <f>'Расчет субсидий'!D14-1</f>
        <v>-0.25589825072020433</v>
      </c>
      <c r="D14" s="54">
        <f>C14*'Расчет субсидий'!E14</f>
        <v>-3.838473760803065</v>
      </c>
      <c r="E14" s="55">
        <f t="shared" si="2"/>
        <v>-1295.5756582672434</v>
      </c>
      <c r="F14" s="60">
        <f>'Расчет субсидий'!H14-1</f>
        <v>-2.5812619502867951E-2</v>
      </c>
      <c r="G14" s="60">
        <f>F14*'Расчет субсидий'!I14</f>
        <v>-0.25812619502867951</v>
      </c>
      <c r="H14" s="55">
        <f t="shared" si="3"/>
        <v>-87.12369443690929</v>
      </c>
      <c r="I14" s="54">
        <f>'Расчет субсидий'!L14-1</f>
        <v>-0.3211488250652742</v>
      </c>
      <c r="J14" s="54">
        <f>I14*'Расчет субсидий'!M14</f>
        <v>-4.8172323759791134</v>
      </c>
      <c r="K14" s="55">
        <f t="shared" si="0"/>
        <v>-1625.929834474025</v>
      </c>
      <c r="L14" s="54">
        <f>'Расчет субсидий'!P14-1</f>
        <v>-0.12378910415926048</v>
      </c>
      <c r="M14" s="54">
        <f>L14*'Расчет субсидий'!Q14</f>
        <v>-2.4757820831852095</v>
      </c>
      <c r="N14" s="55">
        <f t="shared" si="1"/>
        <v>-835.63499506060327</v>
      </c>
      <c r="O14" s="27" t="s">
        <v>367</v>
      </c>
      <c r="P14" s="27" t="s">
        <v>367</v>
      </c>
      <c r="Q14" s="27" t="s">
        <v>367</v>
      </c>
      <c r="R14" s="27" t="s">
        <v>367</v>
      </c>
      <c r="S14" s="27" t="s">
        <v>367</v>
      </c>
      <c r="T14" s="27" t="s">
        <v>367</v>
      </c>
      <c r="U14" s="60">
        <f>'Расчет субсидий'!AB14-1</f>
        <v>-6.6704929101958133E-2</v>
      </c>
      <c r="V14" s="60">
        <f>U14*'Расчет субсидий'!AC14</f>
        <v>-0.66704929101958133</v>
      </c>
      <c r="W14" s="55">
        <f t="shared" si="4"/>
        <v>-225.14490867031117</v>
      </c>
      <c r="X14" s="27" t="s">
        <v>367</v>
      </c>
      <c r="Y14" s="27" t="s">
        <v>367</v>
      </c>
      <c r="Z14" s="27" t="s">
        <v>367</v>
      </c>
      <c r="AA14" s="27" t="s">
        <v>367</v>
      </c>
      <c r="AB14" s="27" t="s">
        <v>367</v>
      </c>
      <c r="AC14" s="27" t="s">
        <v>367</v>
      </c>
      <c r="AD14" s="27" t="s">
        <v>367</v>
      </c>
      <c r="AE14" s="27" t="s">
        <v>367</v>
      </c>
      <c r="AF14" s="27" t="s">
        <v>367</v>
      </c>
      <c r="AG14" s="54">
        <f t="shared" si="5"/>
        <v>-12.056663706015648</v>
      </c>
    </row>
    <row r="15" spans="1:33" ht="15" customHeight="1">
      <c r="A15" s="28" t="s">
        <v>13</v>
      </c>
      <c r="B15" s="52">
        <f>'Расчет субсидий'!AT15</f>
        <v>-1492.9545454545441</v>
      </c>
      <c r="C15" s="54">
        <f>'Расчет субсидий'!D15-1</f>
        <v>-6.4677367977585831E-2</v>
      </c>
      <c r="D15" s="54">
        <f>C15*'Расчет субсидий'!E15</f>
        <v>-0.97016051966378747</v>
      </c>
      <c r="E15" s="55">
        <f t="shared" si="2"/>
        <v>-554.02080410420524</v>
      </c>
      <c r="F15" s="60">
        <f>'Расчет субсидий'!H15-1</f>
        <v>-9.5602294455067183E-3</v>
      </c>
      <c r="G15" s="60">
        <f>F15*'Расчет субсидий'!I15</f>
        <v>-9.5602294455067183E-2</v>
      </c>
      <c r="H15" s="55">
        <f t="shared" si="3"/>
        <v>-54.594738679490654</v>
      </c>
      <c r="I15" s="54">
        <f>'Расчет субсидий'!L15-1</f>
        <v>2.132196162046851E-3</v>
      </c>
      <c r="J15" s="54">
        <f>I15*'Расчет субсидий'!M15</f>
        <v>2.132196162046851E-2</v>
      </c>
      <c r="K15" s="55">
        <f t="shared" si="0"/>
        <v>12.1761400125257</v>
      </c>
      <c r="L15" s="54">
        <f>'Расчет субсидий'!P15-1</f>
        <v>-5.9149591901436982E-2</v>
      </c>
      <c r="M15" s="54">
        <f>L15*'Расчет субсидий'!Q15</f>
        <v>-1.1829918380287396</v>
      </c>
      <c r="N15" s="55">
        <f t="shared" si="1"/>
        <v>-675.56046248978055</v>
      </c>
      <c r="O15" s="27" t="s">
        <v>367</v>
      </c>
      <c r="P15" s="27" t="s">
        <v>367</v>
      </c>
      <c r="Q15" s="27" t="s">
        <v>367</v>
      </c>
      <c r="R15" s="27" t="s">
        <v>367</v>
      </c>
      <c r="S15" s="27" t="s">
        <v>367</v>
      </c>
      <c r="T15" s="27" t="s">
        <v>367</v>
      </c>
      <c r="U15" s="60">
        <f>'Расчет субсидий'!AB15-1</f>
        <v>-3.8691959899477602E-2</v>
      </c>
      <c r="V15" s="60">
        <f>U15*'Расчет субсидий'!AC15</f>
        <v>-0.38691959899477602</v>
      </c>
      <c r="W15" s="55">
        <f t="shared" si="4"/>
        <v>-220.9546801935933</v>
      </c>
      <c r="X15" s="27" t="s">
        <v>367</v>
      </c>
      <c r="Y15" s="27" t="s">
        <v>367</v>
      </c>
      <c r="Z15" s="27" t="s">
        <v>367</v>
      </c>
      <c r="AA15" s="27" t="s">
        <v>367</v>
      </c>
      <c r="AB15" s="27" t="s">
        <v>367</v>
      </c>
      <c r="AC15" s="27" t="s">
        <v>367</v>
      </c>
      <c r="AD15" s="27" t="s">
        <v>367</v>
      </c>
      <c r="AE15" s="27" t="s">
        <v>367</v>
      </c>
      <c r="AF15" s="27" t="s">
        <v>367</v>
      </c>
      <c r="AG15" s="54">
        <f t="shared" si="5"/>
        <v>-2.6143522895219018</v>
      </c>
    </row>
    <row r="16" spans="1:33" ht="15" customHeight="1">
      <c r="A16" s="28" t="s">
        <v>14</v>
      </c>
      <c r="B16" s="52">
        <f>'Расчет субсидий'!AT16</f>
        <v>-290.63636363636397</v>
      </c>
      <c r="C16" s="54">
        <f>'Расчет субсидий'!D16-1</f>
        <v>7.6761547171476208E-2</v>
      </c>
      <c r="D16" s="54">
        <f>C16*'Расчет субсидий'!E16</f>
        <v>1.1514232075721431</v>
      </c>
      <c r="E16" s="55">
        <f t="shared" si="2"/>
        <v>354.36583564781807</v>
      </c>
      <c r="F16" s="60">
        <f>'Расчет субсидий'!H16-1</f>
        <v>7.5046904315199114E-3</v>
      </c>
      <c r="G16" s="60">
        <f>F16*'Расчет субсидий'!I16</f>
        <v>7.5046904315199114E-2</v>
      </c>
      <c r="H16" s="55">
        <f t="shared" si="3"/>
        <v>23.096684855356376</v>
      </c>
      <c r="I16" s="54">
        <f>'Расчет субсидий'!L16-1</f>
        <v>-0.18918918918918914</v>
      </c>
      <c r="J16" s="54">
        <f>I16*'Расчет субсидий'!M16</f>
        <v>-1.8918918918918914</v>
      </c>
      <c r="K16" s="55">
        <f t="shared" si="0"/>
        <v>-582.25494050900124</v>
      </c>
      <c r="L16" s="54">
        <f>'Расчет субсидий'!P16-1</f>
        <v>2.0572823627486025E-2</v>
      </c>
      <c r="M16" s="54">
        <f>L16*'Расчет субсидий'!Q16</f>
        <v>0.41145647254972051</v>
      </c>
      <c r="N16" s="55">
        <f t="shared" si="1"/>
        <v>126.63121237171143</v>
      </c>
      <c r="O16" s="27" t="s">
        <v>367</v>
      </c>
      <c r="P16" s="27" t="s">
        <v>367</v>
      </c>
      <c r="Q16" s="27" t="s">
        <v>367</v>
      </c>
      <c r="R16" s="27" t="s">
        <v>367</v>
      </c>
      <c r="S16" s="27" t="s">
        <v>367</v>
      </c>
      <c r="T16" s="27" t="s">
        <v>367</v>
      </c>
      <c r="U16" s="60">
        <f>'Расчет субсидий'!AB16-1</f>
        <v>-6.9038491028983295E-2</v>
      </c>
      <c r="V16" s="60">
        <f>U16*'Расчет субсидий'!AC16</f>
        <v>-0.69038491028983295</v>
      </c>
      <c r="W16" s="55">
        <f t="shared" si="4"/>
        <v>-212.47515600224858</v>
      </c>
      <c r="X16" s="27" t="s">
        <v>367</v>
      </c>
      <c r="Y16" s="27" t="s">
        <v>367</v>
      </c>
      <c r="Z16" s="27" t="s">
        <v>367</v>
      </c>
      <c r="AA16" s="27" t="s">
        <v>367</v>
      </c>
      <c r="AB16" s="27" t="s">
        <v>367</v>
      </c>
      <c r="AC16" s="27" t="s">
        <v>367</v>
      </c>
      <c r="AD16" s="27" t="s">
        <v>367</v>
      </c>
      <c r="AE16" s="27" t="s">
        <v>367</v>
      </c>
      <c r="AF16" s="27" t="s">
        <v>367</v>
      </c>
      <c r="AG16" s="54">
        <f t="shared" si="5"/>
        <v>-0.94435021774466166</v>
      </c>
    </row>
    <row r="17" spans="1:33" ht="15" customHeight="1">
      <c r="A17" s="29" t="s">
        <v>20</v>
      </c>
      <c r="B17" s="51">
        <f>'Расчет субсидий'!AT17</f>
        <v>7134.9909090909077</v>
      </c>
      <c r="C17" s="51"/>
      <c r="D17" s="51"/>
      <c r="E17" s="51">
        <f>SUM(E18:E44)</f>
        <v>663.08233794263833</v>
      </c>
      <c r="F17" s="51"/>
      <c r="G17" s="51"/>
      <c r="H17" s="51">
        <f>SUM(H18:H44)</f>
        <v>-66.157642370135278</v>
      </c>
      <c r="I17" s="51"/>
      <c r="J17" s="51"/>
      <c r="K17" s="51">
        <f>SUM(K18:K44)</f>
        <v>502.07197361916832</v>
      </c>
      <c r="L17" s="51"/>
      <c r="M17" s="51"/>
      <c r="N17" s="51">
        <f>SUM(N18:N44)</f>
        <v>54.639702378218189</v>
      </c>
      <c r="O17" s="51"/>
      <c r="P17" s="51"/>
      <c r="Q17" s="51">
        <f>SUM(Q18:Q44)</f>
        <v>1526.488827106258</v>
      </c>
      <c r="R17" s="51"/>
      <c r="S17" s="51"/>
      <c r="T17" s="51">
        <f>SUM(T18:T44)</f>
        <v>2632.0584729528273</v>
      </c>
      <c r="U17" s="51"/>
      <c r="V17" s="51"/>
      <c r="W17" s="51">
        <f>SUM(W18:W44)</f>
        <v>-1063.0386305821814</v>
      </c>
      <c r="X17" s="51"/>
      <c r="Y17" s="51"/>
      <c r="Z17" s="51">
        <f>SUM(Z18:Z44)</f>
        <v>778.40477997468918</v>
      </c>
      <c r="AA17" s="51"/>
      <c r="AB17" s="51"/>
      <c r="AC17" s="51">
        <f>SUM(AC18:AC44)</f>
        <v>733.40005623125489</v>
      </c>
      <c r="AD17" s="51"/>
      <c r="AE17" s="51"/>
      <c r="AF17" s="51">
        <f>SUM(AF18:AF44)</f>
        <v>1374.0410318381705</v>
      </c>
      <c r="AG17" s="51"/>
    </row>
    <row r="18" spans="1:33" ht="15" customHeight="1">
      <c r="A18" s="30" t="s">
        <v>0</v>
      </c>
      <c r="B18" s="52">
        <f>'Расчет субсидий'!AT18</f>
        <v>508.07272727272721</v>
      </c>
      <c r="C18" s="54">
        <f>'Расчет субсидий'!D18-1</f>
        <v>0.19084519214149909</v>
      </c>
      <c r="D18" s="54">
        <f>C18*'Расчет субсидий'!E18</f>
        <v>1.9084519214149909</v>
      </c>
      <c r="E18" s="55">
        <f t="shared" ref="E18:E44" si="6">$B18*D18/$AG18</f>
        <v>126.88062182934975</v>
      </c>
      <c r="F18" s="60">
        <f>'Расчет субсидий'!H18-1</f>
        <v>-7.4613284804367574E-2</v>
      </c>
      <c r="G18" s="60">
        <f>F18*'Расчет субсидий'!I18</f>
        <v>-0.37306642402183787</v>
      </c>
      <c r="H18" s="55">
        <f t="shared" si="3"/>
        <v>-24.802773039441806</v>
      </c>
      <c r="I18" s="54">
        <f>'Расчет субсидий'!L18-1</f>
        <v>-3.6144578313253017E-2</v>
      </c>
      <c r="J18" s="54">
        <f>I18*'Расчет субсидий'!M18</f>
        <v>-0.54216867469879526</v>
      </c>
      <c r="K18" s="55">
        <f t="shared" ref="K18:K44" si="7">$B18*J18/$AG18</f>
        <v>-36.045287706893774</v>
      </c>
      <c r="L18" s="54">
        <f>'Расчет субсидий'!P18-1</f>
        <v>0.10272351508974586</v>
      </c>
      <c r="M18" s="54">
        <f>L18*'Расчет субсидий'!Q18</f>
        <v>2.0544703017949173</v>
      </c>
      <c r="N18" s="55">
        <f t="shared" ref="N18:N44" si="8">$B18*M18/$AG18</f>
        <v>136.58843929817186</v>
      </c>
      <c r="O18" s="54">
        <f>'Расчет субсидий'!T18-1</f>
        <v>0.19393939393939386</v>
      </c>
      <c r="P18" s="54">
        <f>O18*'Расчет субсидий'!U18</f>
        <v>1.9393939393939386</v>
      </c>
      <c r="Q18" s="55">
        <f t="shared" ref="Q18:Q44" si="9">$B18*P18/$AG18</f>
        <v>128.93775643031626</v>
      </c>
      <c r="R18" s="54">
        <f>'Расчет субсидий'!X18-1</f>
        <v>6.6666666666666652E-2</v>
      </c>
      <c r="S18" s="54">
        <f>R18*'Расчет субсидий'!Y18</f>
        <v>0.66666666666666652</v>
      </c>
      <c r="T18" s="55">
        <f t="shared" ref="T18:T44" si="10">$B18*S18/$AG18</f>
        <v>44.322353772921225</v>
      </c>
      <c r="U18" s="60">
        <f>'Расчет субсидий'!AB18-1</f>
        <v>-4.3350622406639006E-2</v>
      </c>
      <c r="V18" s="60">
        <f>U18*'Расчет субсидий'!AC18</f>
        <v>-0.21675311203319503</v>
      </c>
      <c r="W18" s="55">
        <f t="shared" si="4"/>
        <v>-14.41051216937535</v>
      </c>
      <c r="X18" s="71">
        <f>'Расчет субсидий'!AF18-1</f>
        <v>-1.05289546252193E-2</v>
      </c>
      <c r="Y18" s="71">
        <f>X18*'Расчет субсидий'!AG18</f>
        <v>-0.1579343193782895</v>
      </c>
      <c r="Z18" s="55">
        <f>$B18*Y18/$AG18</f>
        <v>-10.500031164555116</v>
      </c>
      <c r="AA18" s="71">
        <f>'Расчет субсидий'!AJ18-1</f>
        <v>2.5176056338028108E-2</v>
      </c>
      <c r="AB18" s="71">
        <f>AA18*'Расчет субсидий'!AK18</f>
        <v>0.25176056338028108</v>
      </c>
      <c r="AC18" s="55">
        <f>$B18*AB18/$AG18</f>
        <v>16.737931134316167</v>
      </c>
      <c r="AD18" s="71">
        <f>'Расчет субсидий'!AN18-1</f>
        <v>0.21112631578947361</v>
      </c>
      <c r="AE18" s="71">
        <f>AD18*'Расчет субсидий'!AO18</f>
        <v>2.1112631578947361</v>
      </c>
      <c r="AF18" s="55">
        <f>$B18*AE18/$AG18</f>
        <v>140.36422888791802</v>
      </c>
      <c r="AG18" s="54">
        <f>D18+G18+J18+M18+P18+S18+V18+Y18+AB18+AE18</f>
        <v>7.6420840204134119</v>
      </c>
    </row>
    <row r="19" spans="1:33" ht="15" customHeight="1">
      <c r="A19" s="30" t="s">
        <v>21</v>
      </c>
      <c r="B19" s="52">
        <f>'Расчет субсидий'!AT19</f>
        <v>-67.181818181818016</v>
      </c>
      <c r="C19" s="54">
        <f>'Расчет субсидий'!D19-1</f>
        <v>-0.15743837877229083</v>
      </c>
      <c r="D19" s="54">
        <f>C19*'Расчет субсидий'!E19</f>
        <v>-1.5743837877229083</v>
      </c>
      <c r="E19" s="55">
        <f t="shared" si="6"/>
        <v>-198.25105957778456</v>
      </c>
      <c r="F19" s="60">
        <f>'Расчет субсидий'!H19-1</f>
        <v>-3.7383177570093906E-3</v>
      </c>
      <c r="G19" s="60">
        <f>F19*'Расчет субсидий'!I19</f>
        <v>-1.8691588785046953E-2</v>
      </c>
      <c r="H19" s="55">
        <f t="shared" si="3"/>
        <v>-2.3537001020490589</v>
      </c>
      <c r="I19" s="54">
        <f>'Расчет субсидий'!L19-1</f>
        <v>8.0000000000000071E-2</v>
      </c>
      <c r="J19" s="54">
        <f>I19*'Расчет субсидий'!M19</f>
        <v>0.40000000000000036</v>
      </c>
      <c r="K19" s="55">
        <f t="shared" si="7"/>
        <v>50.369182183849297</v>
      </c>
      <c r="L19" s="54">
        <f>'Расчет субсидий'!P19-1</f>
        <v>9.3234860725563973E-3</v>
      </c>
      <c r="M19" s="54">
        <f>L19*'Расчет субсидий'!Q19</f>
        <v>0.18646972145112795</v>
      </c>
      <c r="N19" s="55">
        <f t="shared" si="8"/>
        <v>23.480818428858719</v>
      </c>
      <c r="O19" s="54">
        <f>'Расчет субсидий'!T19-1</f>
        <v>3.8782412626831908E-2</v>
      </c>
      <c r="P19" s="54">
        <f>O19*'Расчет субсидий'!U19</f>
        <v>0.19391206313415954</v>
      </c>
      <c r="Q19" s="55">
        <f t="shared" si="9"/>
        <v>24.417980089126399</v>
      </c>
      <c r="R19" s="54">
        <f>'Расчет субсидий'!X19-1</f>
        <v>1.9990004997501032E-3</v>
      </c>
      <c r="S19" s="54">
        <f>R19*'Расчет субсидий'!Y19</f>
        <v>9.9950024987505159E-3</v>
      </c>
      <c r="T19" s="55">
        <f t="shared" si="10"/>
        <v>1.2586002544689829</v>
      </c>
      <c r="U19" s="60">
        <f>'Расчет субсидий'!AB19-1</f>
        <v>-0.13374919247841399</v>
      </c>
      <c r="V19" s="60">
        <f>U19*'Расчет субсидий'!AC19</f>
        <v>-0.66874596239206996</v>
      </c>
      <c r="W19" s="55">
        <f t="shared" si="4"/>
        <v>-84.210468036099428</v>
      </c>
      <c r="X19" s="71">
        <f>'Расчет субсидий'!AF19-1</f>
        <v>6.2000000000000055E-2</v>
      </c>
      <c r="Y19" s="71">
        <f>X19*'Расчет субсидий'!AG19</f>
        <v>1.2400000000000011</v>
      </c>
      <c r="Z19" s="55">
        <f t="shared" ref="Z19:Z42" si="11">$B19*Y19/$AG19</f>
        <v>156.14446476993282</v>
      </c>
      <c r="AA19" s="71">
        <f>'Расчет субсидий'!AJ19-1</f>
        <v>9.4545454545456042E-3</v>
      </c>
      <c r="AB19" s="71">
        <f>AA19*'Расчет субсидий'!AK19</f>
        <v>0.14181818181818406</v>
      </c>
      <c r="AC19" s="55">
        <f t="shared" ref="AC19:AC43" si="12">$B19*AB19/$AG19</f>
        <v>17.858164592455925</v>
      </c>
      <c r="AD19" s="71">
        <f>'Расчет субсидий'!AN19-1</f>
        <v>-8.8777777777777733E-2</v>
      </c>
      <c r="AE19" s="71">
        <f>AD19*'Расчет субсидий'!AO19</f>
        <v>-0.44388888888888867</v>
      </c>
      <c r="AF19" s="55">
        <f t="shared" ref="AF19:AF44" si="13">$B19*AE19/$AG19</f>
        <v>-55.895800784577126</v>
      </c>
      <c r="AG19" s="54">
        <f t="shared" ref="AG19:AG44" si="14">D19+G19+J19+M19+P19+S19+V19+Y19+AB19+AE19</f>
        <v>-0.53351525888669038</v>
      </c>
    </row>
    <row r="20" spans="1:33" ht="15" customHeight="1">
      <c r="A20" s="30" t="s">
        <v>22</v>
      </c>
      <c r="B20" s="52">
        <f>'Расчет субсидий'!AT20</f>
        <v>-146.89999999999964</v>
      </c>
      <c r="C20" s="54">
        <f>'Расчет субсидий'!D20-1</f>
        <v>-7.7160024874928013E-2</v>
      </c>
      <c r="D20" s="54">
        <f>C20*'Расчет субсидий'!E20</f>
        <v>-0.77160024874928013</v>
      </c>
      <c r="E20" s="55">
        <f t="shared" si="6"/>
        <v>-61.750036932122953</v>
      </c>
      <c r="F20" s="60">
        <f>'Расчет субсидий'!H20-1</f>
        <v>3.0331753554502461E-2</v>
      </c>
      <c r="G20" s="60">
        <f>F20*'Расчет субсидий'!I20</f>
        <v>0.1516587677725123</v>
      </c>
      <c r="H20" s="55">
        <f t="shared" si="3"/>
        <v>12.137028890559479</v>
      </c>
      <c r="I20" s="54">
        <f>'Расчет субсидий'!L20-1</f>
        <v>4.8387096774193505E-2</v>
      </c>
      <c r="J20" s="54">
        <f>I20*'Расчет субсидий'!M20</f>
        <v>0.48387096774193505</v>
      </c>
      <c r="K20" s="55">
        <f t="shared" si="7"/>
        <v>38.723484313125603</v>
      </c>
      <c r="L20" s="54">
        <f>'Расчет субсидий'!P20-1</f>
        <v>-7.0251173449388249E-2</v>
      </c>
      <c r="M20" s="54">
        <f>L20*'Расчет субсидий'!Q20</f>
        <v>-1.405023468987765</v>
      </c>
      <c r="N20" s="55">
        <f t="shared" si="8"/>
        <v>-112.44196880590358</v>
      </c>
      <c r="O20" s="54">
        <f>'Расчет субсидий'!T20-1</f>
        <v>4.576742823667157E-3</v>
      </c>
      <c r="P20" s="54">
        <f>O20*'Расчет субсидий'!U20</f>
        <v>4.576742823667157E-2</v>
      </c>
      <c r="Q20" s="55">
        <f t="shared" si="9"/>
        <v>3.6627001980413674</v>
      </c>
      <c r="R20" s="54">
        <f>'Расчет субсидий'!X20-1</f>
        <v>0.12385767062026054</v>
      </c>
      <c r="S20" s="54">
        <f>R20*'Расчет субсидий'!Y20</f>
        <v>0.6192883531013027</v>
      </c>
      <c r="T20" s="55">
        <f t="shared" si="10"/>
        <v>49.560739175014064</v>
      </c>
      <c r="U20" s="60">
        <f>'Расчет субсидий'!AB20-1</f>
        <v>-6.1871949468849108E-3</v>
      </c>
      <c r="V20" s="60">
        <f>U20*'Расчет субсидий'!AC20</f>
        <v>-3.0935974734424554E-2</v>
      </c>
      <c r="W20" s="55">
        <f t="shared" si="4"/>
        <v>-2.47576071350213</v>
      </c>
      <c r="X20" s="71">
        <f>'Расчет субсидий'!AF20-1</f>
        <v>2.64026402640265E-2</v>
      </c>
      <c r="Y20" s="71">
        <f>X20*'Расчет субсидий'!AG20</f>
        <v>0.52805280528053</v>
      </c>
      <c r="Z20" s="55">
        <f t="shared" si="11"/>
        <v>42.259292011684025</v>
      </c>
      <c r="AA20" s="71">
        <f>'Расчет субсидий'!AJ20-1</f>
        <v>-8.0224999999999991E-2</v>
      </c>
      <c r="AB20" s="71">
        <f>AA20*'Расчет субсидий'!AK20</f>
        <v>-1.6044999999999998</v>
      </c>
      <c r="AC20" s="55">
        <f t="shared" si="12"/>
        <v>-128.40578319951416</v>
      </c>
      <c r="AD20" s="71">
        <f>'Расчет субсидий'!AN20-1</f>
        <v>2.9565217391304355E-2</v>
      </c>
      <c r="AE20" s="71">
        <f>AD20*'Расчет субсидий'!AO20</f>
        <v>0.14782608695652177</v>
      </c>
      <c r="AF20" s="55">
        <f t="shared" si="13"/>
        <v>11.830305062618677</v>
      </c>
      <c r="AG20" s="54">
        <f t="shared" si="14"/>
        <v>-1.8355952833819962</v>
      </c>
    </row>
    <row r="21" spans="1:33" ht="15" customHeight="1">
      <c r="A21" s="30" t="s">
        <v>23</v>
      </c>
      <c r="B21" s="52">
        <f>'Расчет субсидий'!AT21</f>
        <v>670.79090909091065</v>
      </c>
      <c r="C21" s="54">
        <f>'Расчет субсидий'!D21-1</f>
        <v>4.7591492557695014E-2</v>
      </c>
      <c r="D21" s="54">
        <f>C21*'Расчет субсидий'!E21</f>
        <v>0.47591492557695014</v>
      </c>
      <c r="E21" s="55">
        <f t="shared" si="6"/>
        <v>49.683410826535784</v>
      </c>
      <c r="F21" s="60">
        <f>'Расчет субсидий'!H21-1</f>
        <v>6.0434372049102736E-2</v>
      </c>
      <c r="G21" s="60">
        <f>F21*'Расчет субсидий'!I21</f>
        <v>0.30217186024551368</v>
      </c>
      <c r="H21" s="55">
        <f t="shared" si="3"/>
        <v>31.545404159359546</v>
      </c>
      <c r="I21" s="54">
        <f>'Расчет субсидий'!L21-1</f>
        <v>5.6910569105691033E-2</v>
      </c>
      <c r="J21" s="54">
        <f>I21*'Расчет субсидий'!M21</f>
        <v>0.56910569105691033</v>
      </c>
      <c r="K21" s="55">
        <f t="shared" si="7"/>
        <v>59.412114083671995</v>
      </c>
      <c r="L21" s="54">
        <f>'Расчет субсидий'!P21-1</f>
        <v>9.1621024081139479E-2</v>
      </c>
      <c r="M21" s="54">
        <f>L21*'Расчет субсидий'!Q21</f>
        <v>1.8324204816227896</v>
      </c>
      <c r="N21" s="55">
        <f t="shared" si="8"/>
        <v>191.29658412174197</v>
      </c>
      <c r="O21" s="54">
        <f>'Расчет субсидий'!T21-1</f>
        <v>6.1603375527426119E-2</v>
      </c>
      <c r="P21" s="54">
        <f>O21*'Расчет субсидий'!U21</f>
        <v>0.30801687763713059</v>
      </c>
      <c r="Q21" s="55">
        <f t="shared" si="9"/>
        <v>32.155598092663688</v>
      </c>
      <c r="R21" s="54">
        <f>'Расчет субсидий'!X21-1</f>
        <v>0.11705426356589133</v>
      </c>
      <c r="S21" s="54">
        <f>R21*'Расчет субсидий'!Y21</f>
        <v>0.58527131782945663</v>
      </c>
      <c r="T21" s="55">
        <f t="shared" si="10"/>
        <v>61.099733935550326</v>
      </c>
      <c r="U21" s="60">
        <f>'Расчет субсидий'!AB21-1</f>
        <v>-9.2499461077084955E-2</v>
      </c>
      <c r="V21" s="60">
        <f>U21*'Расчет субсидий'!AC21</f>
        <v>-0.46249730538542477</v>
      </c>
      <c r="W21" s="55">
        <f t="shared" si="4"/>
        <v>-48.282670693240277</v>
      </c>
      <c r="X21" s="71">
        <f>'Расчет субсидий'!AF21-1</f>
        <v>0</v>
      </c>
      <c r="Y21" s="71">
        <f>X21*'Расчет субсидий'!AG21</f>
        <v>0</v>
      </c>
      <c r="Z21" s="55">
        <f t="shared" si="11"/>
        <v>0</v>
      </c>
      <c r="AA21" s="71">
        <f>'Расчет субсидий'!AJ21-1</f>
        <v>-1.9999999999997797E-4</v>
      </c>
      <c r="AB21" s="71">
        <f>AA21*'Расчет субсидий'!AK21</f>
        <v>-1.9999999999997797E-3</v>
      </c>
      <c r="AC21" s="55">
        <f t="shared" si="12"/>
        <v>-0.20879114377973865</v>
      </c>
      <c r="AD21" s="71">
        <f>'Расчет субсидий'!AN21-1</f>
        <v>0.28170689655172421</v>
      </c>
      <c r="AE21" s="71">
        <f>AD21*'Расчет субсидий'!AO21</f>
        <v>2.8170689655172421</v>
      </c>
      <c r="AF21" s="55">
        <f t="shared" si="13"/>
        <v>294.08952570840745</v>
      </c>
      <c r="AG21" s="54">
        <f t="shared" si="14"/>
        <v>6.4254728141005675</v>
      </c>
    </row>
    <row r="22" spans="1:33" ht="15" customHeight="1">
      <c r="A22" s="30" t="s">
        <v>24</v>
      </c>
      <c r="B22" s="52">
        <f>'Расчет субсидий'!AT22</f>
        <v>937.14545454545441</v>
      </c>
      <c r="C22" s="54">
        <f>'Расчет субсидий'!D22-1</f>
        <v>0.13387696441403452</v>
      </c>
      <c r="D22" s="54">
        <f>C22*'Расчет субсидий'!E22</f>
        <v>1.3387696441403452</v>
      </c>
      <c r="E22" s="55">
        <f t="shared" si="6"/>
        <v>174.53254349698668</v>
      </c>
      <c r="F22" s="60">
        <f>'Расчет субсидий'!H22-1</f>
        <v>-1.6052880075542952E-2</v>
      </c>
      <c r="G22" s="60">
        <f>F22*'Расчет субсидий'!I22</f>
        <v>-8.0264400377714762E-2</v>
      </c>
      <c r="H22" s="55">
        <f t="shared" si="3"/>
        <v>-10.463898708413273</v>
      </c>
      <c r="I22" s="54">
        <f>'Расчет субсидий'!L22-1</f>
        <v>8.6956521739130377E-2</v>
      </c>
      <c r="J22" s="54">
        <f>I22*'Расчет субсидий'!M22</f>
        <v>0.86956521739130377</v>
      </c>
      <c r="K22" s="55">
        <f t="shared" si="7"/>
        <v>113.36336298935711</v>
      </c>
      <c r="L22" s="54">
        <f>'Расчет субсидий'!P22-1</f>
        <v>-0.14739760913454691</v>
      </c>
      <c r="M22" s="54">
        <f>L22*'Расчет субсидий'!Q22</f>
        <v>-2.9479521826909383</v>
      </c>
      <c r="N22" s="55">
        <f t="shared" si="8"/>
        <v>-384.31823936590979</v>
      </c>
      <c r="O22" s="54">
        <f>'Расчет субсидий'!T22-1</f>
        <v>0.200747380926666</v>
      </c>
      <c r="P22" s="54">
        <f>O22*'Расчет субсидий'!U22</f>
        <v>1.00373690463333</v>
      </c>
      <c r="Q22" s="55">
        <f t="shared" si="9"/>
        <v>130.85503972562628</v>
      </c>
      <c r="R22" s="54">
        <f>'Расчет субсидий'!X22-1</f>
        <v>0.17361702127659573</v>
      </c>
      <c r="S22" s="54">
        <f>R22*'Расчет субсидий'!Y22</f>
        <v>0.86808510638297864</v>
      </c>
      <c r="T22" s="55">
        <f t="shared" si="10"/>
        <v>113.17040407363061</v>
      </c>
      <c r="U22" s="60">
        <f>'Расчет субсидий'!AB22-1</f>
        <v>0.28637754398860649</v>
      </c>
      <c r="V22" s="60">
        <f>U22*'Расчет субсидий'!AC22</f>
        <v>1.4318877199430324</v>
      </c>
      <c r="W22" s="55">
        <f t="shared" si="4"/>
        <v>186.67214845929075</v>
      </c>
      <c r="X22" s="71">
        <f>'Расчет субсидий'!AF22-1</f>
        <v>-1.4510739856801957E-2</v>
      </c>
      <c r="Y22" s="71">
        <f>X22*'Расчет субсидий'!AG22</f>
        <v>-0.29021479713603915</v>
      </c>
      <c r="Z22" s="55">
        <f t="shared" si="11"/>
        <v>-37.834684201507784</v>
      </c>
      <c r="AA22" s="71">
        <f>'Расчет субсидий'!AJ22-1</f>
        <v>0.19948564080582942</v>
      </c>
      <c r="AB22" s="71">
        <f>AA22*'Расчет субсидий'!AK22</f>
        <v>1.9948564080582942</v>
      </c>
      <c r="AC22" s="55">
        <f t="shared" si="12"/>
        <v>260.06517576311131</v>
      </c>
      <c r="AD22" s="71">
        <f>'Расчет субсидий'!AN22-1</f>
        <v>0.30000000000000004</v>
      </c>
      <c r="AE22" s="71">
        <f>AD22*'Расчет субсидий'!AO22</f>
        <v>3.0000000000000004</v>
      </c>
      <c r="AF22" s="55">
        <f t="shared" si="13"/>
        <v>391.10360231328241</v>
      </c>
      <c r="AG22" s="54">
        <f t="shared" si="14"/>
        <v>7.188469620344593</v>
      </c>
    </row>
    <row r="23" spans="1:33" ht="15" customHeight="1">
      <c r="A23" s="30" t="s">
        <v>25</v>
      </c>
      <c r="B23" s="52">
        <f>'Расчет субсидий'!AT23</f>
        <v>-132.41818181818235</v>
      </c>
      <c r="C23" s="54">
        <f>'Расчет субсидий'!D23-1</f>
        <v>0.10631239393985714</v>
      </c>
      <c r="D23" s="54">
        <f>C23*'Расчет субсидий'!E23</f>
        <v>1.0631239393985714</v>
      </c>
      <c r="E23" s="55">
        <f t="shared" si="6"/>
        <v>114.00753502524486</v>
      </c>
      <c r="F23" s="60">
        <f>'Расчет субсидий'!H23-1</f>
        <v>-5.0136736554238781E-2</v>
      </c>
      <c r="G23" s="60">
        <f>F23*'Расчет субсидий'!I23</f>
        <v>-0.25068368277119391</v>
      </c>
      <c r="H23" s="55">
        <f t="shared" si="3"/>
        <v>-26.88287572563025</v>
      </c>
      <c r="I23" s="54">
        <f>'Расчет субсидий'!L23-1</f>
        <v>0</v>
      </c>
      <c r="J23" s="54">
        <f>I23*'Расчет субсидий'!M23</f>
        <v>0</v>
      </c>
      <c r="K23" s="55">
        <f t="shared" si="7"/>
        <v>0</v>
      </c>
      <c r="L23" s="54">
        <f>'Расчет субсидий'!P23-1</f>
        <v>-6.0545619301700437E-2</v>
      </c>
      <c r="M23" s="54">
        <f>L23*'Расчет субсидий'!Q23</f>
        <v>-1.2109123860340087</v>
      </c>
      <c r="N23" s="55">
        <f t="shared" si="8"/>
        <v>-129.85610722055065</v>
      </c>
      <c r="O23" s="54">
        <f>'Расчет субсидий'!T23-1</f>
        <v>0.14366911507520119</v>
      </c>
      <c r="P23" s="54">
        <f>O23*'Расчет субсидий'!U23</f>
        <v>0.71834557537600596</v>
      </c>
      <c r="Q23" s="55">
        <f t="shared" si="9"/>
        <v>77.034111743584845</v>
      </c>
      <c r="R23" s="54">
        <f>'Расчет субсидий'!X23-1</f>
        <v>0.13551401869158886</v>
      </c>
      <c r="S23" s="54">
        <f>R23*'Расчет субсидий'!Y23</f>
        <v>0.67757009345794428</v>
      </c>
      <c r="T23" s="55">
        <f t="shared" si="10"/>
        <v>72.661421024594432</v>
      </c>
      <c r="U23" s="60">
        <f>'Расчет субсидий'!AB23-1</f>
        <v>-8.8227248513468748E-2</v>
      </c>
      <c r="V23" s="60">
        <f>U23*'Расчет субсидий'!AC23</f>
        <v>-0.44113624256734374</v>
      </c>
      <c r="W23" s="55">
        <f t="shared" si="4"/>
        <v>-47.306672121270203</v>
      </c>
      <c r="X23" s="71">
        <f>'Расчет субсидий'!AF23-1</f>
        <v>0</v>
      </c>
      <c r="Y23" s="71">
        <f>X23*'Расчет субсидий'!AG23</f>
        <v>0</v>
      </c>
      <c r="Z23" s="55">
        <f t="shared" si="11"/>
        <v>0</v>
      </c>
      <c r="AA23" s="71">
        <f>'Расчет субсидий'!AJ23-1</f>
        <v>-0.1529206349206349</v>
      </c>
      <c r="AB23" s="71">
        <f>AA23*'Расчет субсидий'!AK23</f>
        <v>-1.529206349206349</v>
      </c>
      <c r="AC23" s="55">
        <f t="shared" si="12"/>
        <v>-163.98939009556833</v>
      </c>
      <c r="AD23" s="71">
        <f>'Расчет субсидий'!AN23-1</f>
        <v>-2.6190476190476208E-2</v>
      </c>
      <c r="AE23" s="71">
        <f>AD23*'Расчет субсидий'!AO23</f>
        <v>-0.26190476190476208</v>
      </c>
      <c r="AF23" s="55">
        <f t="shared" si="13"/>
        <v>-28.086204448587079</v>
      </c>
      <c r="AG23" s="54">
        <f t="shared" si="14"/>
        <v>-1.2348038142511357</v>
      </c>
    </row>
    <row r="24" spans="1:33" ht="15" customHeight="1">
      <c r="A24" s="30" t="s">
        <v>26</v>
      </c>
      <c r="B24" s="52">
        <f>'Расчет субсидий'!AT24</f>
        <v>652.73636363636433</v>
      </c>
      <c r="C24" s="54">
        <f>'Расчет субсидий'!D24-1</f>
        <v>0.20109042499590712</v>
      </c>
      <c r="D24" s="54">
        <f>C24*'Расчет субсидий'!E24</f>
        <v>2.0109042499590712</v>
      </c>
      <c r="E24" s="55">
        <f t="shared" si="6"/>
        <v>186.80332111878261</v>
      </c>
      <c r="F24" s="60">
        <f>'Расчет субсидий'!H24-1</f>
        <v>2.9523809523809508E-2</v>
      </c>
      <c r="G24" s="60">
        <f>F24*'Расчет субсидий'!I24</f>
        <v>0.14761904761904754</v>
      </c>
      <c r="H24" s="55">
        <f t="shared" si="3"/>
        <v>13.713098650117756</v>
      </c>
      <c r="I24" s="54">
        <f>'Расчет субсидий'!L24-1</f>
        <v>0</v>
      </c>
      <c r="J24" s="54">
        <f>I24*'Расчет субсидий'!M24</f>
        <v>0</v>
      </c>
      <c r="K24" s="55">
        <f t="shared" si="7"/>
        <v>0</v>
      </c>
      <c r="L24" s="54">
        <f>'Расчет субсидий'!P24-1</f>
        <v>8.1493096152245537E-2</v>
      </c>
      <c r="M24" s="54">
        <f>L24*'Расчет субсидий'!Q24</f>
        <v>1.6298619230449107</v>
      </c>
      <c r="N24" s="55">
        <f t="shared" si="8"/>
        <v>151.40632389435342</v>
      </c>
      <c r="O24" s="54">
        <f>'Расчет субсидий'!T24-1</f>
        <v>0.20874737158305789</v>
      </c>
      <c r="P24" s="54">
        <f>O24*'Расчет субсидий'!U24</f>
        <v>1.0437368579152895</v>
      </c>
      <c r="Q24" s="55">
        <f t="shared" si="9"/>
        <v>96.958127885316941</v>
      </c>
      <c r="R24" s="54">
        <f>'Расчет субсидий'!X24-1</f>
        <v>0.19213566902720847</v>
      </c>
      <c r="S24" s="54">
        <f>R24*'Расчет субсидий'!Y24</f>
        <v>0.96067834513604233</v>
      </c>
      <c r="T24" s="55">
        <f t="shared" si="10"/>
        <v>89.242392024364833</v>
      </c>
      <c r="U24" s="60">
        <f>'Расчет субсидий'!AB24-1</f>
        <v>-0.13726288296997291</v>
      </c>
      <c r="V24" s="60">
        <f>U24*'Расчет субсидий'!AC24</f>
        <v>-1.3726288296997291</v>
      </c>
      <c r="W24" s="55">
        <f t="shared" si="4"/>
        <v>-127.51060825323538</v>
      </c>
      <c r="X24" s="71">
        <f>'Расчет субсидий'!AF24-1</f>
        <v>-7.5093867334167674E-2</v>
      </c>
      <c r="Y24" s="71">
        <f>X24*'Расчет субсидий'!AG24</f>
        <v>-1.5018773466833535</v>
      </c>
      <c r="Z24" s="55">
        <f t="shared" si="11"/>
        <v>-139.51717307237573</v>
      </c>
      <c r="AA24" s="71">
        <f>'Расчет субсидий'!AJ24-1</f>
        <v>0.12616129032258061</v>
      </c>
      <c r="AB24" s="71">
        <f>AA24*'Расчет субсидий'!AK24</f>
        <v>1.8924193548387092</v>
      </c>
      <c r="AC24" s="55">
        <f t="shared" si="12"/>
        <v>175.79664493748515</v>
      </c>
      <c r="AD24" s="71">
        <f>'Расчет субсидий'!AN24-1</f>
        <v>0.22158762886597927</v>
      </c>
      <c r="AE24" s="71">
        <f>AD24*'Расчет субсидий'!AO24</f>
        <v>2.2158762886597927</v>
      </c>
      <c r="AF24" s="55">
        <f t="shared" si="13"/>
        <v>205.84423645155474</v>
      </c>
      <c r="AG24" s="54">
        <f t="shared" si="14"/>
        <v>7.0265898907897801</v>
      </c>
    </row>
    <row r="25" spans="1:33" ht="15" customHeight="1">
      <c r="A25" s="30" t="s">
        <v>27</v>
      </c>
      <c r="B25" s="52">
        <f>'Расчет субсидий'!AT25</f>
        <v>26.054545454545405</v>
      </c>
      <c r="C25" s="54">
        <f>'Расчет субсидий'!D25-1</f>
        <v>0.16596914221005932</v>
      </c>
      <c r="D25" s="54">
        <f>C25*'Расчет субсидий'!E25</f>
        <v>1.6596914221005932</v>
      </c>
      <c r="E25" s="55">
        <f t="shared" si="6"/>
        <v>84.525287979687434</v>
      </c>
      <c r="F25" s="60">
        <f>'Расчет субсидий'!H25-1</f>
        <v>-1.9905213270142164E-2</v>
      </c>
      <c r="G25" s="60">
        <f>F25*'Расчет субсидий'!I25</f>
        <v>-9.9526066350710818E-2</v>
      </c>
      <c r="H25" s="55">
        <f t="shared" si="3"/>
        <v>-5.0686948837344987</v>
      </c>
      <c r="I25" s="54">
        <f>'Расчет субсидий'!L25-1</f>
        <v>7.6923076923076872E-2</v>
      </c>
      <c r="J25" s="54">
        <f>I25*'Расчет субсидий'!M25</f>
        <v>0.76923076923076872</v>
      </c>
      <c r="K25" s="55">
        <f t="shared" si="7"/>
        <v>39.17562712336921</v>
      </c>
      <c r="L25" s="54">
        <f>'Расчет субсидий'!P25-1</f>
        <v>-4.226898256917444E-2</v>
      </c>
      <c r="M25" s="54">
        <f>L25*'Расчет субсидий'!Q25</f>
        <v>-0.84537965138348881</v>
      </c>
      <c r="N25" s="55">
        <f t="shared" si="8"/>
        <v>-43.053761400368465</v>
      </c>
      <c r="O25" s="54">
        <f>'Расчет субсидий'!T25-1</f>
        <v>0.15860927152317883</v>
      </c>
      <c r="P25" s="54">
        <f>O25*'Расчет субсидий'!U25</f>
        <v>0.79304635761589415</v>
      </c>
      <c r="Q25" s="55">
        <f t="shared" si="9"/>
        <v>40.388514916758318</v>
      </c>
      <c r="R25" s="54">
        <f>'Расчет субсидий'!X25-1</f>
        <v>9.9999999999999867E-2</v>
      </c>
      <c r="S25" s="54">
        <f>R25*'Расчет субсидий'!Y25</f>
        <v>0.49999999999999933</v>
      </c>
      <c r="T25" s="55">
        <f t="shared" si="10"/>
        <v>25.464157630189966</v>
      </c>
      <c r="U25" s="60">
        <f>'Расчет субсидий'!AB25-1</f>
        <v>-0.14037085412550099</v>
      </c>
      <c r="V25" s="60">
        <f>U25*'Расчет субсидий'!AC25</f>
        <v>-0.70185427062750494</v>
      </c>
      <c r="W25" s="55">
        <f t="shared" si="4"/>
        <v>-35.744255561361634</v>
      </c>
      <c r="X25" s="71">
        <f>'Расчет субсидий'!AF25-1</f>
        <v>-9.3520374081496271E-2</v>
      </c>
      <c r="Y25" s="71">
        <f>X25*'Расчет субсидий'!AG25</f>
        <v>-1.8704074816299254</v>
      </c>
      <c r="Z25" s="55">
        <f t="shared" si="11"/>
        <v>-95.256701889822253</v>
      </c>
      <c r="AA25" s="71">
        <f>'Расчет субсидий'!AJ25-1</f>
        <v>-3.6851719482169698E-2</v>
      </c>
      <c r="AB25" s="71">
        <f>AA25*'Расчет субсидий'!AK25</f>
        <v>-0.36851719482169698</v>
      </c>
      <c r="AC25" s="55">
        <f t="shared" si="12"/>
        <v>-18.767959876750261</v>
      </c>
      <c r="AD25" s="71">
        <f>'Расчет субсидий'!AN25-1</f>
        <v>0.1350617283950617</v>
      </c>
      <c r="AE25" s="71">
        <f>AD25*'Расчет субсидий'!AO25</f>
        <v>0.67530864197530849</v>
      </c>
      <c r="AF25" s="55">
        <f t="shared" si="13"/>
        <v>34.392331416577598</v>
      </c>
      <c r="AG25" s="54">
        <f t="shared" si="14"/>
        <v>0.51159252610923689</v>
      </c>
    </row>
    <row r="26" spans="1:33" ht="15" customHeight="1">
      <c r="A26" s="30" t="s">
        <v>28</v>
      </c>
      <c r="B26" s="52">
        <f>'Расчет субсидий'!AT26</f>
        <v>-35.581818181819472</v>
      </c>
      <c r="C26" s="54">
        <f>'Расчет субсидий'!D26-1</f>
        <v>-8.4378614002312835E-3</v>
      </c>
      <c r="D26" s="54">
        <f>C26*'Расчет субсидий'!E26</f>
        <v>-8.4378614002312835E-2</v>
      </c>
      <c r="E26" s="55">
        <f t="shared" si="6"/>
        <v>-9.9617760049505026</v>
      </c>
      <c r="F26" s="60">
        <f>'Расчет субсидий'!H26-1</f>
        <v>-9.4517958412088099E-4</v>
      </c>
      <c r="G26" s="60">
        <f>F26*'Расчет субсидий'!I26</f>
        <v>-4.7258979206044049E-3</v>
      </c>
      <c r="H26" s="55">
        <f t="shared" si="3"/>
        <v>-0.55794157161709257</v>
      </c>
      <c r="I26" s="54">
        <f>'Расчет субсидий'!L26-1</f>
        <v>0.12745098039215685</v>
      </c>
      <c r="J26" s="54">
        <f>I26*'Расчет субсидий'!M26</f>
        <v>1.9117647058823528</v>
      </c>
      <c r="K26" s="55">
        <f t="shared" si="7"/>
        <v>225.70377576536231</v>
      </c>
      <c r="L26" s="54">
        <f>'Расчет субсидий'!P26-1</f>
        <v>-0.16523387804004397</v>
      </c>
      <c r="M26" s="54">
        <f>L26*'Расчет субсидий'!Q26</f>
        <v>-3.3046775608008794</v>
      </c>
      <c r="N26" s="55">
        <f t="shared" si="8"/>
        <v>-390.15167549898604</v>
      </c>
      <c r="O26" s="54">
        <f>'Расчет субсидий'!T26-1</f>
        <v>6.2824292452830166E-2</v>
      </c>
      <c r="P26" s="54">
        <f>O26*'Расчет субсидий'!U26</f>
        <v>0.31412146226415083</v>
      </c>
      <c r="Q26" s="55">
        <f t="shared" si="9"/>
        <v>37.085316965946021</v>
      </c>
      <c r="R26" s="54">
        <f>'Расчет субсидий'!X26-1</f>
        <v>1.387283236994219E-2</v>
      </c>
      <c r="S26" s="54">
        <f>R26*'Расчет субсидий'!Y26</f>
        <v>6.9364161849710948E-2</v>
      </c>
      <c r="T26" s="55">
        <f t="shared" si="10"/>
        <v>8.1891632291923315</v>
      </c>
      <c r="U26" s="60">
        <f>'Расчет субсидий'!AB26-1</f>
        <v>4.5801399255289033E-2</v>
      </c>
      <c r="V26" s="60">
        <f>U26*'Расчет субсидий'!AC26</f>
        <v>0.22900699627644516</v>
      </c>
      <c r="W26" s="55">
        <f t="shared" si="4"/>
        <v>27.036665954360771</v>
      </c>
      <c r="X26" s="71">
        <f>'Расчет субсидий'!AF26-1</f>
        <v>1.678264428980758E-2</v>
      </c>
      <c r="Y26" s="71">
        <f>X26*'Расчет субсидий'!AG26</f>
        <v>0.2517396643471137</v>
      </c>
      <c r="Z26" s="55">
        <f t="shared" si="11"/>
        <v>29.720494670825381</v>
      </c>
      <c r="AA26" s="71">
        <f>'Расчет субсидий'!AJ26-1</f>
        <v>1.1296121097445599E-2</v>
      </c>
      <c r="AB26" s="71">
        <f>AA26*'Расчет субсидий'!AK26</f>
        <v>0.22592242194891199</v>
      </c>
      <c r="AC26" s="55">
        <f t="shared" si="12"/>
        <v>26.672499762668355</v>
      </c>
      <c r="AD26" s="71">
        <f>'Расчет субсидий'!AN26-1</f>
        <v>1.8095238095237942E-2</v>
      </c>
      <c r="AE26" s="71">
        <f>AD26*'Расчет субсидий'!AO26</f>
        <v>9.0476190476189711E-2</v>
      </c>
      <c r="AF26" s="55">
        <f t="shared" si="13"/>
        <v>10.681658545378962</v>
      </c>
      <c r="AG26" s="54">
        <f t="shared" si="14"/>
        <v>-0.30138646967892146</v>
      </c>
    </row>
    <row r="27" spans="1:33" ht="15" customHeight="1">
      <c r="A27" s="30" t="s">
        <v>29</v>
      </c>
      <c r="B27" s="52">
        <f>'Расчет субсидий'!AT27</f>
        <v>-452.34545454545514</v>
      </c>
      <c r="C27" s="54">
        <f>'Расчет субсидий'!D27-1</f>
        <v>5.0210042008400624E-3</v>
      </c>
      <c r="D27" s="54">
        <f>C27*'Расчет субсидий'!E27</f>
        <v>5.0210042008400624E-2</v>
      </c>
      <c r="E27" s="55">
        <f t="shared" si="6"/>
        <v>2.2113815899158884</v>
      </c>
      <c r="F27" s="60">
        <f>'Расчет субсидий'!H27-1</f>
        <v>2.8248587570620654E-3</v>
      </c>
      <c r="G27" s="60">
        <f>F27*'Расчет субсидий'!I27</f>
        <v>1.4124293785310327E-2</v>
      </c>
      <c r="H27" s="55">
        <f t="shared" si="3"/>
        <v>0.62207084475597263</v>
      </c>
      <c r="I27" s="54">
        <f>'Расчет субсидий'!L27-1</f>
        <v>-0.14473684210526316</v>
      </c>
      <c r="J27" s="54">
        <f>I27*'Расчет субсидий'!M27</f>
        <v>-2.1710526315789473</v>
      </c>
      <c r="K27" s="55">
        <f t="shared" si="7"/>
        <v>-95.618836953151089</v>
      </c>
      <c r="L27" s="54">
        <f>'Расчет субсидий'!P27-1</f>
        <v>-0.17060244962301518</v>
      </c>
      <c r="M27" s="54">
        <f>L27*'Расчет субсидий'!Q27</f>
        <v>-3.4120489924603037</v>
      </c>
      <c r="N27" s="55">
        <f t="shared" si="8"/>
        <v>-150.27556289547343</v>
      </c>
      <c r="O27" s="54">
        <f>'Расчет субсидий'!T27-1</f>
        <v>2.017543859649118E-2</v>
      </c>
      <c r="P27" s="54">
        <f>O27*'Расчет субсидий'!U27</f>
        <v>0.1008771929824559</v>
      </c>
      <c r="Q27" s="55">
        <f t="shared" si="9"/>
        <v>4.442895454388827</v>
      </c>
      <c r="R27" s="54">
        <f>'Расчет субсидий'!X27-1</f>
        <v>0.14090909090909087</v>
      </c>
      <c r="S27" s="54">
        <f>R27*'Расчет субсидий'!Y27</f>
        <v>1.4090909090909087</v>
      </c>
      <c r="T27" s="55">
        <f t="shared" si="10"/>
        <v>62.060049548656721</v>
      </c>
      <c r="U27" s="60">
        <f>'Расчет субсидий'!AB27-1</f>
        <v>-9.4593075539568305E-2</v>
      </c>
      <c r="V27" s="60">
        <f>U27*'Расчет субсидий'!AC27</f>
        <v>-0.47296537769784153</v>
      </c>
      <c r="W27" s="55">
        <f t="shared" si="4"/>
        <v>-20.830632420774137</v>
      </c>
      <c r="X27" s="71">
        <f>'Расчет субсидий'!AF27-1</f>
        <v>-7.5999999999999956E-2</v>
      </c>
      <c r="Y27" s="71">
        <f>X27*'Расчет субсидий'!AG27</f>
        <v>-1.5199999999999991</v>
      </c>
      <c r="Z27" s="55">
        <f t="shared" si="11"/>
        <v>-66.944776029260638</v>
      </c>
      <c r="AA27" s="71">
        <f>'Расчет субсидий'!AJ27-1</f>
        <v>-9.6177980604677638E-2</v>
      </c>
      <c r="AB27" s="71">
        <f>AA27*'Расчет субсидий'!AK27</f>
        <v>-0.96177980604677638</v>
      </c>
      <c r="AC27" s="55">
        <f t="shared" si="12"/>
        <v>-42.359298490307388</v>
      </c>
      <c r="AD27" s="71">
        <f>'Расчет субсидий'!AN27-1</f>
        <v>-0.22047244094488194</v>
      </c>
      <c r="AE27" s="71">
        <f>AD27*'Расчет субсидий'!AO27</f>
        <v>-3.3070866141732291</v>
      </c>
      <c r="AF27" s="55">
        <f t="shared" si="13"/>
        <v>-145.65274519420583</v>
      </c>
      <c r="AG27" s="54">
        <f t="shared" si="14"/>
        <v>-10.270630984090023</v>
      </c>
    </row>
    <row r="28" spans="1:33" ht="15" customHeight="1">
      <c r="A28" s="30" t="s">
        <v>30</v>
      </c>
      <c r="B28" s="52">
        <f>'Расчет субсидий'!AT28</f>
        <v>577.15454545454668</v>
      </c>
      <c r="C28" s="54">
        <f>'Расчет субсидий'!D28-1</f>
        <v>-9.7738451350251054E-3</v>
      </c>
      <c r="D28" s="54">
        <f>C28*'Расчет субсидий'!E28</f>
        <v>-9.7738451350251054E-2</v>
      </c>
      <c r="E28" s="55">
        <f t="shared" si="6"/>
        <v>-12.689390613787086</v>
      </c>
      <c r="F28" s="60">
        <f>'Расчет субсидий'!H28-1</f>
        <v>3.7500000000000089E-2</v>
      </c>
      <c r="G28" s="60">
        <f>F28*'Расчет субсидий'!I28</f>
        <v>0.18750000000000044</v>
      </c>
      <c r="H28" s="55">
        <f t="shared" si="3"/>
        <v>24.34313933989883</v>
      </c>
      <c r="I28" s="54">
        <f>'Расчет субсидий'!L28-1</f>
        <v>3.3653846153846256E-2</v>
      </c>
      <c r="J28" s="54">
        <f>I28*'Расчет субсидий'!M28</f>
        <v>0.33653846153846256</v>
      </c>
      <c r="K28" s="55">
        <f t="shared" si="7"/>
        <v>43.692814199818443</v>
      </c>
      <c r="L28" s="54">
        <f>'Расчет субсидий'!P28-1</f>
        <v>2.5287663901525148E-2</v>
      </c>
      <c r="M28" s="54">
        <f>L28*'Расчет субсидий'!Q28</f>
        <v>0.50575327803050296</v>
      </c>
      <c r="N28" s="55">
        <f t="shared" si="8"/>
        <v>65.661986766437849</v>
      </c>
      <c r="O28" s="54">
        <f>'Расчет субсидий'!T28-1</f>
        <v>0.21281300232184308</v>
      </c>
      <c r="P28" s="54">
        <f>O28*'Расчет субсидий'!U28</f>
        <v>2.1281300232184308</v>
      </c>
      <c r="Q28" s="55">
        <f t="shared" si="9"/>
        <v>276.29528367268415</v>
      </c>
      <c r="R28" s="54">
        <f>'Расчет субсидий'!X28-1</f>
        <v>0.20271079405917436</v>
      </c>
      <c r="S28" s="54">
        <f>R28*'Расчет субсидий'!Y28</f>
        <v>2.0271079405917436</v>
      </c>
      <c r="T28" s="55">
        <f t="shared" si="10"/>
        <v>263.17957895914697</v>
      </c>
      <c r="U28" s="60">
        <f>'Расчет субсидий'!AB28-1</f>
        <v>6.35994587280031E-4</v>
      </c>
      <c r="V28" s="60">
        <f>U28*'Расчет субсидий'!AC28</f>
        <v>3.179972936400155E-3</v>
      </c>
      <c r="W28" s="55">
        <f t="shared" si="4"/>
        <v>0.41285612953544548</v>
      </c>
      <c r="X28" s="71">
        <f>'Расчет субсидий'!AF28-1</f>
        <v>0.14138082673702734</v>
      </c>
      <c r="Y28" s="71">
        <f>X28*'Расчет субсидий'!AG28</f>
        <v>2.1207124010554104</v>
      </c>
      <c r="Z28" s="55">
        <f t="shared" si="11"/>
        <v>275.33225321996343</v>
      </c>
      <c r="AA28" s="71">
        <f>'Расчет субсидий'!AJ28-1</f>
        <v>0.16627779000660348</v>
      </c>
      <c r="AB28" s="71">
        <f>AA28*'Расчет субсидий'!AK28</f>
        <v>1.6627779000660348</v>
      </c>
      <c r="AC28" s="55">
        <f t="shared" si="12"/>
        <v>215.87858193392938</v>
      </c>
      <c r="AD28" s="71">
        <f>'Расчет субсидий'!AN28-1</f>
        <v>-0.44285004965243291</v>
      </c>
      <c r="AE28" s="71">
        <f>AD28*'Расчет субсидий'!AO28</f>
        <v>-4.4285004965243289</v>
      </c>
      <c r="AF28" s="55">
        <f t="shared" si="13"/>
        <v>-574.95255815308076</v>
      </c>
      <c r="AG28" s="54">
        <f t="shared" si="14"/>
        <v>4.4454610295624057</v>
      </c>
    </row>
    <row r="29" spans="1:33" ht="15" customHeight="1">
      <c r="A29" s="30" t="s">
        <v>31</v>
      </c>
      <c r="B29" s="52">
        <f>'Расчет субсидий'!AT29</f>
        <v>4945.1999999999971</v>
      </c>
      <c r="C29" s="54">
        <f>'Расчет субсидий'!D29-1</f>
        <v>0.20492455553635502</v>
      </c>
      <c r="D29" s="54">
        <f>C29*'Расчет субсидий'!E29</f>
        <v>2.0492455553635502</v>
      </c>
      <c r="E29" s="55">
        <f t="shared" si="6"/>
        <v>651.13384263255671</v>
      </c>
      <c r="F29" s="60">
        <f>'Расчет субсидий'!H29-1</f>
        <v>1.6022620169651391E-2</v>
      </c>
      <c r="G29" s="60">
        <f>F29*'Расчет субсидий'!I29</f>
        <v>8.0113100848256957E-2</v>
      </c>
      <c r="H29" s="55">
        <f t="shared" si="3"/>
        <v>25.455393114799648</v>
      </c>
      <c r="I29" s="54">
        <f>'Расчет субсидий'!L29-1</f>
        <v>9.3023255813953432E-2</v>
      </c>
      <c r="J29" s="54">
        <f>I29*'Расчет субсидий'!M29</f>
        <v>0.46511627906976716</v>
      </c>
      <c r="K29" s="55">
        <f t="shared" si="7"/>
        <v>147.78753540247448</v>
      </c>
      <c r="L29" s="54">
        <f>'Расчет субсидий'!P29-1</f>
        <v>0.20727596810385918</v>
      </c>
      <c r="M29" s="54">
        <f>L29*'Расчет субсидий'!Q29</f>
        <v>4.1455193620771835</v>
      </c>
      <c r="N29" s="55">
        <f t="shared" si="8"/>
        <v>1317.2105923919448</v>
      </c>
      <c r="O29" s="54">
        <f>'Расчет субсидий'!T29-1</f>
        <v>9.6692111959288951E-3</v>
      </c>
      <c r="P29" s="54">
        <f>O29*'Расчет субсидий'!U29</f>
        <v>4.8346055979644476E-2</v>
      </c>
      <c r="Q29" s="55">
        <f t="shared" si="9"/>
        <v>15.361630588272707</v>
      </c>
      <c r="R29" s="54">
        <f>'Расчет субсидий'!X29-1</f>
        <v>0.22968433416532075</v>
      </c>
      <c r="S29" s="54">
        <f>R29*'Расчет субсидий'!Y29</f>
        <v>3.445265012479811</v>
      </c>
      <c r="T29" s="55">
        <f t="shared" si="10"/>
        <v>1094.7095337559492</v>
      </c>
      <c r="U29" s="60">
        <f>'Расчет субсидий'!AB29-1</f>
        <v>-4.0585874032304292E-2</v>
      </c>
      <c r="V29" s="60">
        <f>U29*'Расчет субсидий'!AC29</f>
        <v>-0.20292937016152146</v>
      </c>
      <c r="W29" s="55">
        <f t="shared" si="4"/>
        <v>-64.479427675437591</v>
      </c>
      <c r="X29" s="71">
        <f>'Расчет субсидий'!AF29-1</f>
        <v>1.8927444794952786E-2</v>
      </c>
      <c r="Y29" s="71">
        <f>X29*'Расчет субсидий'!AG29</f>
        <v>0.18927444794952786</v>
      </c>
      <c r="Z29" s="55">
        <f t="shared" si="11"/>
        <v>60.140668980818056</v>
      </c>
      <c r="AA29" s="71">
        <f>'Расчет субсидий'!AJ29-1</f>
        <v>0.12190060076460951</v>
      </c>
      <c r="AB29" s="71">
        <f>AA29*'Расчет субсидий'!AK29</f>
        <v>1.2190060076460951</v>
      </c>
      <c r="AC29" s="55">
        <f t="shared" si="12"/>
        <v>387.33087104827689</v>
      </c>
      <c r="AD29" s="71">
        <f>'Расчет субсидий'!AN29-1</f>
        <v>0.20622775800711746</v>
      </c>
      <c r="AE29" s="71">
        <f>AD29*'Расчет субсидий'!AO29</f>
        <v>4.1245551601423491</v>
      </c>
      <c r="AF29" s="55">
        <f t="shared" si="13"/>
        <v>1310.5493597603427</v>
      </c>
      <c r="AG29" s="54">
        <f t="shared" si="14"/>
        <v>15.563511611394663</v>
      </c>
    </row>
    <row r="30" spans="1:33" ht="15" customHeight="1">
      <c r="A30" s="30" t="s">
        <v>32</v>
      </c>
      <c r="B30" s="52">
        <f>'Расчет субсидий'!AT30</f>
        <v>-138.63636363636397</v>
      </c>
      <c r="C30" s="54">
        <f>'Расчет субсидий'!D30-1</f>
        <v>3.7139330350253186E-3</v>
      </c>
      <c r="D30" s="54">
        <f>C30*'Расчет субсидий'!E30</f>
        <v>3.7139330350253186E-2</v>
      </c>
      <c r="E30" s="55">
        <f t="shared" si="6"/>
        <v>1.9189473841881652</v>
      </c>
      <c r="F30" s="60">
        <f>'Расчет субсидий'!H30-1</f>
        <v>-6.3636363636363602E-2</v>
      </c>
      <c r="G30" s="60">
        <f>F30*'Расчет субсидий'!I30</f>
        <v>-0.31818181818181801</v>
      </c>
      <c r="H30" s="55">
        <f t="shared" si="3"/>
        <v>-16.440096305938692</v>
      </c>
      <c r="I30" s="54">
        <f>'Расчет субсидий'!L30-1</f>
        <v>6.9364161849710948E-2</v>
      </c>
      <c r="J30" s="54">
        <f>I30*'Расчет субсидий'!M30</f>
        <v>0.69364161849710948</v>
      </c>
      <c r="K30" s="55">
        <f t="shared" si="7"/>
        <v>35.839681459684677</v>
      </c>
      <c r="L30" s="54">
        <f>'Расчет субсидий'!P30-1</f>
        <v>-6.6999447638141585E-2</v>
      </c>
      <c r="M30" s="54">
        <f>L30*'Расчет субсидий'!Q30</f>
        <v>-1.3399889527628317</v>
      </c>
      <c r="N30" s="55">
        <f t="shared" si="8"/>
        <v>-69.23572050156109</v>
      </c>
      <c r="O30" s="54">
        <f>'Расчет субсидий'!T30-1</f>
        <v>-4.4610875936177297E-2</v>
      </c>
      <c r="P30" s="54">
        <f>O30*'Расчет субсидий'!U30</f>
        <v>-0.44610875936177297</v>
      </c>
      <c r="Q30" s="55">
        <f t="shared" si="9"/>
        <v>-23.049937324324048</v>
      </c>
      <c r="R30" s="54">
        <f>'Расчет субсидий'!X30-1</f>
        <v>5.6426332288401326E-2</v>
      </c>
      <c r="S30" s="54">
        <f>R30*'Расчет субсидий'!Y30</f>
        <v>0.56426332288401326</v>
      </c>
      <c r="T30" s="55">
        <f t="shared" si="10"/>
        <v>29.154850591812508</v>
      </c>
      <c r="U30" s="60">
        <f>'Расчет субсидий'!AB30-1</f>
        <v>-6.3029880218987588E-2</v>
      </c>
      <c r="V30" s="60">
        <f>U30*'Расчет субсидий'!AC30</f>
        <v>-0.31514940109493794</v>
      </c>
      <c r="W30" s="55">
        <f t="shared" si="4"/>
        <v>-16.283414729244715</v>
      </c>
      <c r="X30" s="71">
        <f>'Расчет субсидий'!AF30-1</f>
        <v>-1.3488657265481319E-2</v>
      </c>
      <c r="Y30" s="71">
        <f>X30*'Расчет субсидий'!AG30</f>
        <v>-0.26977314530962637</v>
      </c>
      <c r="Z30" s="55">
        <f t="shared" si="11"/>
        <v>-13.938874681745363</v>
      </c>
      <c r="AA30" s="71">
        <f>'Расчет субсидий'!AJ30-1</f>
        <v>-9.2455418381344301E-2</v>
      </c>
      <c r="AB30" s="71">
        <f>AA30*'Расчет субсидий'!AK30</f>
        <v>-0.92455418381344301</v>
      </c>
      <c r="AC30" s="55">
        <f t="shared" si="12"/>
        <v>-47.770673726133452</v>
      </c>
      <c r="AD30" s="71">
        <f>'Расчет субсидий'!AN30-1</f>
        <v>-3.6445783132530218E-2</v>
      </c>
      <c r="AE30" s="71">
        <f>AD30*'Расчет субсидий'!AO30</f>
        <v>-0.36445783132530218</v>
      </c>
      <c r="AF30" s="55">
        <f t="shared" si="13"/>
        <v>-18.831125803101948</v>
      </c>
      <c r="AG30" s="54">
        <f t="shared" si="14"/>
        <v>-2.6831698201183563</v>
      </c>
    </row>
    <row r="31" spans="1:33" ht="15" customHeight="1">
      <c r="A31" s="30" t="s">
        <v>33</v>
      </c>
      <c r="B31" s="52">
        <f>'Расчет субсидий'!AT31</f>
        <v>122</v>
      </c>
      <c r="C31" s="54">
        <f>'Расчет субсидий'!D31-1</f>
        <v>3.8939183521459642E-2</v>
      </c>
      <c r="D31" s="54">
        <f>C31*'Расчет субсидий'!E31</f>
        <v>0.38939183521459642</v>
      </c>
      <c r="E31" s="55">
        <f t="shared" si="6"/>
        <v>45.67664386521421</v>
      </c>
      <c r="F31" s="60">
        <f>'Расчет субсидий'!H31-1</f>
        <v>-1.5009380863039379E-2</v>
      </c>
      <c r="G31" s="60">
        <f>F31*'Расчет субсидий'!I31</f>
        <v>-7.5046904315196894E-2</v>
      </c>
      <c r="H31" s="55">
        <f t="shared" si="3"/>
        <v>-8.8031910574162993</v>
      </c>
      <c r="I31" s="54">
        <f>'Расчет субсидий'!L31-1</f>
        <v>5.504587155963292E-2</v>
      </c>
      <c r="J31" s="54">
        <f>I31*'Расчет субсидий'!M31</f>
        <v>0.5504587155963292</v>
      </c>
      <c r="K31" s="55">
        <f t="shared" si="7"/>
        <v>64.570194957837856</v>
      </c>
      <c r="L31" s="54">
        <f>'Расчет субсидий'!P31-1</f>
        <v>-0.15492710217412009</v>
      </c>
      <c r="M31" s="54">
        <f>L31*'Расчет субсидий'!Q31</f>
        <v>-3.0985420434824018</v>
      </c>
      <c r="N31" s="55">
        <f t="shared" si="8"/>
        <v>-363.46679262943479</v>
      </c>
      <c r="O31" s="54">
        <f>'Расчет субсидий'!T31-1</f>
        <v>5.0038333759264031E-2</v>
      </c>
      <c r="P31" s="54">
        <f>O31*'Расчет субсидий'!U31</f>
        <v>0.50038333759264031</v>
      </c>
      <c r="Q31" s="55">
        <f t="shared" si="9"/>
        <v>58.696226885985645</v>
      </c>
      <c r="R31" s="54">
        <f>'Расчет субсидий'!X31-1</f>
        <v>0.15847457627118633</v>
      </c>
      <c r="S31" s="54">
        <f>R31*'Расчет субсидий'!Y31</f>
        <v>0.79237288135593165</v>
      </c>
      <c r="T31" s="55">
        <f t="shared" si="10"/>
        <v>92.947336428362348</v>
      </c>
      <c r="U31" s="60">
        <f>'Расчет субсидий'!AB31-1</f>
        <v>9.7218565273875512E-3</v>
      </c>
      <c r="V31" s="60">
        <f>U31*'Расчет субсидий'!AC31</f>
        <v>4.8609282636937756E-2</v>
      </c>
      <c r="W31" s="55">
        <f t="shared" si="4"/>
        <v>5.7019913895403578</v>
      </c>
      <c r="X31" s="71">
        <f>'Расчет субсидий'!AF31-1</f>
        <v>3.3123028391167209E-2</v>
      </c>
      <c r="Y31" s="71">
        <f>X31*'Расчет субсидий'!AG31</f>
        <v>0.33123028391167209</v>
      </c>
      <c r="Z31" s="55">
        <f t="shared" si="11"/>
        <v>38.85414728141199</v>
      </c>
      <c r="AA31" s="71">
        <f>'Расчет субсидий'!AJ31-1</f>
        <v>2.6676923076923043E-2</v>
      </c>
      <c r="AB31" s="71">
        <f>AA31*'Расчет субсидий'!AK31</f>
        <v>0.53353846153846085</v>
      </c>
      <c r="AC31" s="55">
        <f t="shared" si="12"/>
        <v>62.585406503595443</v>
      </c>
      <c r="AD31" s="71">
        <f>'Расчет субсидий'!AN31-1</f>
        <v>0.21353</v>
      </c>
      <c r="AE31" s="71">
        <f>AD31*'Расчет субсидий'!AO31</f>
        <v>1.06765</v>
      </c>
      <c r="AF31" s="55">
        <f t="shared" si="13"/>
        <v>125.23803637490323</v>
      </c>
      <c r="AG31" s="54">
        <f t="shared" si="14"/>
        <v>1.0400458500489695</v>
      </c>
    </row>
    <row r="32" spans="1:33" ht="15" customHeight="1">
      <c r="A32" s="30" t="s">
        <v>34</v>
      </c>
      <c r="B32" s="52">
        <f>'Расчет субсидий'!AT32</f>
        <v>549.40909090909008</v>
      </c>
      <c r="C32" s="54">
        <f>'Расчет субсидий'!D32-1</f>
        <v>5.7843996494303163E-2</v>
      </c>
      <c r="D32" s="54">
        <f>C32*'Расчет субсидий'!E32</f>
        <v>0.57843996494303163</v>
      </c>
      <c r="E32" s="55">
        <f t="shared" si="6"/>
        <v>47.302805192260195</v>
      </c>
      <c r="F32" s="60">
        <f>'Расчет субсидий'!H32-1</f>
        <v>-2.6827012025901875E-2</v>
      </c>
      <c r="G32" s="60">
        <f>F32*'Расчет субсидий'!I32</f>
        <v>-0.13413506012950938</v>
      </c>
      <c r="H32" s="55">
        <f t="shared" si="3"/>
        <v>-10.969097924247302</v>
      </c>
      <c r="I32" s="54">
        <f>'Расчет субсидий'!L32-1</f>
        <v>8.5858585858585856E-2</v>
      </c>
      <c r="J32" s="54">
        <f>I32*'Расчет субсидий'!M32</f>
        <v>1.2878787878787878</v>
      </c>
      <c r="K32" s="55">
        <f t="shared" si="7"/>
        <v>105.31824062376862</v>
      </c>
      <c r="L32" s="54">
        <f>'Расчет субсидий'!P32-1</f>
        <v>0.22813471875467073</v>
      </c>
      <c r="M32" s="54">
        <f>L32*'Расчет субсидий'!Q32</f>
        <v>4.5626943750934146</v>
      </c>
      <c r="N32" s="55">
        <f t="shared" si="8"/>
        <v>373.1212507042477</v>
      </c>
      <c r="O32" s="54">
        <f>'Расчет субсидий'!T32-1</f>
        <v>5.7836084073916716E-3</v>
      </c>
      <c r="P32" s="54">
        <f>O32*'Расчет субсидий'!U32</f>
        <v>5.7836084073916716E-2</v>
      </c>
      <c r="Q32" s="55">
        <f t="shared" si="9"/>
        <v>4.7296334690517181</v>
      </c>
      <c r="R32" s="54">
        <f>'Расчет субсидий'!X32-1</f>
        <v>0.10734463276836181</v>
      </c>
      <c r="S32" s="54">
        <f>R32*'Расчет субсидий'!Y32</f>
        <v>1.0734463276836181</v>
      </c>
      <c r="T32" s="55">
        <f t="shared" si="10"/>
        <v>87.782701058295885</v>
      </c>
      <c r="U32" s="60">
        <f>'Расчет субсидий'!AB32-1</f>
        <v>-7.5191686724215723E-2</v>
      </c>
      <c r="V32" s="60">
        <f>U32*'Расчет субсидий'!AC32</f>
        <v>-0.37595843362107861</v>
      </c>
      <c r="W32" s="55">
        <f t="shared" si="4"/>
        <v>-30.744570955979217</v>
      </c>
      <c r="X32" s="71">
        <f>'Расчет субсидий'!AF32-1</f>
        <v>-5.500868558193428E-3</v>
      </c>
      <c r="Y32" s="71">
        <f>X32*'Расчет субсидий'!AG32</f>
        <v>-5.500868558193428E-2</v>
      </c>
      <c r="Z32" s="55">
        <f t="shared" si="11"/>
        <v>-4.4984186703295945</v>
      </c>
      <c r="AA32" s="71">
        <f>'Расчет субсидий'!AJ32-1</f>
        <v>-8.6965740768788158E-2</v>
      </c>
      <c r="AB32" s="71">
        <f>AA32*'Расчет субсидий'!AK32</f>
        <v>-0.86965740768788158</v>
      </c>
      <c r="AC32" s="55">
        <f t="shared" si="12"/>
        <v>-71.117553130889419</v>
      </c>
      <c r="AD32" s="71">
        <f>'Расчет субсидий'!AN32-1</f>
        <v>5.9288537549407216E-2</v>
      </c>
      <c r="AE32" s="71">
        <f>AD32*'Расчет субсидий'!AO32</f>
        <v>0.59288537549407216</v>
      </c>
      <c r="AF32" s="55">
        <f t="shared" si="13"/>
        <v>48.484100542911477</v>
      </c>
      <c r="AG32" s="54">
        <f t="shared" si="14"/>
        <v>6.7184213281464373</v>
      </c>
    </row>
    <row r="33" spans="1:33" ht="15" customHeight="1">
      <c r="A33" s="30" t="s">
        <v>1</v>
      </c>
      <c r="B33" s="52">
        <f>'Расчет субсидий'!AT33</f>
        <v>-1389.8181818181802</v>
      </c>
      <c r="C33" s="54">
        <f>'Расчет субсидий'!D33-1</f>
        <v>-4.0052667619196569E-2</v>
      </c>
      <c r="D33" s="54">
        <f>C33*'Расчет субсидий'!E33</f>
        <v>-0.40052667619196569</v>
      </c>
      <c r="E33" s="55">
        <f t="shared" si="6"/>
        <v>-76.722175953889575</v>
      </c>
      <c r="F33" s="60">
        <f>'Расчет субсидий'!H33-1</f>
        <v>-3.1569173630454972E-2</v>
      </c>
      <c r="G33" s="60">
        <f>F33*'Расчет субсидий'!I33</f>
        <v>-0.15784586815227486</v>
      </c>
      <c r="H33" s="55">
        <f t="shared" si="3"/>
        <v>-30.235884873168935</v>
      </c>
      <c r="I33" s="54">
        <f>'Расчет субсидий'!L33-1</f>
        <v>3.7735849056603765E-2</v>
      </c>
      <c r="J33" s="54">
        <f>I33*'Расчет субсидий'!M33</f>
        <v>0.37735849056603765</v>
      </c>
      <c r="K33" s="55">
        <f t="shared" si="7"/>
        <v>72.284235312770107</v>
      </c>
      <c r="L33" s="54">
        <f>'Расчет субсидий'!P33-1</f>
        <v>-4.2697467188653526E-2</v>
      </c>
      <c r="M33" s="54">
        <f>L33*'Расчет субсидий'!Q33</f>
        <v>-0.85394934377307052</v>
      </c>
      <c r="N33" s="55">
        <f t="shared" si="8"/>
        <v>-163.57674957276737</v>
      </c>
      <c r="O33" s="54">
        <f>'Расчет субсидий'!T33-1</f>
        <v>-8.1949950445986186E-2</v>
      </c>
      <c r="P33" s="54">
        <f>O33*'Расчет субсидий'!U33</f>
        <v>-0.40974975222993093</v>
      </c>
      <c r="Q33" s="55">
        <f t="shared" si="9"/>
        <v>-78.488885900274582</v>
      </c>
      <c r="R33" s="54">
        <f>'Расчет субсидий'!X33-1</f>
        <v>-0.17523941159048273</v>
      </c>
      <c r="S33" s="54">
        <f>R33*'Расчет субсидий'!Y33</f>
        <v>-1.7523941159048273</v>
      </c>
      <c r="T33" s="55">
        <f t="shared" si="10"/>
        <v>-335.6767418821625</v>
      </c>
      <c r="U33" s="60">
        <f>'Расчет субсидий'!AB33-1</f>
        <v>-5.1026592927518433E-2</v>
      </c>
      <c r="V33" s="60">
        <f>U33*'Расчет субсидий'!AC33</f>
        <v>-0.25513296463759216</v>
      </c>
      <c r="W33" s="55">
        <f t="shared" si="4"/>
        <v>-48.87154181755718</v>
      </c>
      <c r="X33" s="71">
        <f>'Расчет субсидий'!AF33-1</f>
        <v>-7.6213397513036352E-3</v>
      </c>
      <c r="Y33" s="71">
        <f>X33*'Расчет субсидий'!AG33</f>
        <v>-7.6213397513036352E-2</v>
      </c>
      <c r="Z33" s="55">
        <f t="shared" si="11"/>
        <v>-14.598921973517724</v>
      </c>
      <c r="AA33" s="71">
        <f>'Расчет субсидий'!AJ33-1</f>
        <v>-0.1041403685937895</v>
      </c>
      <c r="AB33" s="71">
        <f>AA33*'Расчет субсидий'!AK33</f>
        <v>-1.5621055289068426</v>
      </c>
      <c r="AC33" s="55">
        <f t="shared" si="12"/>
        <v>-299.22634963243581</v>
      </c>
      <c r="AD33" s="71">
        <f>'Расчет субсидий'!AN33-1</f>
        <v>-0.21649605147703999</v>
      </c>
      <c r="AE33" s="71">
        <f>AD33*'Расчет субсидий'!AO33</f>
        <v>-2.1649605147703999</v>
      </c>
      <c r="AF33" s="55">
        <f t="shared" si="13"/>
        <v>-414.70516552517671</v>
      </c>
      <c r="AG33" s="54">
        <f t="shared" si="14"/>
        <v>-7.2555196715139019</v>
      </c>
    </row>
    <row r="34" spans="1:33" ht="15" customHeight="1">
      <c r="A34" s="30" t="s">
        <v>35</v>
      </c>
      <c r="B34" s="52">
        <f>'Расчет субсидий'!AT34</f>
        <v>-153.55454545454631</v>
      </c>
      <c r="C34" s="54">
        <f>'Расчет субсидий'!D34-1</f>
        <v>0.20181386710210147</v>
      </c>
      <c r="D34" s="54">
        <f>C34*'Расчет субсидий'!E34</f>
        <v>2.0181386710210147</v>
      </c>
      <c r="E34" s="55">
        <f t="shared" si="6"/>
        <v>177.88619171712918</v>
      </c>
      <c r="F34" s="60">
        <f>'Расчет субсидий'!H34-1</f>
        <v>-1.1246485473289658E-2</v>
      </c>
      <c r="G34" s="60">
        <f>F34*'Расчет субсидий'!I34</f>
        <v>-5.623242736644829E-2</v>
      </c>
      <c r="H34" s="55">
        <f t="shared" si="3"/>
        <v>-4.9565337104247993</v>
      </c>
      <c r="I34" s="54">
        <f>'Расчет субсидий'!L34-1</f>
        <v>2.3622047244094446E-2</v>
      </c>
      <c r="J34" s="54">
        <f>I34*'Расчет субсидий'!M34</f>
        <v>0.23622047244094446</v>
      </c>
      <c r="K34" s="55">
        <f t="shared" si="7"/>
        <v>20.821344366233156</v>
      </c>
      <c r="L34" s="54">
        <f>'Расчет субсидий'!P34-1</f>
        <v>-8.8771507571038466E-2</v>
      </c>
      <c r="M34" s="54">
        <f>L34*'Расчет субсидий'!Q34</f>
        <v>-1.7754301514207693</v>
      </c>
      <c r="N34" s="55">
        <f t="shared" si="8"/>
        <v>-156.49296692591744</v>
      </c>
      <c r="O34" s="54">
        <f>'Расчет субсидий'!T34-1</f>
        <v>-2.7627627627627604E-2</v>
      </c>
      <c r="P34" s="54">
        <f>O34*'Расчет субсидий'!U34</f>
        <v>-0.13813813813813802</v>
      </c>
      <c r="Q34" s="55">
        <f t="shared" si="9"/>
        <v>-12.176005384137559</v>
      </c>
      <c r="R34" s="54">
        <f>'Расчет субсидий'!X34-1</f>
        <v>-9.5412844036697253E-2</v>
      </c>
      <c r="S34" s="54">
        <f>R34*'Расчет субсидий'!Y34</f>
        <v>-0.47706422018348627</v>
      </c>
      <c r="T34" s="55">
        <f t="shared" si="10"/>
        <v>-42.050201282753527</v>
      </c>
      <c r="U34" s="60">
        <f>'Расчет субсидий'!AB34-1</f>
        <v>-1.1597479022568136E-3</v>
      </c>
      <c r="V34" s="60">
        <f>U34*'Расчет субсидий'!AC34</f>
        <v>-5.7987395112840678E-3</v>
      </c>
      <c r="W34" s="55">
        <f t="shared" si="4"/>
        <v>-0.51112230454416996</v>
      </c>
      <c r="X34" s="71">
        <f>'Расчет субсидий'!AF34-1</f>
        <v>1.1394465545306653E-2</v>
      </c>
      <c r="Y34" s="71">
        <f>X34*'Расчет субсидий'!AG34</f>
        <v>0.1709169831795998</v>
      </c>
      <c r="Z34" s="55">
        <f t="shared" si="11"/>
        <v>15.065253777738567</v>
      </c>
      <c r="AA34" s="71">
        <f>'Расчет субсидий'!AJ34-1</f>
        <v>4.0000000000000036E-2</v>
      </c>
      <c r="AB34" s="71">
        <f>AA34*'Расчет субсидий'!AK34</f>
        <v>0.40000000000000036</v>
      </c>
      <c r="AC34" s="55">
        <f t="shared" si="12"/>
        <v>35.257476460154905</v>
      </c>
      <c r="AD34" s="71">
        <f>'Расчет субсидий'!AN34-1</f>
        <v>-0.21147058823529408</v>
      </c>
      <c r="AE34" s="71">
        <f>AD34*'Расчет субсидий'!AO34</f>
        <v>-2.1147058823529408</v>
      </c>
      <c r="AF34" s="55">
        <f t="shared" si="13"/>
        <v>-186.39798216802464</v>
      </c>
      <c r="AG34" s="54">
        <f t="shared" si="14"/>
        <v>-1.7420934323315072</v>
      </c>
    </row>
    <row r="35" spans="1:33" ht="15" customHeight="1">
      <c r="A35" s="30" t="s">
        <v>36</v>
      </c>
      <c r="B35" s="52">
        <f>'Расчет субсидий'!AT35</f>
        <v>12.118181818182165</v>
      </c>
      <c r="C35" s="54">
        <f>'Расчет субсидий'!D35-1</f>
        <v>3.8693985729946423E-2</v>
      </c>
      <c r="D35" s="54">
        <f>C35*'Расчет субсидий'!E35</f>
        <v>0.38693985729946423</v>
      </c>
      <c r="E35" s="55">
        <f t="shared" si="6"/>
        <v>25.509506063118209</v>
      </c>
      <c r="F35" s="60">
        <f>'Расчет субсидий'!H35-1</f>
        <v>2.0912547528517234E-2</v>
      </c>
      <c r="G35" s="60">
        <f>F35*'Расчет субсидий'!I35</f>
        <v>0.10456273764258617</v>
      </c>
      <c r="H35" s="55">
        <f t="shared" si="3"/>
        <v>6.8934325052108916</v>
      </c>
      <c r="I35" s="54">
        <f>'Расчет субсидий'!L35-1</f>
        <v>5.3459119496855445E-2</v>
      </c>
      <c r="J35" s="54">
        <f>I35*'Расчет субсидий'!M35</f>
        <v>0.80188679245283168</v>
      </c>
      <c r="K35" s="55">
        <f t="shared" si="7"/>
        <v>52.86541463258623</v>
      </c>
      <c r="L35" s="54">
        <f>'Расчет субсидий'!P35-1</f>
        <v>-0.21912434788351054</v>
      </c>
      <c r="M35" s="54">
        <f>L35*'Расчет субсидий'!Q35</f>
        <v>-4.3824869576702108</v>
      </c>
      <c r="N35" s="55">
        <f t="shared" si="8"/>
        <v>-288.9210700558645</v>
      </c>
      <c r="O35" s="54">
        <f>'Расчет субсидий'!T35-1</f>
        <v>0.14269230769230767</v>
      </c>
      <c r="P35" s="54">
        <f>O35*'Расчет субсидий'!U35</f>
        <v>1.4269230769230767</v>
      </c>
      <c r="Q35" s="55">
        <f t="shared" si="9"/>
        <v>94.071732843487865</v>
      </c>
      <c r="R35" s="54">
        <f>'Расчет субсидий'!X35-1</f>
        <v>0.21585365853658534</v>
      </c>
      <c r="S35" s="54">
        <f>R35*'Расчет субсидий'!Y35</f>
        <v>1.0792682926829267</v>
      </c>
      <c r="T35" s="55">
        <f t="shared" si="10"/>
        <v>71.152145576512254</v>
      </c>
      <c r="U35" s="60">
        <f>'Расчет субсидий'!AB35-1</f>
        <v>-0.10712378119665278</v>
      </c>
      <c r="V35" s="60">
        <f>U35*'Расчет субсидий'!AC35</f>
        <v>-0.53561890598326389</v>
      </c>
      <c r="W35" s="55">
        <f t="shared" si="4"/>
        <v>-35.311362920998661</v>
      </c>
      <c r="X35" s="71">
        <f>'Расчет субсидий'!AF35-1</f>
        <v>-2.3912003825921069E-3</v>
      </c>
      <c r="Y35" s="71">
        <f>X35*'Расчет субсидий'!AG35</f>
        <v>-4.7824007651842138E-2</v>
      </c>
      <c r="Z35" s="55">
        <f t="shared" si="11"/>
        <v>-3.1528590041658857</v>
      </c>
      <c r="AA35" s="71">
        <f>'Расчет субсидий'!AJ35-1</f>
        <v>0.1040208488458676</v>
      </c>
      <c r="AB35" s="71">
        <f>AA35*'Расчет субсидий'!AK35</f>
        <v>1.040208488458676</v>
      </c>
      <c r="AC35" s="55">
        <f t="shared" si="12"/>
        <v>68.577077917065651</v>
      </c>
      <c r="AD35" s="71">
        <f>'Расчет субсидий'!AN35-1</f>
        <v>6.1990950226244346E-2</v>
      </c>
      <c r="AE35" s="71">
        <f>AD35*'Расчет субсидий'!AO35</f>
        <v>0.30995475113122173</v>
      </c>
      <c r="AF35" s="55">
        <f t="shared" si="13"/>
        <v>20.434164261230126</v>
      </c>
      <c r="AG35" s="54">
        <f t="shared" si="14"/>
        <v>0.18381412528546615</v>
      </c>
    </row>
    <row r="36" spans="1:33" ht="15" customHeight="1">
      <c r="A36" s="30" t="s">
        <v>37</v>
      </c>
      <c r="B36" s="52">
        <f>'Расчет субсидий'!AT36</f>
        <v>592.19090909090664</v>
      </c>
      <c r="C36" s="54">
        <f>'Расчет субсидий'!D36-1</f>
        <v>3.3005707038681109E-2</v>
      </c>
      <c r="D36" s="54">
        <f>C36*'Расчет субсидий'!E36</f>
        <v>0.33005707038681109</v>
      </c>
      <c r="E36" s="55">
        <f t="shared" si="6"/>
        <v>53.203686680071378</v>
      </c>
      <c r="F36" s="60">
        <f>'Расчет субсидий'!H36-1</f>
        <v>2.8625954198473247E-2</v>
      </c>
      <c r="G36" s="60">
        <f>F36*'Расчет субсидий'!I36</f>
        <v>0.14312977099236623</v>
      </c>
      <c r="H36" s="55">
        <f t="shared" si="3"/>
        <v>23.071862940381095</v>
      </c>
      <c r="I36" s="54">
        <f>'Расчет субсидий'!L36-1</f>
        <v>-7.5342465753424626E-2</v>
      </c>
      <c r="J36" s="54">
        <f>I36*'Расчет субсидий'!M36</f>
        <v>-1.1301369863013693</v>
      </c>
      <c r="K36" s="55">
        <f t="shared" si="7"/>
        <v>-182.17290135391332</v>
      </c>
      <c r="L36" s="54">
        <f>'Расчет субсидий'!P36-1</f>
        <v>0.1511227529098631</v>
      </c>
      <c r="M36" s="54">
        <f>L36*'Расчет субсидий'!Q36</f>
        <v>3.022455058197262</v>
      </c>
      <c r="N36" s="55">
        <f t="shared" si="8"/>
        <v>487.20589967203972</v>
      </c>
      <c r="O36" s="54">
        <f>'Расчет субсидий'!T36-1</f>
        <v>1.9661803713527881E-2</v>
      </c>
      <c r="P36" s="54">
        <f>O36*'Расчет субсидий'!U36</f>
        <v>0.19661803713527881</v>
      </c>
      <c r="Q36" s="55">
        <f t="shared" si="9"/>
        <v>31.693926238684874</v>
      </c>
      <c r="R36" s="54">
        <f>'Расчет субсидий'!X36-1</f>
        <v>0.14291338582677171</v>
      </c>
      <c r="S36" s="54">
        <f>R36*'Расчет субсидий'!Y36</f>
        <v>1.4291338582677171</v>
      </c>
      <c r="T36" s="55">
        <f t="shared" si="10"/>
        <v>230.36982643652371</v>
      </c>
      <c r="U36" s="60">
        <f>'Расчет субсидий'!AB36-1</f>
        <v>-3.3433413617517393E-3</v>
      </c>
      <c r="V36" s="60">
        <f>U36*'Расчет субсидий'!AC36</f>
        <v>-1.6716706808758697E-2</v>
      </c>
      <c r="W36" s="55">
        <f t="shared" si="4"/>
        <v>-2.6946565038994335</v>
      </c>
      <c r="X36" s="71">
        <f>'Расчет субсидий'!AF36-1</f>
        <v>6.5150852645387003E-2</v>
      </c>
      <c r="Y36" s="71">
        <f>X36*'Расчет субсидий'!AG36</f>
        <v>0.97726278968080504</v>
      </c>
      <c r="Z36" s="55">
        <f t="shared" si="11"/>
        <v>157.53028167321361</v>
      </c>
      <c r="AA36" s="71">
        <f>'Расчет субсидий'!AJ36-1</f>
        <v>-7.3896843260010336E-2</v>
      </c>
      <c r="AB36" s="71">
        <f>AA36*'Расчет субсидий'!AK36</f>
        <v>-1.1084526489001552</v>
      </c>
      <c r="AC36" s="55">
        <f t="shared" si="12"/>
        <v>-178.67748557140311</v>
      </c>
      <c r="AD36" s="71">
        <f>'Расчет субсидий'!AN36-1</f>
        <v>-1.696048922650617E-2</v>
      </c>
      <c r="AE36" s="71">
        <f>AD36*'Расчет субсидий'!AO36</f>
        <v>-0.1696048922650617</v>
      </c>
      <c r="AF36" s="55">
        <f t="shared" si="13"/>
        <v>-27.33953112079184</v>
      </c>
      <c r="AG36" s="54">
        <f t="shared" si="14"/>
        <v>3.6737453503848956</v>
      </c>
    </row>
    <row r="37" spans="1:33" ht="15" customHeight="1">
      <c r="A37" s="30" t="s">
        <v>38</v>
      </c>
      <c r="B37" s="52">
        <f>'Расчет субсидий'!AT37</f>
        <v>122.0363636363636</v>
      </c>
      <c r="C37" s="54">
        <f>'Расчет субсидий'!D37-1</f>
        <v>-0.21356704892831269</v>
      </c>
      <c r="D37" s="54">
        <f>C37*'Расчет субсидий'!E37</f>
        <v>-2.1356704892831271</v>
      </c>
      <c r="E37" s="55">
        <f t="shared" si="6"/>
        <v>-180.41715740447734</v>
      </c>
      <c r="F37" s="60">
        <f>'Расчет субсидий'!H37-1</f>
        <v>-1.9589552238806096E-2</v>
      </c>
      <c r="G37" s="60">
        <f>F37*'Расчет субсидий'!I37</f>
        <v>-9.794776119403048E-2</v>
      </c>
      <c r="H37" s="55">
        <f t="shared" si="3"/>
        <v>-8.2744303193941064</v>
      </c>
      <c r="I37" s="54">
        <f>'Расчет субсидий'!L37-1</f>
        <v>9.1743119266054496E-3</v>
      </c>
      <c r="J37" s="54">
        <f>I37*'Расчет субсидий'!M37</f>
        <v>0.13761467889908174</v>
      </c>
      <c r="K37" s="55">
        <f t="shared" si="7"/>
        <v>11.625411929738364</v>
      </c>
      <c r="L37" s="54">
        <f>'Расчет субсидий'!P37-1</f>
        <v>5.8709900326660458E-2</v>
      </c>
      <c r="M37" s="54">
        <f>L37*'Расчет субсидий'!Q37</f>
        <v>1.1741980065332092</v>
      </c>
      <c r="N37" s="55">
        <f t="shared" si="8"/>
        <v>99.19389139465747</v>
      </c>
      <c r="O37" s="54">
        <f>'Расчет субсидий'!T37-1</f>
        <v>0.13542976939203366</v>
      </c>
      <c r="P37" s="54">
        <f>O37*'Расчет субсидий'!U37</f>
        <v>1.3542976939203366</v>
      </c>
      <c r="Q37" s="55">
        <f t="shared" si="9"/>
        <v>114.40835158918279</v>
      </c>
      <c r="R37" s="54">
        <f>'Расчет субсидий'!X37-1</f>
        <v>7.0129870129870042E-2</v>
      </c>
      <c r="S37" s="54">
        <f>R37*'Расчет субсидий'!Y37</f>
        <v>0.70129870129870042</v>
      </c>
      <c r="T37" s="55">
        <f t="shared" si="10"/>
        <v>59.244307028952669</v>
      </c>
      <c r="U37" s="60">
        <f>'Расчет субсидий'!AB37-1</f>
        <v>-7.7527410860744217E-2</v>
      </c>
      <c r="V37" s="60">
        <f>U37*'Расчет субсидий'!AC37</f>
        <v>-0.38763705430372108</v>
      </c>
      <c r="W37" s="55">
        <f t="shared" si="4"/>
        <v>-32.746800498047648</v>
      </c>
      <c r="X37" s="71">
        <f>'Расчет субсидий'!AF37-1</f>
        <v>9.0645161290322518E-2</v>
      </c>
      <c r="Y37" s="71">
        <f>X37*'Расчет субсидий'!AG37</f>
        <v>1.8129032258064504</v>
      </c>
      <c r="Z37" s="55">
        <f t="shared" si="11"/>
        <v>153.15042666492829</v>
      </c>
      <c r="AA37" s="71">
        <f>'Расчет субсидий'!AJ37-1</f>
        <v>-0.21097872340425528</v>
      </c>
      <c r="AB37" s="71">
        <f>AA37*'Расчет субсидий'!AK37</f>
        <v>-3.1646808510638289</v>
      </c>
      <c r="AC37" s="55">
        <f t="shared" si="12"/>
        <v>-267.3458879103448</v>
      </c>
      <c r="AD37" s="71">
        <f>'Расчет субсидий'!AN37-1</f>
        <v>0.20502173913043475</v>
      </c>
      <c r="AE37" s="71">
        <f>AD37*'Расчет субсидий'!AO37</f>
        <v>2.0502173913043475</v>
      </c>
      <c r="AF37" s="55">
        <f t="shared" si="13"/>
        <v>173.19825116116789</v>
      </c>
      <c r="AG37" s="54">
        <f t="shared" si="14"/>
        <v>1.4445935419174183</v>
      </c>
    </row>
    <row r="38" spans="1:33" ht="15" customHeight="1">
      <c r="A38" s="30" t="s">
        <v>39</v>
      </c>
      <c r="B38" s="52">
        <f>'Расчет субсидий'!AT38</f>
        <v>-130.43636363636415</v>
      </c>
      <c r="C38" s="54">
        <f>'Расчет субсидий'!D38-1</f>
        <v>-7.6227449848463857E-3</v>
      </c>
      <c r="D38" s="54">
        <f>C38*'Расчет субсидий'!E38</f>
        <v>-7.6227449848463857E-2</v>
      </c>
      <c r="E38" s="55">
        <f t="shared" si="6"/>
        <v>-6.432210453552659</v>
      </c>
      <c r="F38" s="60">
        <f>'Расчет субсидий'!H38-1</f>
        <v>1.7740429505135547E-2</v>
      </c>
      <c r="G38" s="60">
        <f>F38*'Расчет субсидий'!I38</f>
        <v>8.8702147525677733E-2</v>
      </c>
      <c r="H38" s="55">
        <f t="shared" si="3"/>
        <v>7.4848480659061734</v>
      </c>
      <c r="I38" s="54">
        <f>'Расчет субсидий'!L38-1</f>
        <v>-0.15742793791574283</v>
      </c>
      <c r="J38" s="54">
        <f>I38*'Расчет субсидий'!M38</f>
        <v>-1.5742793791574283</v>
      </c>
      <c r="K38" s="55">
        <f t="shared" si="7"/>
        <v>-132.84054890408831</v>
      </c>
      <c r="L38" s="54">
        <f>'Расчет субсидий'!P38-1</f>
        <v>6.4614596896783727E-3</v>
      </c>
      <c r="M38" s="54">
        <f>L38*'Расчет субсидий'!Q38</f>
        <v>0.12922919379356745</v>
      </c>
      <c r="N38" s="55">
        <f t="shared" si="8"/>
        <v>10.90459372411916</v>
      </c>
      <c r="O38" s="54">
        <f>'Расчет субсидий'!T38-1</f>
        <v>2.5913621262458442E-2</v>
      </c>
      <c r="P38" s="54">
        <f>O38*'Расчет субсидий'!U38</f>
        <v>0.12956810631229221</v>
      </c>
      <c r="Q38" s="55">
        <f t="shared" si="9"/>
        <v>10.933191777053041</v>
      </c>
      <c r="R38" s="54">
        <f>'Расчет субсидий'!X38-1</f>
        <v>2.5510204081632626E-2</v>
      </c>
      <c r="S38" s="54">
        <f>R38*'Расчет субсидий'!Y38</f>
        <v>0.12755102040816313</v>
      </c>
      <c r="T38" s="55">
        <f t="shared" si="10"/>
        <v>10.76298641056046</v>
      </c>
      <c r="U38" s="60">
        <f>'Расчет субсидий'!AB38-1</f>
        <v>2.952009431412006E-2</v>
      </c>
      <c r="V38" s="60">
        <f>U38*'Расчет субсидий'!AC38</f>
        <v>0.1476004715706003</v>
      </c>
      <c r="W38" s="55">
        <f t="shared" si="4"/>
        <v>12.454795458500437</v>
      </c>
      <c r="X38" s="71">
        <f>'Расчет субсидий'!AF38-1</f>
        <v>1.4875418371141702E-2</v>
      </c>
      <c r="Y38" s="71">
        <f>X38*'Расчет субсидий'!AG38</f>
        <v>0.22313127556712553</v>
      </c>
      <c r="Z38" s="55">
        <f t="shared" si="11"/>
        <v>18.828221671727967</v>
      </c>
      <c r="AA38" s="71">
        <f>'Расчет субсидий'!AJ38-1</f>
        <v>4.8858447488584478E-3</v>
      </c>
      <c r="AB38" s="71">
        <f>AA38*'Расчет субсидий'!AK38</f>
        <v>4.8858447488584478E-2</v>
      </c>
      <c r="AC38" s="55">
        <f t="shared" si="12"/>
        <v>4.1227644018680225</v>
      </c>
      <c r="AD38" s="71">
        <f>'Расчет субсидий'!AN38-1</f>
        <v>-0.15798429319371732</v>
      </c>
      <c r="AE38" s="71">
        <f>AD38*'Расчет субсидий'!AO38</f>
        <v>-0.78992146596858659</v>
      </c>
      <c r="AF38" s="55">
        <f t="shared" si="13"/>
        <v>-66.655005788458439</v>
      </c>
      <c r="AG38" s="54">
        <f t="shared" si="14"/>
        <v>-1.5457876323084681</v>
      </c>
    </row>
    <row r="39" spans="1:33" ht="15" customHeight="1">
      <c r="A39" s="30" t="s">
        <v>40</v>
      </c>
      <c r="B39" s="52">
        <f>'Расчет субсидий'!AT39</f>
        <v>-1074.6818181818162</v>
      </c>
      <c r="C39" s="54">
        <f>'Расчет субсидий'!D39-1</f>
        <v>-0.24017250243495125</v>
      </c>
      <c r="D39" s="54">
        <f>C39*'Расчет субсидий'!E39</f>
        <v>-2.4017250243495125</v>
      </c>
      <c r="E39" s="55">
        <f t="shared" si="6"/>
        <v>-639.4938813062405</v>
      </c>
      <c r="F39" s="60">
        <f>'Расчет субсидий'!H39-1</f>
        <v>-3.6396724294813443E-2</v>
      </c>
      <c r="G39" s="60">
        <f>F39*'Расчет субсидий'!I39</f>
        <v>-0.18198362147406721</v>
      </c>
      <c r="H39" s="55">
        <f t="shared" si="3"/>
        <v>-48.455760443324188</v>
      </c>
      <c r="I39" s="54">
        <f>'Расчет субсидий'!L39-1</f>
        <v>-0.34615384615384615</v>
      </c>
      <c r="J39" s="54">
        <f>I39*'Расчет субсидий'!M39</f>
        <v>-1.7307692307692308</v>
      </c>
      <c r="K39" s="55">
        <f t="shared" si="7"/>
        <v>-460.84223706242301</v>
      </c>
      <c r="L39" s="54">
        <f>'Расчет субсидий'!P39-1</f>
        <v>-0.11278974663590047</v>
      </c>
      <c r="M39" s="54">
        <f>L39*'Расчет субсидий'!Q39</f>
        <v>-2.2557949327180093</v>
      </c>
      <c r="N39" s="55">
        <f t="shared" si="8"/>
        <v>-600.63789248542173</v>
      </c>
      <c r="O39" s="54">
        <f>'Расчет субсидий'!T39-1</f>
        <v>6.3384223918575122E-2</v>
      </c>
      <c r="P39" s="54">
        <f>O39*'Расчет субсидий'!U39</f>
        <v>0.63384223918575122</v>
      </c>
      <c r="Q39" s="55">
        <f t="shared" si="9"/>
        <v>168.76962581614316</v>
      </c>
      <c r="R39" s="54">
        <f>'Расчет субсидий'!X39-1</f>
        <v>0.10298412698412696</v>
      </c>
      <c r="S39" s="54">
        <f>R39*'Расчет субсидий'!Y39</f>
        <v>1.0298412698412696</v>
      </c>
      <c r="T39" s="55">
        <f t="shared" si="10"/>
        <v>274.21007155409518</v>
      </c>
      <c r="U39" s="60">
        <f>'Расчет субсидий'!AB39-1</f>
        <v>-0.16699488344472846</v>
      </c>
      <c r="V39" s="60">
        <f>U39*'Расчет субсидий'!AC39</f>
        <v>-1.6699488344472846</v>
      </c>
      <c r="W39" s="55">
        <f t="shared" si="4"/>
        <v>-444.6479305068508</v>
      </c>
      <c r="X39" s="71">
        <f>'Расчет субсидий'!AF39-1</f>
        <v>2.1093749999999911E-2</v>
      </c>
      <c r="Y39" s="71">
        <f>X39*'Расчет субсидий'!AG39</f>
        <v>0.21093749999999911</v>
      </c>
      <c r="Z39" s="55">
        <f t="shared" si="11"/>
        <v>56.165147641982564</v>
      </c>
      <c r="AA39" s="71">
        <f>'Расчет субсидий'!AJ39-1</f>
        <v>7.7306100654118248E-2</v>
      </c>
      <c r="AB39" s="71">
        <f>AA39*'Расчет субсидий'!AK39</f>
        <v>1.546122013082365</v>
      </c>
      <c r="AC39" s="55">
        <f t="shared" si="12"/>
        <v>411.67725576197074</v>
      </c>
      <c r="AD39" s="71">
        <f>'Расчет субсидий'!AN39-1</f>
        <v>7.8333333333333366E-2</v>
      </c>
      <c r="AE39" s="71">
        <f>AD39*'Расчет субсидий'!AO39</f>
        <v>0.78333333333333366</v>
      </c>
      <c r="AF39" s="55">
        <f t="shared" si="13"/>
        <v>208.57378284825228</v>
      </c>
      <c r="AG39" s="54">
        <f t="shared" si="14"/>
        <v>-4.0361452883153852</v>
      </c>
    </row>
    <row r="40" spans="1:33" ht="15" customHeight="1">
      <c r="A40" s="30" t="s">
        <v>41</v>
      </c>
      <c r="B40" s="52">
        <f>'Расчет субсидий'!AT40</f>
        <v>85.100000000000364</v>
      </c>
      <c r="C40" s="54">
        <f>'Расчет субсидий'!D40-1</f>
        <v>0.2020710828577621</v>
      </c>
      <c r="D40" s="54">
        <f>C40*'Расчет субсидий'!E40</f>
        <v>2.020710828577621</v>
      </c>
      <c r="E40" s="55">
        <f t="shared" si="6"/>
        <v>206.8941928321606</v>
      </c>
      <c r="F40" s="60">
        <f>'Расчет субсидий'!H40-1</f>
        <v>4.0156709108716937E-2</v>
      </c>
      <c r="G40" s="60">
        <f>F40*'Расчет субсидий'!I40</f>
        <v>0.20078354554358468</v>
      </c>
      <c r="H40" s="55">
        <f t="shared" si="3"/>
        <v>20.557592408439756</v>
      </c>
      <c r="I40" s="54">
        <f>'Расчет субсидий'!L40-1</f>
        <v>7.4380165289256173E-2</v>
      </c>
      <c r="J40" s="54">
        <f>I40*'Расчет субсидий'!M40</f>
        <v>0.37190082644628086</v>
      </c>
      <c r="K40" s="55">
        <f t="shared" si="7"/>
        <v>38.077749776487181</v>
      </c>
      <c r="L40" s="54">
        <f>'Расчет субсидий'!P40-1</f>
        <v>-8.8766107594559385E-2</v>
      </c>
      <c r="M40" s="54">
        <f>L40*'Расчет субсидий'!Q40</f>
        <v>-1.7753221518911877</v>
      </c>
      <c r="N40" s="55">
        <f t="shared" si="8"/>
        <v>-181.769622074588</v>
      </c>
      <c r="O40" s="54">
        <f>'Расчет субсидий'!T40-1</f>
        <v>0.16869047619047617</v>
      </c>
      <c r="P40" s="54">
        <f>O40*'Расчет субсидий'!U40</f>
        <v>0.84345238095238084</v>
      </c>
      <c r="Q40" s="55">
        <f t="shared" si="9"/>
        <v>86.358422532105337</v>
      </c>
      <c r="R40" s="54">
        <f>'Расчет субсидий'!X40-1</f>
        <v>0.13022508038585201</v>
      </c>
      <c r="S40" s="54">
        <f>R40*'Расчет субсидий'!Y40</f>
        <v>0.65112540192926005</v>
      </c>
      <c r="T40" s="55">
        <f t="shared" si="10"/>
        <v>66.666671232467095</v>
      </c>
      <c r="U40" s="60">
        <f>'Расчет субсидий'!AB40-1</f>
        <v>-6.5979032166989748E-2</v>
      </c>
      <c r="V40" s="60">
        <f>U40*'Расчет субсидий'!AC40</f>
        <v>-0.32989516083494874</v>
      </c>
      <c r="W40" s="55">
        <f t="shared" si="4"/>
        <v>-33.776922484364633</v>
      </c>
      <c r="X40" s="71">
        <f>'Расчет субсидий'!AF40-1</f>
        <v>2.1431633090440716E-3</v>
      </c>
      <c r="Y40" s="71">
        <f>X40*'Расчет субсидий'!AG40</f>
        <v>4.2863266180881432E-2</v>
      </c>
      <c r="Z40" s="55">
        <f t="shared" si="11"/>
        <v>4.3886343029525969</v>
      </c>
      <c r="AA40" s="71">
        <f>'Расчет субсидий'!AJ40-1</f>
        <v>-6.4121037463977792E-3</v>
      </c>
      <c r="AB40" s="71">
        <f>AA40*'Расчет субсидий'!AK40</f>
        <v>-9.6181556195966689E-2</v>
      </c>
      <c r="AC40" s="55">
        <f t="shared" si="12"/>
        <v>-9.8477254405138321</v>
      </c>
      <c r="AD40" s="71">
        <f>'Расчет субсидий'!AN40-1</f>
        <v>-0.10982758620689659</v>
      </c>
      <c r="AE40" s="71">
        <f>AD40*'Расчет субсидий'!AO40</f>
        <v>-1.0982758620689659</v>
      </c>
      <c r="AF40" s="55">
        <f t="shared" si="13"/>
        <v>-112.44899308514576</v>
      </c>
      <c r="AG40" s="54">
        <f t="shared" si="14"/>
        <v>0.83116151863893983</v>
      </c>
    </row>
    <row r="41" spans="1:33" ht="15" customHeight="1">
      <c r="A41" s="30" t="s">
        <v>2</v>
      </c>
      <c r="B41" s="52">
        <f>'Расчет субсидий'!AT41</f>
        <v>-116.89090909090737</v>
      </c>
      <c r="C41" s="54">
        <f>'Расчет субсидий'!D41-1</f>
        <v>7.3014178086254988E-2</v>
      </c>
      <c r="D41" s="54">
        <f>C41*'Расчет субсидий'!E41</f>
        <v>0.73014178086254988</v>
      </c>
      <c r="E41" s="55">
        <f t="shared" si="6"/>
        <v>91.725636623687052</v>
      </c>
      <c r="F41" s="60">
        <f>'Расчет субсидий'!H41-1</f>
        <v>-3.5747021081576458E-2</v>
      </c>
      <c r="G41" s="60">
        <f>F41*'Расчет субсидий'!I41</f>
        <v>-0.17873510540788229</v>
      </c>
      <c r="H41" s="55">
        <f t="shared" si="3"/>
        <v>-22.453983267704707</v>
      </c>
      <c r="I41" s="54">
        <f>'Расчет субсидий'!L41-1</f>
        <v>1.5625E-2</v>
      </c>
      <c r="J41" s="54">
        <f>I41*'Расчет субсидий'!M41</f>
        <v>0.234375</v>
      </c>
      <c r="K41" s="55">
        <f t="shared" si="7"/>
        <v>29.443865078204194</v>
      </c>
      <c r="L41" s="54">
        <f>'Расчет субсидий'!P41-1</f>
        <v>0.14388560227328817</v>
      </c>
      <c r="M41" s="54">
        <f>L41*'Расчет субсидий'!Q41</f>
        <v>2.8777120454657634</v>
      </c>
      <c r="N41" s="55">
        <f t="shared" si="8"/>
        <v>361.51878485596569</v>
      </c>
      <c r="O41" s="54">
        <f>'Расчет субсидий'!T41-1</f>
        <v>0.10039177277179245</v>
      </c>
      <c r="P41" s="54">
        <f>O41*'Расчет субсидий'!U41</f>
        <v>0.50195886385896227</v>
      </c>
      <c r="Q41" s="55">
        <f t="shared" si="9"/>
        <v>63.059665332360332</v>
      </c>
      <c r="R41" s="54">
        <f>'Расчет субсидий'!X41-1</f>
        <v>0.11196581196581201</v>
      </c>
      <c r="S41" s="54">
        <f>R41*'Расчет субсидий'!Y41</f>
        <v>0.55982905982906006</v>
      </c>
      <c r="T41" s="55">
        <f t="shared" si="10"/>
        <v>70.329733565716268</v>
      </c>
      <c r="U41" s="60">
        <f>'Расчет субсидий'!AB41-1</f>
        <v>-0.16573527728346493</v>
      </c>
      <c r="V41" s="60">
        <f>U41*'Расчет субсидий'!AC41</f>
        <v>-0.82867638641732466</v>
      </c>
      <c r="W41" s="55">
        <f t="shared" si="4"/>
        <v>-104.10425905137284</v>
      </c>
      <c r="X41" s="71">
        <f>'Расчет субсидий'!AF41-1</f>
        <v>-6.0579455662862158E-2</v>
      </c>
      <c r="Y41" s="71">
        <f>X41*'Расчет субсидий'!AG41</f>
        <v>-0.90869183494293237</v>
      </c>
      <c r="Z41" s="55">
        <f t="shared" si="11"/>
        <v>-114.15637241909545</v>
      </c>
      <c r="AA41" s="71">
        <f>'Расчет субсидий'!AJ41-1</f>
        <v>0.1192127659574469</v>
      </c>
      <c r="AB41" s="71">
        <f>AA41*'Расчет субсидий'!AK41</f>
        <v>1.192127659574469</v>
      </c>
      <c r="AC41" s="55">
        <f t="shared" si="12"/>
        <v>149.76360944855895</v>
      </c>
      <c r="AD41" s="71">
        <f>'Расчет субсидий'!AN41-1</f>
        <v>-0.3407</v>
      </c>
      <c r="AE41" s="71">
        <f>AD41*'Расчет субсидий'!AO41</f>
        <v>-5.1105</v>
      </c>
      <c r="AF41" s="55">
        <f t="shared" si="13"/>
        <v>-642.01758925722686</v>
      </c>
      <c r="AG41" s="54">
        <f t="shared" si="14"/>
        <v>-0.93045891717733475</v>
      </c>
    </row>
    <row r="42" spans="1:33" ht="15" customHeight="1">
      <c r="A42" s="30" t="s">
        <v>42</v>
      </c>
      <c r="B42" s="52">
        <f>'Расчет субсидий'!AT42</f>
        <v>-20.481818181818198</v>
      </c>
      <c r="C42" s="54">
        <f>'Расчет субсидий'!D42-1</f>
        <v>-0.13275622105439966</v>
      </c>
      <c r="D42" s="54">
        <f>C42*'Расчет субсидий'!E42</f>
        <v>-1.3275622105439966</v>
      </c>
      <c r="E42" s="55">
        <f t="shared" si="6"/>
        <v>-88.360722115466359</v>
      </c>
      <c r="F42" s="60">
        <f>'Расчет субсидий'!H42-1</f>
        <v>-3.3882783882783873E-2</v>
      </c>
      <c r="G42" s="60">
        <f>F42*'Расчет субсидий'!I42</f>
        <v>-0.16941391941391937</v>
      </c>
      <c r="H42" s="55">
        <f t="shared" si="3"/>
        <v>-11.275958397227397</v>
      </c>
      <c r="I42" s="54">
        <f>'Расчет субсидий'!L42-1</f>
        <v>7.5268817204301008E-2</v>
      </c>
      <c r="J42" s="54">
        <f>I42*'Расчет субсидий'!M42</f>
        <v>0.75268817204301008</v>
      </c>
      <c r="K42" s="55">
        <f t="shared" si="7"/>
        <v>50.097893628832409</v>
      </c>
      <c r="L42" s="54">
        <f>'Расчет субсидий'!P42-1</f>
        <v>-0.12858967520983644</v>
      </c>
      <c r="M42" s="54">
        <f>L42*'Расчет субсидий'!Q42</f>
        <v>-2.5717935041967288</v>
      </c>
      <c r="N42" s="55">
        <f t="shared" si="8"/>
        <v>-171.17505255710012</v>
      </c>
      <c r="O42" s="54">
        <f>'Расчет субсидий'!T42-1</f>
        <v>0.10282208588957054</v>
      </c>
      <c r="P42" s="54">
        <f>O42*'Расчет субсидий'!U42</f>
        <v>0.51411042944785268</v>
      </c>
      <c r="Q42" s="55">
        <f t="shared" si="9"/>
        <v>34.218485907707517</v>
      </c>
      <c r="R42" s="54">
        <f>'Расчет субсидий'!X42-1</f>
        <v>3.1976744186046568E-2</v>
      </c>
      <c r="S42" s="54">
        <f>R42*'Расчет субсидий'!Y42</f>
        <v>0.15988372093023284</v>
      </c>
      <c r="T42" s="55">
        <f t="shared" si="10"/>
        <v>10.641641441506581</v>
      </c>
      <c r="U42" s="60">
        <f>'Расчет субсидий'!AB42-1</f>
        <v>-9.2062243259452226E-2</v>
      </c>
      <c r="V42" s="60">
        <f>U42*'Расчет субсидий'!AC42</f>
        <v>-0.46031121629726113</v>
      </c>
      <c r="W42" s="55">
        <f t="shared" si="4"/>
        <v>-30.637683979576238</v>
      </c>
      <c r="X42" s="71">
        <f>'Расчет субсидий'!AF42-1</f>
        <v>0</v>
      </c>
      <c r="Y42" s="71">
        <f>X42*'Расчет субсидий'!AG42</f>
        <v>0</v>
      </c>
      <c r="Z42" s="55">
        <f t="shared" si="11"/>
        <v>0</v>
      </c>
      <c r="AA42" s="71">
        <f>'Расчет субсидий'!AJ42-1</f>
        <v>-4.9265905383359954E-3</v>
      </c>
      <c r="AB42" s="71">
        <f>AA42*'Расчет субсидий'!AK42</f>
        <v>-7.389885807503993E-2</v>
      </c>
      <c r="AC42" s="55">
        <f t="shared" si="12"/>
        <v>-4.9186067599372132</v>
      </c>
      <c r="AD42" s="71">
        <f>'Расчет субсидий'!AN42-1</f>
        <v>0.28685714285714292</v>
      </c>
      <c r="AE42" s="71">
        <f>AD42*'Расчет субсидий'!AO42</f>
        <v>2.8685714285714292</v>
      </c>
      <c r="AF42" s="55">
        <f t="shared" si="13"/>
        <v>190.92818464944264</v>
      </c>
      <c r="AG42" s="54">
        <f t="shared" si="14"/>
        <v>-0.30772595753442111</v>
      </c>
    </row>
    <row r="43" spans="1:33" ht="15" customHeight="1">
      <c r="A43" s="30" t="s">
        <v>3</v>
      </c>
      <c r="B43" s="52">
        <f>'Расчет субсидий'!AT43</f>
        <v>159.78181818181838</v>
      </c>
      <c r="C43" s="54">
        <f>'Расчет субсидий'!D43-1</f>
        <v>-9.6147016845914313E-2</v>
      </c>
      <c r="D43" s="54">
        <f>C43*'Расчет субсидий'!E43</f>
        <v>-0.96147016845914313</v>
      </c>
      <c r="E43" s="55">
        <f t="shared" si="6"/>
        <v>-71.256783460657033</v>
      </c>
      <c r="F43" s="60">
        <f>'Расчет субсидий'!H43-1</f>
        <v>-5.6390977443609991E-3</v>
      </c>
      <c r="G43" s="60">
        <f>F43*'Расчет субсидий'!I43</f>
        <v>-2.8195488721804995E-2</v>
      </c>
      <c r="H43" s="55">
        <f t="shared" si="3"/>
        <v>-2.0896330435679369</v>
      </c>
      <c r="I43" s="54">
        <f>'Расчет субсидий'!L43-1</f>
        <v>0.20500000000000007</v>
      </c>
      <c r="J43" s="54">
        <f>I43*'Расчет субсидий'!M43</f>
        <v>2.0500000000000007</v>
      </c>
      <c r="K43" s="55">
        <f t="shared" si="7"/>
        <v>151.93025315434357</v>
      </c>
      <c r="L43" s="54">
        <f>'Расчет субсидий'!P43-1</f>
        <v>-8.0719218753545818E-2</v>
      </c>
      <c r="M43" s="54">
        <f>L43*'Расчет субсидий'!Q43</f>
        <v>-1.6143843750709164</v>
      </c>
      <c r="N43" s="55">
        <f t="shared" si="8"/>
        <v>-119.64576916728826</v>
      </c>
      <c r="O43" s="54">
        <f>'Расчет субсидий'!T43-1</f>
        <v>2.3145123658422806E-2</v>
      </c>
      <c r="P43" s="54">
        <f>O43*'Расчет субсидий'!U43</f>
        <v>0.11572561829211403</v>
      </c>
      <c r="Q43" s="55">
        <f t="shared" si="9"/>
        <v>8.5766938944213713</v>
      </c>
      <c r="R43" s="54">
        <f>'Расчет субсидий'!X43-1</f>
        <v>9.384164222873892E-2</v>
      </c>
      <c r="S43" s="54">
        <f>R43*'Расчет субсидий'!Y43</f>
        <v>0.4692082111436946</v>
      </c>
      <c r="T43" s="55">
        <f t="shared" si="10"/>
        <v>34.774108439589355</v>
      </c>
      <c r="U43" s="60">
        <f>'Расчет субсидий'!AB43-1</f>
        <v>-0.1182958519701709</v>
      </c>
      <c r="V43" s="60">
        <f>U43*'Расчет субсидий'!AC43</f>
        <v>-0.59147925985085448</v>
      </c>
      <c r="W43" s="55">
        <f t="shared" si="4"/>
        <v>-43.835899358382463</v>
      </c>
      <c r="X43" s="71">
        <f>'Расчет субсидий'!AF43-1</f>
        <v>4.1666666666666741E-2</v>
      </c>
      <c r="Y43" s="71">
        <f>X43*'Расчет субсидий'!AG43</f>
        <v>0.83333333333333481</v>
      </c>
      <c r="Z43" s="55">
        <f>$B43*Y43/$AG43</f>
        <v>61.760265509895845</v>
      </c>
      <c r="AA43" s="71">
        <f>'Расчет субсидий'!AJ43-1</f>
        <v>-7.4453096032628951E-2</v>
      </c>
      <c r="AB43" s="71">
        <f>AA43*'Расчет субсидий'!AK43</f>
        <v>-1.1167964404894342</v>
      </c>
      <c r="AC43" s="55">
        <f t="shared" si="12"/>
        <v>-82.768373622160709</v>
      </c>
      <c r="AD43" s="71">
        <f>'Расчет субсидий'!AN43-1</f>
        <v>0.30000000000000004</v>
      </c>
      <c r="AE43" s="71">
        <f>AD43*'Расчет субсидий'!AO43</f>
        <v>3.0000000000000004</v>
      </c>
      <c r="AF43" s="55">
        <f t="shared" si="13"/>
        <v>222.33695583562468</v>
      </c>
      <c r="AG43" s="54">
        <f t="shared" si="14"/>
        <v>2.1559414301769912</v>
      </c>
    </row>
    <row r="44" spans="1:33" ht="15" customHeight="1">
      <c r="A44" s="30" t="s">
        <v>43</v>
      </c>
      <c r="B44" s="52">
        <f>'Расчет субсидий'!AT44</f>
        <v>1034.1272727272717</v>
      </c>
      <c r="C44" s="54">
        <f>'Расчет субсидий'!D44-1</f>
        <v>-2.917851500789892E-2</v>
      </c>
      <c r="D44" s="54">
        <f>C44*'Расчет субсидий'!E44</f>
        <v>-0.2917851500789892</v>
      </c>
      <c r="E44" s="55">
        <f t="shared" si="6"/>
        <v>-31.478023091321418</v>
      </c>
      <c r="F44" s="60">
        <f>'Расчет субсидий'!H44-1</f>
        <v>3.8986354775829568E-3</v>
      </c>
      <c r="G44" s="60">
        <f>F44*'Расчет субсидий'!I44</f>
        <v>1.9493177387914784E-2</v>
      </c>
      <c r="H44" s="55">
        <f>$B44*G44/$AG44</f>
        <v>2.1029400837359149</v>
      </c>
      <c r="I44" s="54">
        <f>'Расчет субсидий'!L44-1</f>
        <v>5.4216867469879526E-2</v>
      </c>
      <c r="J44" s="54">
        <f>I44*'Расчет субсидий'!M44</f>
        <v>0.54216867469879526</v>
      </c>
      <c r="K44" s="55">
        <f t="shared" si="7"/>
        <v>58.489604618123174</v>
      </c>
      <c r="L44" s="54">
        <f>'Расчет субсидий'!P44-1</f>
        <v>7.5115056979013328E-2</v>
      </c>
      <c r="M44" s="54">
        <f>L44*'Расчет субсидий'!Q44</f>
        <v>1.5023011395802666</v>
      </c>
      <c r="N44" s="55">
        <f t="shared" si="8"/>
        <v>162.06948828281486</v>
      </c>
      <c r="O44" s="54">
        <f>'Расчет субсидий'!T44-1</f>
        <v>0.17999999999999994</v>
      </c>
      <c r="P44" s="54">
        <f>O44*'Расчет субсидий'!U44</f>
        <v>0.89999999999999969</v>
      </c>
      <c r="Q44" s="55">
        <f t="shared" si="9"/>
        <v>97.092743666084417</v>
      </c>
      <c r="R44" s="54">
        <f>'Расчет субсидий'!X44-1</f>
        <v>0.1609756097560977</v>
      </c>
      <c r="S44" s="54">
        <f>R44*'Расчет субсидий'!Y44</f>
        <v>0.80487804878048852</v>
      </c>
      <c r="T44" s="55">
        <f t="shared" si="10"/>
        <v>86.830908969669096</v>
      </c>
      <c r="U44" s="60">
        <f>'Расчет субсидий'!AB44-1</f>
        <v>-4.8015789473684234E-2</v>
      </c>
      <c r="V44" s="60">
        <f>U44*'Расчет субсидий'!AC44</f>
        <v>-0.24007894736842117</v>
      </c>
      <c r="W44" s="55">
        <f t="shared" si="4"/>
        <v>-25.899915218294993</v>
      </c>
      <c r="X44" s="71">
        <f>'Расчет субсидий'!AF44-1</f>
        <v>0.12944162436548234</v>
      </c>
      <c r="Y44" s="71">
        <f>X44*'Расчет субсидий'!AG44</f>
        <v>1.9416243654822352</v>
      </c>
      <c r="Z44" s="55">
        <f>$B44*Y44/$AG44</f>
        <v>209.46404090398946</v>
      </c>
      <c r="AA44" s="71">
        <f>'Расчет субсидий'!AJ44-1</f>
        <v>0.2006663117060925</v>
      </c>
      <c r="AB44" s="71">
        <f>AA44*'Расчет субсидий'!AK44</f>
        <v>2.006663117060925</v>
      </c>
      <c r="AC44" s="55">
        <f>$B44*AB44/$AG44</f>
        <v>216.48047516553601</v>
      </c>
      <c r="AD44" s="71">
        <f>'Расчет субсидий'!AN44-1</f>
        <v>0.2400565681961031</v>
      </c>
      <c r="AE44" s="71">
        <f>AD44*'Расчет субсидий'!AO44</f>
        <v>2.400565681961031</v>
      </c>
      <c r="AF44" s="55">
        <f t="shared" si="13"/>
        <v>258.97500934693505</v>
      </c>
      <c r="AG44" s="54">
        <f t="shared" si="14"/>
        <v>9.5858301075042469</v>
      </c>
    </row>
    <row r="45" spans="1:33" ht="15" customHeight="1">
      <c r="A45" s="31" t="s">
        <v>44</v>
      </c>
      <c r="B45" s="51">
        <f>'Расчет субсидий'!AT45</f>
        <v>-128.57272727272829</v>
      </c>
      <c r="C45" s="51"/>
      <c r="D45" s="51"/>
      <c r="E45" s="51">
        <f>SUM(E47:E368)</f>
        <v>-7.3599351892746592</v>
      </c>
      <c r="F45" s="51"/>
      <c r="G45" s="51"/>
      <c r="H45" s="51"/>
      <c r="I45" s="51"/>
      <c r="J45" s="51"/>
      <c r="K45" s="51"/>
      <c r="L45" s="51"/>
      <c r="M45" s="51"/>
      <c r="N45" s="51">
        <f>SUM(N47:N368)</f>
        <v>-3034.1991053334696</v>
      </c>
      <c r="O45" s="51"/>
      <c r="P45" s="51"/>
      <c r="Q45" s="51">
        <f>SUM(Q47:Q368)</f>
        <v>962.10689584762611</v>
      </c>
      <c r="R45" s="51"/>
      <c r="S45" s="51"/>
      <c r="T45" s="51">
        <f>SUM(T47:T368)</f>
        <v>2180.000934458043</v>
      </c>
      <c r="U45" s="51"/>
      <c r="V45" s="51"/>
      <c r="W45" s="51">
        <f>SUM(W47:W368)</f>
        <v>-386.88047780651823</v>
      </c>
      <c r="X45" s="72"/>
      <c r="Y45" s="72"/>
      <c r="Z45" s="51">
        <f>SUM(Z47:Z368)</f>
        <v>157.75896075086311</v>
      </c>
      <c r="AA45" s="51"/>
      <c r="AB45" s="51"/>
      <c r="AC45" s="51"/>
      <c r="AD45" s="51"/>
      <c r="AE45" s="51"/>
      <c r="AF45" s="51"/>
      <c r="AG45" s="51"/>
    </row>
    <row r="46" spans="1:33" ht="15" customHeight="1">
      <c r="A46" s="32" t="s">
        <v>45</v>
      </c>
      <c r="B46" s="56"/>
      <c r="C46" s="57"/>
      <c r="D46" s="57"/>
      <c r="E46" s="58"/>
      <c r="F46" s="57"/>
      <c r="G46" s="57"/>
      <c r="H46" s="58"/>
      <c r="I46" s="58"/>
      <c r="J46" s="58"/>
      <c r="K46" s="58"/>
      <c r="L46" s="57"/>
      <c r="M46" s="57"/>
      <c r="N46" s="58"/>
      <c r="O46" s="57"/>
      <c r="P46" s="57"/>
      <c r="Q46" s="58"/>
      <c r="R46" s="57"/>
      <c r="S46" s="57"/>
      <c r="T46" s="58"/>
      <c r="U46" s="58"/>
      <c r="V46" s="58"/>
      <c r="W46" s="58"/>
      <c r="X46" s="73"/>
      <c r="Y46" s="73"/>
      <c r="Z46" s="58"/>
      <c r="AA46" s="58"/>
      <c r="AB46" s="58"/>
      <c r="AC46" s="58"/>
      <c r="AD46" s="58"/>
      <c r="AE46" s="58"/>
      <c r="AF46" s="58"/>
      <c r="AG46" s="58"/>
    </row>
    <row r="47" spans="1:33" ht="15" customHeight="1">
      <c r="A47" s="33" t="s">
        <v>46</v>
      </c>
      <c r="B47" s="52">
        <f>'Расчет субсидий'!AT47</f>
        <v>-15.25454545454545</v>
      </c>
      <c r="C47" s="54">
        <f>'Расчет субсидий'!D47-1</f>
        <v>-0.47704918032786892</v>
      </c>
      <c r="D47" s="54">
        <f>C47*'Расчет субсидий'!E47</f>
        <v>-4.7704918032786896</v>
      </c>
      <c r="E47" s="55">
        <f>$B47*D47/$AG47</f>
        <v>-12.542131505420578</v>
      </c>
      <c r="F47" s="27" t="s">
        <v>367</v>
      </c>
      <c r="G47" s="27" t="s">
        <v>367</v>
      </c>
      <c r="H47" s="27" t="s">
        <v>367</v>
      </c>
      <c r="I47" s="27" t="s">
        <v>367</v>
      </c>
      <c r="J47" s="27" t="s">
        <v>367</v>
      </c>
      <c r="K47" s="27" t="s">
        <v>367</v>
      </c>
      <c r="L47" s="54">
        <f>'Расчет субсидий'!P47-1</f>
        <v>-0.64257964257964262</v>
      </c>
      <c r="M47" s="54">
        <f>L47*'Расчет субсидий'!Q47</f>
        <v>-12.851592851592851</v>
      </c>
      <c r="N47" s="55">
        <f>$B47*M47/$AG47</f>
        <v>-33.788207640985675</v>
      </c>
      <c r="O47" s="54">
        <f>'Расчет субсидий'!T47-1</f>
        <v>0.24083333333333323</v>
      </c>
      <c r="P47" s="54">
        <f>O47*'Расчет субсидий'!U47</f>
        <v>7.224999999999997</v>
      </c>
      <c r="Q47" s="55">
        <f>$B47*P47/$AG47</f>
        <v>18.995295215554911</v>
      </c>
      <c r="R47" s="54">
        <f>'Расчет субсидий'!X47-1</f>
        <v>0.18571428571428572</v>
      </c>
      <c r="S47" s="54">
        <f>R47*'Расчет субсидий'!Y47</f>
        <v>3.7142857142857144</v>
      </c>
      <c r="T47" s="55">
        <f>$B47*S47/$AG47</f>
        <v>9.7652531014222035</v>
      </c>
      <c r="U47" s="60">
        <f>'Расчет субсидий'!AB47-1</f>
        <v>5.6363636363636394E-2</v>
      </c>
      <c r="V47" s="60">
        <f>U47*'Расчет субсидий'!AC47</f>
        <v>0.28181818181818197</v>
      </c>
      <c r="W47" s="55">
        <f t="shared" ref="W47:W110" si="15">$B47*V47/$AG47</f>
        <v>0.74093004301000687</v>
      </c>
      <c r="X47" s="71">
        <f>'Расчет субсидий'!AF47-1</f>
        <v>2.9940119760478945E-2</v>
      </c>
      <c r="Y47" s="71">
        <f>X47*'Расчет субсидий'!AG47</f>
        <v>0.5988023952095789</v>
      </c>
      <c r="Z47" s="55">
        <f>$B47*Y47/$AG47</f>
        <v>1.5743153318736804</v>
      </c>
      <c r="AA47" s="27" t="s">
        <v>367</v>
      </c>
      <c r="AB47" s="27" t="s">
        <v>367</v>
      </c>
      <c r="AC47" s="27" t="s">
        <v>367</v>
      </c>
      <c r="AD47" s="27" t="s">
        <v>367</v>
      </c>
      <c r="AE47" s="27" t="s">
        <v>367</v>
      </c>
      <c r="AF47" s="27" t="s">
        <v>367</v>
      </c>
      <c r="AG47" s="54">
        <f>D47+M47+P47+S47+V47+Y47</f>
        <v>-5.8021783635580695</v>
      </c>
    </row>
    <row r="48" spans="1:33" ht="15" customHeight="1">
      <c r="A48" s="33" t="s">
        <v>47</v>
      </c>
      <c r="B48" s="52">
        <f>'Расчет субсидий'!AT48</f>
        <v>20.436363636363581</v>
      </c>
      <c r="C48" s="54">
        <f>'Расчет субсидий'!D48-1</f>
        <v>0.20161175710594303</v>
      </c>
      <c r="D48" s="54">
        <f>C48*'Расчет субсидий'!E48</f>
        <v>2.0161175710594303</v>
      </c>
      <c r="E48" s="55">
        <f>$B48*D48/$AG48</f>
        <v>9.8813697190091165</v>
      </c>
      <c r="F48" s="27" t="s">
        <v>367</v>
      </c>
      <c r="G48" s="27" t="s">
        <v>367</v>
      </c>
      <c r="H48" s="27" t="s">
        <v>367</v>
      </c>
      <c r="I48" s="27" t="s">
        <v>367</v>
      </c>
      <c r="J48" s="27" t="s">
        <v>367</v>
      </c>
      <c r="K48" s="27" t="s">
        <v>367</v>
      </c>
      <c r="L48" s="54">
        <f>'Расчет субсидий'!P48-1</f>
        <v>3.061024265812029E-2</v>
      </c>
      <c r="M48" s="54">
        <f>L48*'Расчет субсидий'!Q48</f>
        <v>0.6122048531624058</v>
      </c>
      <c r="N48" s="55">
        <f>$B48*M48/$AG48</f>
        <v>3.0005306162232226</v>
      </c>
      <c r="O48" s="54">
        <f>'Расчет субсидий'!T48-1</f>
        <v>7.9487179487179427E-2</v>
      </c>
      <c r="P48" s="54">
        <f>O48*'Расчет субсидий'!U48</f>
        <v>1.9871794871794857</v>
      </c>
      <c r="Q48" s="55">
        <f>$B48*P48/$AG48</f>
        <v>9.7395387514692757</v>
      </c>
      <c r="R48" s="54">
        <f>'Расчет субсидий'!X48-1</f>
        <v>5.3333333333333455E-2</v>
      </c>
      <c r="S48" s="54">
        <f>R48*'Расчет субсидий'!Y48</f>
        <v>1.3333333333333364</v>
      </c>
      <c r="T48" s="55">
        <f>$B48*S48/$AG48</f>
        <v>6.5349163235665015</v>
      </c>
      <c r="U48" s="60">
        <f>'Расчет субсидий'!AB48-1</f>
        <v>-5.8203033838973184E-2</v>
      </c>
      <c r="V48" s="60">
        <f>U48*'Расчет субсидий'!AC48</f>
        <v>-0.29101516919486592</v>
      </c>
      <c r="W48" s="55">
        <f t="shared" si="15"/>
        <v>-1.4263198346827444</v>
      </c>
      <c r="X48" s="71">
        <f>'Расчет субсидий'!AF48-1</f>
        <v>-7.440719542109564E-2</v>
      </c>
      <c r="Y48" s="71">
        <f>X48*'Расчет субсидий'!AG48</f>
        <v>-1.4881439084219128</v>
      </c>
      <c r="Z48" s="55">
        <f t="shared" ref="Z48:Z111" si="16">$B48*Y48/$AG48</f>
        <v>-7.2936719392217917</v>
      </c>
      <c r="AA48" s="27" t="s">
        <v>367</v>
      </c>
      <c r="AB48" s="27" t="s">
        <v>367</v>
      </c>
      <c r="AC48" s="27" t="s">
        <v>367</v>
      </c>
      <c r="AD48" s="27" t="s">
        <v>367</v>
      </c>
      <c r="AE48" s="27" t="s">
        <v>367</v>
      </c>
      <c r="AF48" s="27" t="s">
        <v>367</v>
      </c>
      <c r="AG48" s="54">
        <f t="shared" ref="AG48:AG111" si="17">D48+M48+P48+S48+V48+Y48</f>
        <v>4.1696761671178795</v>
      </c>
    </row>
    <row r="49" spans="1:33" ht="15" customHeight="1">
      <c r="A49" s="33" t="s">
        <v>48</v>
      </c>
      <c r="B49" s="52">
        <f>'Расчет субсидий'!AT49</f>
        <v>-2.9636363636363967</v>
      </c>
      <c r="C49" s="54">
        <f>'Расчет субсидий'!D49-1</f>
        <v>-3.9855072463768071E-3</v>
      </c>
      <c r="D49" s="54">
        <f>C49*'Расчет субсидий'!E49</f>
        <v>-3.9855072463768071E-2</v>
      </c>
      <c r="E49" s="55">
        <f>$B49*D49/$AG49</f>
        <v>-0.14538629107153023</v>
      </c>
      <c r="F49" s="27" t="s">
        <v>367</v>
      </c>
      <c r="G49" s="27" t="s">
        <v>367</v>
      </c>
      <c r="H49" s="27" t="s">
        <v>367</v>
      </c>
      <c r="I49" s="27" t="s">
        <v>367</v>
      </c>
      <c r="J49" s="27" t="s">
        <v>367</v>
      </c>
      <c r="K49" s="27" t="s">
        <v>367</v>
      </c>
      <c r="L49" s="54">
        <f>'Расчет субсидий'!P49-1</f>
        <v>-0.16300366300366309</v>
      </c>
      <c r="M49" s="54">
        <f>L49*'Расчет субсидий'!Q49</f>
        <v>-3.2600732600732618</v>
      </c>
      <c r="N49" s="55">
        <f>$B49*M49/$AG49</f>
        <v>-11.892337175761153</v>
      </c>
      <c r="O49" s="54">
        <f>'Расчет субсидий'!T49-1</f>
        <v>5.0000000000000044E-2</v>
      </c>
      <c r="P49" s="54">
        <f>O49*'Расчет субсидий'!U49</f>
        <v>1.5000000000000013</v>
      </c>
      <c r="Q49" s="55">
        <f>$B49*P49/$AG49</f>
        <v>5.4718113185103299</v>
      </c>
      <c r="R49" s="54">
        <f>'Расчет субсидий'!X49-1</f>
        <v>2.4999999999999911E-2</v>
      </c>
      <c r="S49" s="54">
        <f>R49*'Расчет субсидий'!Y49</f>
        <v>0.49999999999999822</v>
      </c>
      <c r="T49" s="55">
        <f>$B49*S49/$AG49</f>
        <v>1.8239371061701017</v>
      </c>
      <c r="U49" s="60">
        <f>'Расчет субсидий'!AB49-1</f>
        <v>0.13222222222222224</v>
      </c>
      <c r="V49" s="60">
        <f>U49*'Расчет субсидий'!AC49</f>
        <v>0.6611111111111112</v>
      </c>
      <c r="W49" s="55">
        <f t="shared" si="15"/>
        <v>2.4116501737138103</v>
      </c>
      <c r="X49" s="71">
        <f>'Расчет субсидий'!AF49-1</f>
        <v>-8.6805555555555802E-3</v>
      </c>
      <c r="Y49" s="71">
        <f>X49*'Расчет субсидий'!AG49</f>
        <v>-0.1736111111111116</v>
      </c>
      <c r="Z49" s="55">
        <f t="shared" si="16"/>
        <v>-0.63331149519795604</v>
      </c>
      <c r="AA49" s="27" t="s">
        <v>367</v>
      </c>
      <c r="AB49" s="27" t="s">
        <v>367</v>
      </c>
      <c r="AC49" s="27" t="s">
        <v>367</v>
      </c>
      <c r="AD49" s="27" t="s">
        <v>367</v>
      </c>
      <c r="AE49" s="27" t="s">
        <v>367</v>
      </c>
      <c r="AF49" s="27" t="s">
        <v>367</v>
      </c>
      <c r="AG49" s="54">
        <f t="shared" si="17"/>
        <v>-0.81242833253703073</v>
      </c>
    </row>
    <row r="50" spans="1:33" ht="15" customHeight="1">
      <c r="A50" s="33" t="s">
        <v>49</v>
      </c>
      <c r="B50" s="52">
        <f>'Расчет субсидий'!AT50</f>
        <v>24.027272727272731</v>
      </c>
      <c r="C50" s="54">
        <f>'Расчет субсидий'!D50-1</f>
        <v>-1</v>
      </c>
      <c r="D50" s="54">
        <f>C50*'Расчет субсидий'!E50</f>
        <v>0</v>
      </c>
      <c r="E50" s="55">
        <f>$B50*D50/$AG50</f>
        <v>0</v>
      </c>
      <c r="F50" s="27" t="s">
        <v>367</v>
      </c>
      <c r="G50" s="27" t="s">
        <v>367</v>
      </c>
      <c r="H50" s="27" t="s">
        <v>367</v>
      </c>
      <c r="I50" s="27" t="s">
        <v>367</v>
      </c>
      <c r="J50" s="27" t="s">
        <v>367</v>
      </c>
      <c r="K50" s="27" t="s">
        <v>367</v>
      </c>
      <c r="L50" s="54">
        <f>'Расчет субсидий'!P50-1</f>
        <v>0.26912875867386266</v>
      </c>
      <c r="M50" s="54">
        <f>L50*'Расчет субсидий'!Q50</f>
        <v>5.3825751734772531</v>
      </c>
      <c r="N50" s="55">
        <f>$B50*M50/$AG50</f>
        <v>12.738511681679434</v>
      </c>
      <c r="O50" s="54">
        <f>'Расчет субсидий'!T50-1</f>
        <v>9.473684210526323E-2</v>
      </c>
      <c r="P50" s="54">
        <f>O50*'Расчет субсидий'!U50</f>
        <v>2.3684210526315805</v>
      </c>
      <c r="Q50" s="55">
        <f>$B50*P50/$AG50</f>
        <v>5.605153346440372</v>
      </c>
      <c r="R50" s="54">
        <f>'Расчет субсидий'!X50-1</f>
        <v>1.4285714285714235E-2</v>
      </c>
      <c r="S50" s="54">
        <f>R50*'Расчет субсидий'!Y50</f>
        <v>0.35714285714285587</v>
      </c>
      <c r="T50" s="55">
        <f>$B50*S50/$AG50</f>
        <v>0.84522153636798902</v>
      </c>
      <c r="U50" s="60">
        <f>'Расчет субсидий'!AB50-1</f>
        <v>0.15928571428571425</v>
      </c>
      <c r="V50" s="60">
        <f>U50*'Расчет субсидий'!AC50</f>
        <v>0.79642857142857126</v>
      </c>
      <c r="W50" s="55">
        <f t="shared" si="15"/>
        <v>1.8848440261006218</v>
      </c>
      <c r="X50" s="71">
        <f>'Расчет субсидий'!AF50-1</f>
        <v>6.2400000000000011E-2</v>
      </c>
      <c r="Y50" s="71">
        <f>X50*'Расчет субсидий'!AG50</f>
        <v>1.2480000000000002</v>
      </c>
      <c r="Z50" s="55">
        <f t="shared" si="16"/>
        <v>2.953542136684312</v>
      </c>
      <c r="AA50" s="27" t="s">
        <v>367</v>
      </c>
      <c r="AB50" s="27" t="s">
        <v>367</v>
      </c>
      <c r="AC50" s="27" t="s">
        <v>367</v>
      </c>
      <c r="AD50" s="27" t="s">
        <v>367</v>
      </c>
      <c r="AE50" s="27" t="s">
        <v>367</v>
      </c>
      <c r="AF50" s="27" t="s">
        <v>367</v>
      </c>
      <c r="AG50" s="54">
        <f t="shared" si="17"/>
        <v>10.152567654680261</v>
      </c>
    </row>
    <row r="51" spans="1:33" ht="15" customHeight="1">
      <c r="A51" s="33" t="s">
        <v>50</v>
      </c>
      <c r="B51" s="52">
        <f>'Расчет субсидий'!AT51</f>
        <v>13.772727272727252</v>
      </c>
      <c r="C51" s="54">
        <f>'Расчет субсидий'!D51-1</f>
        <v>8.1866666666666532E-2</v>
      </c>
      <c r="D51" s="54">
        <f>C51*'Расчет субсидий'!E51</f>
        <v>0.81866666666666532</v>
      </c>
      <c r="E51" s="55">
        <f>$B51*D51/$AG51</f>
        <v>3.8284455828151449</v>
      </c>
      <c r="F51" s="27" t="s">
        <v>367</v>
      </c>
      <c r="G51" s="27" t="s">
        <v>367</v>
      </c>
      <c r="H51" s="27" t="s">
        <v>367</v>
      </c>
      <c r="I51" s="27" t="s">
        <v>367</v>
      </c>
      <c r="J51" s="27" t="s">
        <v>367</v>
      </c>
      <c r="K51" s="27" t="s">
        <v>367</v>
      </c>
      <c r="L51" s="54">
        <f>'Расчет субсидий'!P51-1</f>
        <v>-0.20460266091334067</v>
      </c>
      <c r="M51" s="54">
        <f>L51*'Расчет субсидий'!Q51</f>
        <v>-4.0920532182668135</v>
      </c>
      <c r="N51" s="55">
        <f>$B51*M51/$AG51</f>
        <v>-19.136241532717559</v>
      </c>
      <c r="O51" s="54">
        <f>'Расчет субсидий'!T51-1</f>
        <v>0.17000000000000015</v>
      </c>
      <c r="P51" s="54">
        <f>O51*'Расчет субсидий'!U51</f>
        <v>5.100000000000005</v>
      </c>
      <c r="Q51" s="55">
        <f>$B51*P51/$AG51</f>
        <v>23.849844225192133</v>
      </c>
      <c r="R51" s="54">
        <f>'Расчет субсидий'!X51-1</f>
        <v>6.25E-2</v>
      </c>
      <c r="S51" s="54">
        <f>R51*'Расчет субсидий'!Y51</f>
        <v>1.25</v>
      </c>
      <c r="T51" s="55">
        <f>$B51*S51/$AG51</f>
        <v>5.8455500551941446</v>
      </c>
      <c r="U51" s="60">
        <f>'Расчет субсидий'!AB51-1</f>
        <v>-4.0000000000000036E-3</v>
      </c>
      <c r="V51" s="60">
        <f>U51*'Расчет субсидий'!AC51</f>
        <v>-2.0000000000000018E-2</v>
      </c>
      <c r="W51" s="55">
        <f t="shared" si="15"/>
        <v>-9.3528800883106389E-2</v>
      </c>
      <c r="X51" s="71">
        <f>'Расчет субсидий'!AF51-1</f>
        <v>-5.5741360089186509E-3</v>
      </c>
      <c r="Y51" s="71">
        <f>X51*'Расчет субсидий'!AG51</f>
        <v>-0.11148272017837302</v>
      </c>
      <c r="Z51" s="55">
        <f t="shared" si="16"/>
        <v>-0.52134225687350544</v>
      </c>
      <c r="AA51" s="27" t="s">
        <v>367</v>
      </c>
      <c r="AB51" s="27" t="s">
        <v>367</v>
      </c>
      <c r="AC51" s="27" t="s">
        <v>367</v>
      </c>
      <c r="AD51" s="27" t="s">
        <v>367</v>
      </c>
      <c r="AE51" s="27" t="s">
        <v>367</v>
      </c>
      <c r="AF51" s="27" t="s">
        <v>367</v>
      </c>
      <c r="AG51" s="54">
        <f t="shared" si="17"/>
        <v>2.9451307282214838</v>
      </c>
    </row>
    <row r="52" spans="1:33" ht="15" customHeight="1">
      <c r="A52" s="32" t="s">
        <v>51</v>
      </c>
      <c r="B52" s="56"/>
      <c r="C52" s="57"/>
      <c r="D52" s="57"/>
      <c r="E52" s="58"/>
      <c r="F52" s="57"/>
      <c r="G52" s="57"/>
      <c r="H52" s="58"/>
      <c r="I52" s="58"/>
      <c r="J52" s="58"/>
      <c r="K52" s="58"/>
      <c r="L52" s="57"/>
      <c r="M52" s="57"/>
      <c r="N52" s="58"/>
      <c r="O52" s="57"/>
      <c r="P52" s="57"/>
      <c r="Q52" s="58"/>
      <c r="R52" s="57"/>
      <c r="S52" s="57"/>
      <c r="T52" s="58"/>
      <c r="U52" s="58"/>
      <c r="V52" s="58"/>
      <c r="W52" s="58"/>
      <c r="X52" s="73"/>
      <c r="Y52" s="73"/>
      <c r="Z52" s="58"/>
      <c r="AA52" s="58"/>
      <c r="AB52" s="58"/>
      <c r="AC52" s="58"/>
      <c r="AD52" s="58"/>
      <c r="AE52" s="58"/>
      <c r="AF52" s="58"/>
      <c r="AG52" s="58"/>
    </row>
    <row r="53" spans="1:33" ht="15" customHeight="1">
      <c r="A53" s="33" t="s">
        <v>52</v>
      </c>
      <c r="B53" s="52">
        <f>'Расчет субсидий'!AT53</f>
        <v>-1.7454545454545443</v>
      </c>
      <c r="C53" s="54">
        <f>'Расчет субсидий'!D53-1</f>
        <v>-0.15874212633933393</v>
      </c>
      <c r="D53" s="54">
        <f>C53*'Расчет субсидий'!E53</f>
        <v>-1.5874212633933393</v>
      </c>
      <c r="E53" s="55">
        <f t="shared" ref="E53:E64" si="18">$B53*D53/$AG53</f>
        <v>-0.19028612654684074</v>
      </c>
      <c r="F53" s="27" t="s">
        <v>367</v>
      </c>
      <c r="G53" s="27" t="s">
        <v>367</v>
      </c>
      <c r="H53" s="27" t="s">
        <v>367</v>
      </c>
      <c r="I53" s="27" t="s">
        <v>367</v>
      </c>
      <c r="J53" s="27" t="s">
        <v>367</v>
      </c>
      <c r="K53" s="27" t="s">
        <v>367</v>
      </c>
      <c r="L53" s="54">
        <f>'Расчет субсидий'!P53-1</f>
        <v>-2.876033408683365E-3</v>
      </c>
      <c r="M53" s="54">
        <f>L53*'Расчет субсидий'!Q53</f>
        <v>-5.75206681736673E-2</v>
      </c>
      <c r="N53" s="55">
        <f t="shared" ref="N53:N64" si="19">$B53*M53/$AG53</f>
        <v>-6.8950727797081213E-3</v>
      </c>
      <c r="O53" s="54">
        <f>'Расчет субсидий'!T53-1</f>
        <v>9.9999999999999867E-2</v>
      </c>
      <c r="P53" s="54">
        <f>O53*'Расчет субсидий'!U53</f>
        <v>2.4999999999999964</v>
      </c>
      <c r="Q53" s="55">
        <f t="shared" ref="Q53:Q64" si="20">$B53*P53/$AG53</f>
        <v>0.29967805480329263</v>
      </c>
      <c r="R53" s="54">
        <f>'Расчет субсидий'!X53-1</f>
        <v>1.9704433497536922E-2</v>
      </c>
      <c r="S53" s="54">
        <f>R53*'Расчет субсидий'!Y53</f>
        <v>0.49261083743842304</v>
      </c>
      <c r="T53" s="55">
        <f t="shared" ref="T53:T64" si="21">$B53*S53/$AG53</f>
        <v>5.9049863015427133E-2</v>
      </c>
      <c r="U53" s="60">
        <f>'Расчет субсидий'!AB53-1</f>
        <v>-0.13827167607269686</v>
      </c>
      <c r="V53" s="60">
        <f>U53*'Расчет субсидий'!AC53</f>
        <v>-0.69135838036348429</v>
      </c>
      <c r="W53" s="55">
        <f t="shared" si="15"/>
        <v>-8.2873973839713663E-2</v>
      </c>
      <c r="X53" s="71">
        <f>'Расчет субсидий'!AF53-1</f>
        <v>-0.76086956521739135</v>
      </c>
      <c r="Y53" s="71">
        <f>X53*'Расчет субсидий'!AG53</f>
        <v>-15.217391304347828</v>
      </c>
      <c r="Z53" s="55">
        <f t="shared" si="16"/>
        <v>-1.8241272901070014</v>
      </c>
      <c r="AA53" s="27" t="s">
        <v>367</v>
      </c>
      <c r="AB53" s="27" t="s">
        <v>367</v>
      </c>
      <c r="AC53" s="27" t="s">
        <v>367</v>
      </c>
      <c r="AD53" s="27" t="s">
        <v>367</v>
      </c>
      <c r="AE53" s="27" t="s">
        <v>367</v>
      </c>
      <c r="AF53" s="27" t="s">
        <v>367</v>
      </c>
      <c r="AG53" s="54">
        <f t="shared" si="17"/>
        <v>-14.5610807788399</v>
      </c>
    </row>
    <row r="54" spans="1:33" ht="15" customHeight="1">
      <c r="A54" s="33" t="s">
        <v>53</v>
      </c>
      <c r="B54" s="52">
        <f>'Расчет субсидий'!AT54</f>
        <v>-7.3727272727272748</v>
      </c>
      <c r="C54" s="54">
        <f>'Расчет субсидий'!D54-1</f>
        <v>0.24666666666666659</v>
      </c>
      <c r="D54" s="54">
        <f>C54*'Расчет субсидий'!E54</f>
        <v>2.4666666666666659</v>
      </c>
      <c r="E54" s="55">
        <f t="shared" si="18"/>
        <v>3.1165325463665674</v>
      </c>
      <c r="F54" s="27" t="s">
        <v>367</v>
      </c>
      <c r="G54" s="27" t="s">
        <v>367</v>
      </c>
      <c r="H54" s="27" t="s">
        <v>367</v>
      </c>
      <c r="I54" s="27" t="s">
        <v>367</v>
      </c>
      <c r="J54" s="27" t="s">
        <v>367</v>
      </c>
      <c r="K54" s="27" t="s">
        <v>367</v>
      </c>
      <c r="L54" s="54">
        <f>'Расчет субсидий'!P54-1</f>
        <v>-0.42778693025809988</v>
      </c>
      <c r="M54" s="54">
        <f>L54*'Расчет субсидий'!Q54</f>
        <v>-8.5557386051619986</v>
      </c>
      <c r="N54" s="55">
        <f t="shared" si="19"/>
        <v>-10.8098261437266</v>
      </c>
      <c r="O54" s="54">
        <f>'Расчет субсидий'!T54-1</f>
        <v>0</v>
      </c>
      <c r="P54" s="54">
        <f>O54*'Расчет субсидий'!U54</f>
        <v>0</v>
      </c>
      <c r="Q54" s="55">
        <f t="shared" si="20"/>
        <v>0</v>
      </c>
      <c r="R54" s="54">
        <f>'Расчет субсидий'!X54-1</f>
        <v>5.5555555555555358E-3</v>
      </c>
      <c r="S54" s="54">
        <f>R54*'Расчет субсидий'!Y54</f>
        <v>0.16666666666666607</v>
      </c>
      <c r="T54" s="55">
        <f t="shared" si="21"/>
        <v>0.21057652340314581</v>
      </c>
      <c r="U54" s="60">
        <f>'Расчет субсидий'!AB54-1</f>
        <v>-0.39817351598173512</v>
      </c>
      <c r="V54" s="60">
        <f>U54*'Расчет субсидий'!AC54</f>
        <v>-1.9908675799086755</v>
      </c>
      <c r="W54" s="55">
        <f t="shared" si="15"/>
        <v>-2.5153798411992296</v>
      </c>
      <c r="X54" s="71">
        <f>'Расчет субсидий'!AF54-1</f>
        <v>0.10389610389610393</v>
      </c>
      <c r="Y54" s="71">
        <f>X54*'Расчет субсидий'!AG54</f>
        <v>2.0779220779220786</v>
      </c>
      <c r="Z54" s="55">
        <f t="shared" si="16"/>
        <v>2.6253696424288409</v>
      </c>
      <c r="AA54" s="27" t="s">
        <v>367</v>
      </c>
      <c r="AB54" s="27" t="s">
        <v>367</v>
      </c>
      <c r="AC54" s="27" t="s">
        <v>367</v>
      </c>
      <c r="AD54" s="27" t="s">
        <v>367</v>
      </c>
      <c r="AE54" s="27" t="s">
        <v>367</v>
      </c>
      <c r="AF54" s="27" t="s">
        <v>367</v>
      </c>
      <c r="AG54" s="54">
        <f t="shared" si="17"/>
        <v>-5.8353507738152635</v>
      </c>
    </row>
    <row r="55" spans="1:33" ht="15" customHeight="1">
      <c r="A55" s="33" t="s">
        <v>54</v>
      </c>
      <c r="B55" s="52">
        <f>'Расчет субсидий'!AT55</f>
        <v>14.509090909090901</v>
      </c>
      <c r="C55" s="54">
        <f>'Расчет субсидий'!D55-1</f>
        <v>-1</v>
      </c>
      <c r="D55" s="54">
        <f>C55*'Расчет субсидий'!E55</f>
        <v>0</v>
      </c>
      <c r="E55" s="55">
        <f t="shared" si="18"/>
        <v>0</v>
      </c>
      <c r="F55" s="27" t="s">
        <v>367</v>
      </c>
      <c r="G55" s="27" t="s">
        <v>367</v>
      </c>
      <c r="H55" s="27" t="s">
        <v>367</v>
      </c>
      <c r="I55" s="27" t="s">
        <v>367</v>
      </c>
      <c r="J55" s="27" t="s">
        <v>367</v>
      </c>
      <c r="K55" s="27" t="s">
        <v>367</v>
      </c>
      <c r="L55" s="54">
        <f>'Расчет субсидий'!P55-1</f>
        <v>0.30000000000000004</v>
      </c>
      <c r="M55" s="54">
        <f>L55*'Расчет субсидий'!Q55</f>
        <v>6.0000000000000009</v>
      </c>
      <c r="N55" s="55">
        <f t="shared" si="19"/>
        <v>8.9477638515799676</v>
      </c>
      <c r="O55" s="54">
        <f>'Расчет субсидий'!T55-1</f>
        <v>0</v>
      </c>
      <c r="P55" s="54">
        <f>O55*'Расчет субсидий'!U55</f>
        <v>0</v>
      </c>
      <c r="Q55" s="55">
        <f t="shared" si="20"/>
        <v>0</v>
      </c>
      <c r="R55" s="54">
        <f>'Расчет субсидий'!X55-1</f>
        <v>4.705882352941182E-2</v>
      </c>
      <c r="S55" s="54">
        <f>R55*'Расчет субсидий'!Y55</f>
        <v>0.94117647058823639</v>
      </c>
      <c r="T55" s="55">
        <f t="shared" si="21"/>
        <v>1.4035708002478395</v>
      </c>
      <c r="U55" s="60">
        <f>'Расчет субсидий'!AB55-1</f>
        <v>-0.1948714046568254</v>
      </c>
      <c r="V55" s="60">
        <f>U55*'Расчет субсидий'!AC55</f>
        <v>-0.97435702328412699</v>
      </c>
      <c r="W55" s="55">
        <f t="shared" si="15"/>
        <v>-1.4530527585791284</v>
      </c>
      <c r="X55" s="71">
        <f>'Расчет субсидий'!AF55-1</f>
        <v>0.18811881188118806</v>
      </c>
      <c r="Y55" s="71">
        <f>X55*'Расчет субсидий'!AG55</f>
        <v>3.7623762376237613</v>
      </c>
      <c r="Z55" s="55">
        <f t="shared" si="16"/>
        <v>5.6108090158422224</v>
      </c>
      <c r="AA55" s="27" t="s">
        <v>367</v>
      </c>
      <c r="AB55" s="27" t="s">
        <v>367</v>
      </c>
      <c r="AC55" s="27" t="s">
        <v>367</v>
      </c>
      <c r="AD55" s="27" t="s">
        <v>367</v>
      </c>
      <c r="AE55" s="27" t="s">
        <v>367</v>
      </c>
      <c r="AF55" s="27" t="s">
        <v>367</v>
      </c>
      <c r="AG55" s="54">
        <f t="shared" si="17"/>
        <v>9.7291956849278716</v>
      </c>
    </row>
    <row r="56" spans="1:33" ht="15" customHeight="1">
      <c r="A56" s="33" t="s">
        <v>55</v>
      </c>
      <c r="B56" s="52">
        <f>'Расчет субсидий'!AT56</f>
        <v>-9.1727272727272293</v>
      </c>
      <c r="C56" s="54">
        <f>'Расчет субсидий'!D56-1</f>
        <v>-1</v>
      </c>
      <c r="D56" s="54">
        <f>C56*'Расчет субсидий'!E56</f>
        <v>0</v>
      </c>
      <c r="E56" s="55">
        <f t="shared" si="18"/>
        <v>0</v>
      </c>
      <c r="F56" s="27" t="s">
        <v>367</v>
      </c>
      <c r="G56" s="27" t="s">
        <v>367</v>
      </c>
      <c r="H56" s="27" t="s">
        <v>367</v>
      </c>
      <c r="I56" s="27" t="s">
        <v>367</v>
      </c>
      <c r="J56" s="27" t="s">
        <v>367</v>
      </c>
      <c r="K56" s="27" t="s">
        <v>367</v>
      </c>
      <c r="L56" s="54">
        <f>'Расчет субсидий'!P56-1</f>
        <v>-0.24062307849969256</v>
      </c>
      <c r="M56" s="54">
        <f>L56*'Расчет субсидий'!Q56</f>
        <v>-4.8124615699938511</v>
      </c>
      <c r="N56" s="55">
        <f t="shared" si="19"/>
        <v>-14.384909944652126</v>
      </c>
      <c r="O56" s="54">
        <f>'Расчет субсидий'!T56-1</f>
        <v>-5.5238095238095197E-2</v>
      </c>
      <c r="P56" s="54">
        <f>O56*'Расчет субсидий'!U56</f>
        <v>-1.38095238095238</v>
      </c>
      <c r="Q56" s="55">
        <f t="shared" si="20"/>
        <v>-4.1277993286662866</v>
      </c>
      <c r="R56" s="54">
        <f>'Расчет субсидий'!X56-1</f>
        <v>2.0833333333333259E-2</v>
      </c>
      <c r="S56" s="54">
        <f>R56*'Расчет субсидий'!Y56</f>
        <v>0.52083333333333148</v>
      </c>
      <c r="T56" s="55">
        <f t="shared" si="21"/>
        <v>1.5568208674926685</v>
      </c>
      <c r="U56" s="60">
        <f>'Расчет субсидий'!AB56-1</f>
        <v>-0.3295668549905838</v>
      </c>
      <c r="V56" s="60">
        <f>U56*'Расчет субсидий'!AC56</f>
        <v>-1.6478342749529191</v>
      </c>
      <c r="W56" s="55">
        <f t="shared" si="15"/>
        <v>-4.9255349479994202</v>
      </c>
      <c r="X56" s="71">
        <f>'Расчет субсидий'!AF56-1</f>
        <v>0.21258426966292121</v>
      </c>
      <c r="Y56" s="71">
        <f>X56*'Расчет субсидий'!AG56</f>
        <v>4.2516853932584242</v>
      </c>
      <c r="Z56" s="55">
        <f t="shared" si="16"/>
        <v>12.708696081097939</v>
      </c>
      <c r="AA56" s="27" t="s">
        <v>367</v>
      </c>
      <c r="AB56" s="27" t="s">
        <v>367</v>
      </c>
      <c r="AC56" s="27" t="s">
        <v>367</v>
      </c>
      <c r="AD56" s="27" t="s">
        <v>367</v>
      </c>
      <c r="AE56" s="27" t="s">
        <v>367</v>
      </c>
      <c r="AF56" s="27" t="s">
        <v>367</v>
      </c>
      <c r="AG56" s="54">
        <f t="shared" si="17"/>
        <v>-3.0687294993073957</v>
      </c>
    </row>
    <row r="57" spans="1:33" ht="15" customHeight="1">
      <c r="A57" s="33" t="s">
        <v>56</v>
      </c>
      <c r="B57" s="52">
        <f>'Расчет субсидий'!AT57</f>
        <v>5.2636363636363512</v>
      </c>
      <c r="C57" s="54">
        <f>'Расчет субсидий'!D57-1</f>
        <v>-1</v>
      </c>
      <c r="D57" s="54">
        <f>C57*'Расчет субсидий'!E57</f>
        <v>0</v>
      </c>
      <c r="E57" s="55">
        <f t="shared" si="18"/>
        <v>0</v>
      </c>
      <c r="F57" s="27" t="s">
        <v>367</v>
      </c>
      <c r="G57" s="27" t="s">
        <v>367</v>
      </c>
      <c r="H57" s="27" t="s">
        <v>367</v>
      </c>
      <c r="I57" s="27" t="s">
        <v>367</v>
      </c>
      <c r="J57" s="27" t="s">
        <v>367</v>
      </c>
      <c r="K57" s="27" t="s">
        <v>367</v>
      </c>
      <c r="L57" s="54">
        <f>'Расчет субсидий'!P57-1</f>
        <v>-0.26840408382589998</v>
      </c>
      <c r="M57" s="54">
        <f>L57*'Расчет субсидий'!Q57</f>
        <v>-5.3680816765179991</v>
      </c>
      <c r="N57" s="55">
        <f t="shared" si="19"/>
        <v>-16.501110665012263</v>
      </c>
      <c r="O57" s="54">
        <f>'Расчет субсидий'!T57-1</f>
        <v>8.0275715800636416E-2</v>
      </c>
      <c r="P57" s="54">
        <f>O57*'Расчет субсидий'!U57</f>
        <v>2.4082714740190925</v>
      </c>
      <c r="Q57" s="55">
        <f t="shared" si="20"/>
        <v>7.4028594382263604</v>
      </c>
      <c r="R57" s="54">
        <f>'Расчет субсидий'!X57-1</f>
        <v>9.000000000000008E-2</v>
      </c>
      <c r="S57" s="54">
        <f>R57*'Расчет субсидий'!Y57</f>
        <v>1.8000000000000016</v>
      </c>
      <c r="T57" s="55">
        <f t="shared" si="21"/>
        <v>5.5330751256915063</v>
      </c>
      <c r="U57" s="60">
        <f>'Расчет субсидий'!AB57-1</f>
        <v>0.21897590361445785</v>
      </c>
      <c r="V57" s="60">
        <f>U57*'Расчет субсидий'!AC57</f>
        <v>1.0948795180722892</v>
      </c>
      <c r="W57" s="55">
        <f t="shared" si="15"/>
        <v>3.365583681708268</v>
      </c>
      <c r="X57" s="71">
        <f>'Расчет субсидий'!AF57-1</f>
        <v>8.8863892013498313E-2</v>
      </c>
      <c r="Y57" s="71">
        <f>X57*'Расчет субсидий'!AG57</f>
        <v>1.7772778402699663</v>
      </c>
      <c r="Z57" s="55">
        <f t="shared" si="16"/>
        <v>5.4632287830224797</v>
      </c>
      <c r="AA57" s="27" t="s">
        <v>367</v>
      </c>
      <c r="AB57" s="27" t="s">
        <v>367</v>
      </c>
      <c r="AC57" s="27" t="s">
        <v>367</v>
      </c>
      <c r="AD57" s="27" t="s">
        <v>367</v>
      </c>
      <c r="AE57" s="27" t="s">
        <v>367</v>
      </c>
      <c r="AF57" s="27" t="s">
        <v>367</v>
      </c>
      <c r="AG57" s="54">
        <f t="shared" si="17"/>
        <v>1.7123471558433505</v>
      </c>
    </row>
    <row r="58" spans="1:33" ht="15" customHeight="1">
      <c r="A58" s="33" t="s">
        <v>57</v>
      </c>
      <c r="B58" s="52">
        <f>'Расчет субсидий'!AT58</f>
        <v>23.100000000000023</v>
      </c>
      <c r="C58" s="54">
        <f>'Расчет субсидий'!D58-1</f>
        <v>-1</v>
      </c>
      <c r="D58" s="54">
        <f>C58*'Расчет субсидий'!E58</f>
        <v>0</v>
      </c>
      <c r="E58" s="55">
        <f t="shared" si="18"/>
        <v>0</v>
      </c>
      <c r="F58" s="27" t="s">
        <v>367</v>
      </c>
      <c r="G58" s="27" t="s">
        <v>367</v>
      </c>
      <c r="H58" s="27" t="s">
        <v>367</v>
      </c>
      <c r="I58" s="27" t="s">
        <v>367</v>
      </c>
      <c r="J58" s="27" t="s">
        <v>367</v>
      </c>
      <c r="K58" s="27" t="s">
        <v>367</v>
      </c>
      <c r="L58" s="54">
        <f>'Расчет субсидий'!P58-1</f>
        <v>0.30000000000000004</v>
      </c>
      <c r="M58" s="54">
        <f>L58*'Расчет субсидий'!Q58</f>
        <v>6.0000000000000009</v>
      </c>
      <c r="N58" s="55">
        <f t="shared" si="19"/>
        <v>19.866080572630729</v>
      </c>
      <c r="O58" s="54">
        <f>'Расчет субсидий'!T58-1</f>
        <v>1.7647058823529349E-2</v>
      </c>
      <c r="P58" s="54">
        <f>O58*'Расчет субсидий'!U58</f>
        <v>0.52941176470588047</v>
      </c>
      <c r="Q58" s="55">
        <f t="shared" si="20"/>
        <v>1.7528894622909401</v>
      </c>
      <c r="R58" s="54">
        <f>'Расчет субсидий'!X58-1</f>
        <v>4.0000000000000036E-2</v>
      </c>
      <c r="S58" s="54">
        <f>R58*'Расчет субсидий'!Y58</f>
        <v>0.80000000000000071</v>
      </c>
      <c r="T58" s="55">
        <f t="shared" si="21"/>
        <v>2.6488107430174326</v>
      </c>
      <c r="U58" s="60">
        <f>'Расчет субсидий'!AB58-1</f>
        <v>0.2147321428571427</v>
      </c>
      <c r="V58" s="60">
        <f>U58*'Расчет субсидий'!AC58</f>
        <v>1.0736607142857135</v>
      </c>
      <c r="W58" s="55">
        <f t="shared" si="15"/>
        <v>3.5549050429447067</v>
      </c>
      <c r="X58" s="71">
        <f>'Расчет субсидий'!AF58-1</f>
        <v>-7.1317829457364312E-2</v>
      </c>
      <c r="Y58" s="71">
        <f>X58*'Расчет субсидий'!AG58</f>
        <v>-1.4263565891472862</v>
      </c>
      <c r="Z58" s="55">
        <f t="shared" si="16"/>
        <v>-4.7226858208837879</v>
      </c>
      <c r="AA58" s="27" t="s">
        <v>367</v>
      </c>
      <c r="AB58" s="27" t="s">
        <v>367</v>
      </c>
      <c r="AC58" s="27" t="s">
        <v>367</v>
      </c>
      <c r="AD58" s="27" t="s">
        <v>367</v>
      </c>
      <c r="AE58" s="27" t="s">
        <v>367</v>
      </c>
      <c r="AF58" s="27" t="s">
        <v>367</v>
      </c>
      <c r="AG58" s="54">
        <f t="shared" si="17"/>
        <v>6.9767158898443107</v>
      </c>
    </row>
    <row r="59" spans="1:33" ht="15" customHeight="1">
      <c r="A59" s="33" t="s">
        <v>58</v>
      </c>
      <c r="B59" s="52">
        <f>'Расчет субсидий'!AT59</f>
        <v>24.136363636363626</v>
      </c>
      <c r="C59" s="54">
        <f>'Расчет субсидий'!D59-1</f>
        <v>-1</v>
      </c>
      <c r="D59" s="54">
        <f>C59*'Расчет субсидий'!E59</f>
        <v>0</v>
      </c>
      <c r="E59" s="55">
        <f t="shared" si="18"/>
        <v>0</v>
      </c>
      <c r="F59" s="27" t="s">
        <v>367</v>
      </c>
      <c r="G59" s="27" t="s">
        <v>367</v>
      </c>
      <c r="H59" s="27" t="s">
        <v>367</v>
      </c>
      <c r="I59" s="27" t="s">
        <v>367</v>
      </c>
      <c r="J59" s="27" t="s">
        <v>367</v>
      </c>
      <c r="K59" s="27" t="s">
        <v>367</v>
      </c>
      <c r="L59" s="54">
        <f>'Расчет субсидий'!P59-1</f>
        <v>0.27500947567909018</v>
      </c>
      <c r="M59" s="54">
        <f>L59*'Расчет субсидий'!Q59</f>
        <v>5.5001895135818035</v>
      </c>
      <c r="N59" s="55">
        <f t="shared" si="19"/>
        <v>18.472853178237575</v>
      </c>
      <c r="O59" s="54">
        <f>'Расчет субсидий'!T59-1</f>
        <v>2.6666666666666616E-2</v>
      </c>
      <c r="P59" s="54">
        <f>O59*'Расчет субсидий'!U59</f>
        <v>0.79999999999999849</v>
      </c>
      <c r="Q59" s="55">
        <f t="shared" si="20"/>
        <v>2.6868678808425641</v>
      </c>
      <c r="R59" s="54">
        <f>'Расчет субсидий'!X59-1</f>
        <v>2.4390243902439046E-2</v>
      </c>
      <c r="S59" s="54">
        <f>R59*'Расчет субсидий'!Y59</f>
        <v>0.48780487804878092</v>
      </c>
      <c r="T59" s="55">
        <f t="shared" si="21"/>
        <v>1.6383340736844947</v>
      </c>
      <c r="U59" s="60">
        <f>'Расчет субсидий'!AB59-1</f>
        <v>7.9694785926240019E-2</v>
      </c>
      <c r="V59" s="60">
        <f>U59*'Расчет субсидий'!AC59</f>
        <v>0.3984739296312001</v>
      </c>
      <c r="W59" s="55">
        <f t="shared" si="15"/>
        <v>1.3383085035989919</v>
      </c>
      <c r="X59" s="71">
        <f>'Расчет субсидий'!AF59-1</f>
        <v>0</v>
      </c>
      <c r="Y59" s="71">
        <f>X59*'Расчет субсидий'!AG59</f>
        <v>0</v>
      </c>
      <c r="Z59" s="55">
        <f t="shared" si="16"/>
        <v>0</v>
      </c>
      <c r="AA59" s="27" t="s">
        <v>367</v>
      </c>
      <c r="AB59" s="27" t="s">
        <v>367</v>
      </c>
      <c r="AC59" s="27" t="s">
        <v>367</v>
      </c>
      <c r="AD59" s="27" t="s">
        <v>367</v>
      </c>
      <c r="AE59" s="27" t="s">
        <v>367</v>
      </c>
      <c r="AF59" s="27" t="s">
        <v>367</v>
      </c>
      <c r="AG59" s="54">
        <f t="shared" si="17"/>
        <v>7.186468321261783</v>
      </c>
    </row>
    <row r="60" spans="1:33" ht="15" customHeight="1">
      <c r="A60" s="33" t="s">
        <v>59</v>
      </c>
      <c r="B60" s="52">
        <f>'Расчет субсидий'!AT60</f>
        <v>2.5545454545454547</v>
      </c>
      <c r="C60" s="54">
        <f>'Расчет субсидий'!D60-1</f>
        <v>8.9483333333333359E-2</v>
      </c>
      <c r="D60" s="54">
        <f>C60*'Расчет субсидий'!E60</f>
        <v>0.89483333333333359</v>
      </c>
      <c r="E60" s="55">
        <f t="shared" si="18"/>
        <v>0.33272842270525788</v>
      </c>
      <c r="F60" s="27" t="s">
        <v>367</v>
      </c>
      <c r="G60" s="27" t="s">
        <v>367</v>
      </c>
      <c r="H60" s="27" t="s">
        <v>367</v>
      </c>
      <c r="I60" s="27" t="s">
        <v>367</v>
      </c>
      <c r="J60" s="27" t="s">
        <v>367</v>
      </c>
      <c r="K60" s="27" t="s">
        <v>367</v>
      </c>
      <c r="L60" s="54">
        <f>'Расчет субсидий'!P60-1</f>
        <v>-1.9645400520595935E-4</v>
      </c>
      <c r="M60" s="54">
        <f>L60*'Расчет субсидий'!Q60</f>
        <v>-3.929080104119187E-3</v>
      </c>
      <c r="N60" s="55">
        <f t="shared" si="19"/>
        <v>-1.4609610270734069E-3</v>
      </c>
      <c r="O60" s="54">
        <f>'Расчет субсидий'!T60-1</f>
        <v>3.3333333333333437E-2</v>
      </c>
      <c r="P60" s="54">
        <f>O60*'Расчет субсидий'!U60</f>
        <v>1.0000000000000031</v>
      </c>
      <c r="Q60" s="55">
        <f t="shared" si="20"/>
        <v>0.37183284340315748</v>
      </c>
      <c r="R60" s="54">
        <f>'Расчет субсидий'!X60-1</f>
        <v>2.8571428571428692E-2</v>
      </c>
      <c r="S60" s="54">
        <f>R60*'Расчет субсидий'!Y60</f>
        <v>0.57142857142857384</v>
      </c>
      <c r="T60" s="55">
        <f t="shared" si="21"/>
        <v>0.21247591051609024</v>
      </c>
      <c r="U60" s="60">
        <f>'Расчет субсидий'!AB60-1</f>
        <v>6.1163977382429957E-2</v>
      </c>
      <c r="V60" s="60">
        <f>U60*'Расчет субсидий'!AC60</f>
        <v>0.30581988691214979</v>
      </c>
      <c r="W60" s="55">
        <f t="shared" si="15"/>
        <v>0.11371387811977637</v>
      </c>
      <c r="X60" s="71">
        <f>'Расчет субсидий'!AF60-1</f>
        <v>0.2050996015936255</v>
      </c>
      <c r="Y60" s="71">
        <f>X60*'Расчет субсидий'!AG60</f>
        <v>4.10199203187251</v>
      </c>
      <c r="Z60" s="55">
        <f t="shared" si="16"/>
        <v>1.5252553608282462</v>
      </c>
      <c r="AA60" s="27" t="s">
        <v>367</v>
      </c>
      <c r="AB60" s="27" t="s">
        <v>367</v>
      </c>
      <c r="AC60" s="27" t="s">
        <v>367</v>
      </c>
      <c r="AD60" s="27" t="s">
        <v>367</v>
      </c>
      <c r="AE60" s="27" t="s">
        <v>367</v>
      </c>
      <c r="AF60" s="27" t="s">
        <v>367</v>
      </c>
      <c r="AG60" s="54">
        <f t="shared" si="17"/>
        <v>6.8701447434424514</v>
      </c>
    </row>
    <row r="61" spans="1:33" ht="15" customHeight="1">
      <c r="A61" s="33" t="s">
        <v>60</v>
      </c>
      <c r="B61" s="52">
        <f>'Расчет субсидий'!AT61</f>
        <v>-14.918181818181807</v>
      </c>
      <c r="C61" s="54">
        <f>'Расчет субсидий'!D61-1</f>
        <v>-1</v>
      </c>
      <c r="D61" s="54">
        <f>C61*'Расчет субсидий'!E61</f>
        <v>0</v>
      </c>
      <c r="E61" s="55">
        <f t="shared" si="18"/>
        <v>0</v>
      </c>
      <c r="F61" s="27" t="s">
        <v>367</v>
      </c>
      <c r="G61" s="27" t="s">
        <v>367</v>
      </c>
      <c r="H61" s="27" t="s">
        <v>367</v>
      </c>
      <c r="I61" s="27" t="s">
        <v>367</v>
      </c>
      <c r="J61" s="27" t="s">
        <v>367</v>
      </c>
      <c r="K61" s="27" t="s">
        <v>367</v>
      </c>
      <c r="L61" s="54">
        <f>'Расчет субсидий'!P61-1</f>
        <v>-0.11916987590928541</v>
      </c>
      <c r="M61" s="54">
        <f>L61*'Расчет субсидий'!Q61</f>
        <v>-2.3833975181857081</v>
      </c>
      <c r="N61" s="55">
        <f t="shared" si="19"/>
        <v>-4.3874186735477183</v>
      </c>
      <c r="O61" s="54">
        <f>'Расчет субсидий'!T61-1</f>
        <v>1.7878787878787827E-2</v>
      </c>
      <c r="P61" s="54">
        <f>O61*'Расчет субсидий'!U61</f>
        <v>0.53636363636363482</v>
      </c>
      <c r="Q61" s="55">
        <f t="shared" si="20"/>
        <v>0.98735180180313109</v>
      </c>
      <c r="R61" s="54">
        <f>'Расчет субсидий'!X61-1</f>
        <v>-0.26666666666666661</v>
      </c>
      <c r="S61" s="54">
        <f>R61*'Расчет субсидий'!Y61</f>
        <v>-5.3333333333333321</v>
      </c>
      <c r="T61" s="55">
        <f t="shared" si="21"/>
        <v>-9.8177354303588444</v>
      </c>
      <c r="U61" s="60">
        <f>'Расчет субсидий'!AB61-1</f>
        <v>-9.4074322062269844E-2</v>
      </c>
      <c r="V61" s="60">
        <f>U61*'Расчет субсидий'!AC61</f>
        <v>-0.47037161031134922</v>
      </c>
      <c r="W61" s="55">
        <f t="shared" si="15"/>
        <v>-0.86587200449787693</v>
      </c>
      <c r="X61" s="71">
        <f>'Расчет субсидий'!AF61-1</f>
        <v>-2.2666666666666613E-2</v>
      </c>
      <c r="Y61" s="71">
        <f>X61*'Расчет субсидий'!AG61</f>
        <v>-0.45333333333333226</v>
      </c>
      <c r="Z61" s="55">
        <f t="shared" si="16"/>
        <v>-0.83450751158049996</v>
      </c>
      <c r="AA61" s="27" t="s">
        <v>367</v>
      </c>
      <c r="AB61" s="27" t="s">
        <v>367</v>
      </c>
      <c r="AC61" s="27" t="s">
        <v>367</v>
      </c>
      <c r="AD61" s="27" t="s">
        <v>367</v>
      </c>
      <c r="AE61" s="27" t="s">
        <v>367</v>
      </c>
      <c r="AF61" s="27" t="s">
        <v>367</v>
      </c>
      <c r="AG61" s="54">
        <f t="shared" si="17"/>
        <v>-8.1040721588000864</v>
      </c>
    </row>
    <row r="62" spans="1:33" ht="15" customHeight="1">
      <c r="A62" s="33" t="s">
        <v>61</v>
      </c>
      <c r="B62" s="52">
        <f>'Расчет субсидий'!AT62</f>
        <v>4.6090909090908951</v>
      </c>
      <c r="C62" s="54">
        <f>'Расчет субсидий'!D62-1</f>
        <v>0</v>
      </c>
      <c r="D62" s="54">
        <f>C62*'Расчет субсидий'!E62</f>
        <v>0</v>
      </c>
      <c r="E62" s="55">
        <f t="shared" si="18"/>
        <v>0</v>
      </c>
      <c r="F62" s="27" t="s">
        <v>367</v>
      </c>
      <c r="G62" s="27" t="s">
        <v>367</v>
      </c>
      <c r="H62" s="27" t="s">
        <v>367</v>
      </c>
      <c r="I62" s="27" t="s">
        <v>367</v>
      </c>
      <c r="J62" s="27" t="s">
        <v>367</v>
      </c>
      <c r="K62" s="27" t="s">
        <v>367</v>
      </c>
      <c r="L62" s="54">
        <f>'Расчет субсидий'!P62-1</f>
        <v>0.22417322834645659</v>
      </c>
      <c r="M62" s="54">
        <f>L62*'Расчет субсидий'!Q62</f>
        <v>4.4834645669291318</v>
      </c>
      <c r="N62" s="55">
        <f t="shared" si="19"/>
        <v>5.4191543412033836</v>
      </c>
      <c r="O62" s="54">
        <f>'Расчет субсидий'!T62-1</f>
        <v>1.9444444444444597E-2</v>
      </c>
      <c r="P62" s="54">
        <f>O62*'Расчет субсидий'!U62</f>
        <v>0.58333333333333792</v>
      </c>
      <c r="Q62" s="55">
        <f t="shared" si="20"/>
        <v>0.70507379249061131</v>
      </c>
      <c r="R62" s="54">
        <f>'Расчет субсидий'!X62-1</f>
        <v>3.0303030303030276E-2</v>
      </c>
      <c r="S62" s="54">
        <f>R62*'Расчет субсидий'!Y62</f>
        <v>0.60606060606060552</v>
      </c>
      <c r="T62" s="55">
        <f t="shared" si="21"/>
        <v>0.73254419999023901</v>
      </c>
      <c r="U62" s="60">
        <f>'Расчет субсидий'!AB62-1</f>
        <v>-0.37191780821917808</v>
      </c>
      <c r="V62" s="60">
        <f>U62*'Расчет субсидий'!AC62</f>
        <v>-1.8595890410958904</v>
      </c>
      <c r="W62" s="55">
        <f t="shared" si="15"/>
        <v>-2.2476814245933401</v>
      </c>
      <c r="X62" s="71">
        <f>'Расчет субсидий'!AF62-1</f>
        <v>0</v>
      </c>
      <c r="Y62" s="71">
        <f>X62*'Расчет субсидий'!AG62</f>
        <v>0</v>
      </c>
      <c r="Z62" s="55">
        <f t="shared" si="16"/>
        <v>0</v>
      </c>
      <c r="AA62" s="27" t="s">
        <v>367</v>
      </c>
      <c r="AB62" s="27" t="s">
        <v>367</v>
      </c>
      <c r="AC62" s="27" t="s">
        <v>367</v>
      </c>
      <c r="AD62" s="27" t="s">
        <v>367</v>
      </c>
      <c r="AE62" s="27" t="s">
        <v>367</v>
      </c>
      <c r="AF62" s="27" t="s">
        <v>367</v>
      </c>
      <c r="AG62" s="54">
        <f t="shared" si="17"/>
        <v>3.8132694652271852</v>
      </c>
    </row>
    <row r="63" spans="1:33" ht="15" customHeight="1">
      <c r="A63" s="33" t="s">
        <v>62</v>
      </c>
      <c r="B63" s="52">
        <f>'Расчет субсидий'!AT63</f>
        <v>-32.963636363636368</v>
      </c>
      <c r="C63" s="54">
        <f>'Расчет субсидий'!D63-1</f>
        <v>-1</v>
      </c>
      <c r="D63" s="54">
        <f>C63*'Расчет субсидий'!E63</f>
        <v>0</v>
      </c>
      <c r="E63" s="55">
        <f t="shared" si="18"/>
        <v>0</v>
      </c>
      <c r="F63" s="27" t="s">
        <v>367</v>
      </c>
      <c r="G63" s="27" t="s">
        <v>367</v>
      </c>
      <c r="H63" s="27" t="s">
        <v>367</v>
      </c>
      <c r="I63" s="27" t="s">
        <v>367</v>
      </c>
      <c r="J63" s="27" t="s">
        <v>367</v>
      </c>
      <c r="K63" s="27" t="s">
        <v>367</v>
      </c>
      <c r="L63" s="54">
        <f>'Расчет субсидий'!P63-1</f>
        <v>-0.71980508179603198</v>
      </c>
      <c r="M63" s="54">
        <f>L63*'Расчет субсидий'!Q63</f>
        <v>-14.39610163592064</v>
      </c>
      <c r="N63" s="55">
        <f t="shared" si="19"/>
        <v>-32.000400579275194</v>
      </c>
      <c r="O63" s="54">
        <f>'Расчет субсидий'!T63-1</f>
        <v>0</v>
      </c>
      <c r="P63" s="54">
        <f>O63*'Расчет субсидий'!U63</f>
        <v>0</v>
      </c>
      <c r="Q63" s="55">
        <f t="shared" si="20"/>
        <v>0</v>
      </c>
      <c r="R63" s="54">
        <f>'Расчет субсидий'!X63-1</f>
        <v>4.4444444444444509E-2</v>
      </c>
      <c r="S63" s="54">
        <f>R63*'Расчет субсидий'!Y63</f>
        <v>0.66666666666666763</v>
      </c>
      <c r="T63" s="55">
        <f t="shared" si="21"/>
        <v>1.4819012067095063</v>
      </c>
      <c r="U63" s="60">
        <f>'Расчет субсидий'!AB63-1</f>
        <v>-0.21999999999999997</v>
      </c>
      <c r="V63" s="60">
        <f>U63*'Расчет субсидий'!AC63</f>
        <v>-1.0999999999999999</v>
      </c>
      <c r="W63" s="55">
        <f t="shared" si="15"/>
        <v>-2.4451369910706813</v>
      </c>
      <c r="X63" s="71">
        <f>'Расчет субсидий'!AF63-1</f>
        <v>0</v>
      </c>
      <c r="Y63" s="71">
        <f>X63*'Расчет субсидий'!AG63</f>
        <v>0</v>
      </c>
      <c r="Z63" s="55">
        <f t="shared" si="16"/>
        <v>0</v>
      </c>
      <c r="AA63" s="27" t="s">
        <v>367</v>
      </c>
      <c r="AB63" s="27" t="s">
        <v>367</v>
      </c>
      <c r="AC63" s="27" t="s">
        <v>367</v>
      </c>
      <c r="AD63" s="27" t="s">
        <v>367</v>
      </c>
      <c r="AE63" s="27" t="s">
        <v>367</v>
      </c>
      <c r="AF63" s="27" t="s">
        <v>367</v>
      </c>
      <c r="AG63" s="54">
        <f t="shared" si="17"/>
        <v>-14.829434969253972</v>
      </c>
    </row>
    <row r="64" spans="1:33" ht="15" customHeight="1">
      <c r="A64" s="33" t="s">
        <v>63</v>
      </c>
      <c r="B64" s="52">
        <f>'Расчет субсидий'!AT64</f>
        <v>-30.099999999999994</v>
      </c>
      <c r="C64" s="54">
        <f>'Расчет субсидий'!D64-1</f>
        <v>-0.85205882352941176</v>
      </c>
      <c r="D64" s="54">
        <f>C64*'Расчет субсидий'!E64</f>
        <v>-8.5205882352941167</v>
      </c>
      <c r="E64" s="55">
        <f t="shared" si="18"/>
        <v>-18.754584101025777</v>
      </c>
      <c r="F64" s="27" t="s">
        <v>367</v>
      </c>
      <c r="G64" s="27" t="s">
        <v>367</v>
      </c>
      <c r="H64" s="27" t="s">
        <v>367</v>
      </c>
      <c r="I64" s="27" t="s">
        <v>367</v>
      </c>
      <c r="J64" s="27" t="s">
        <v>367</v>
      </c>
      <c r="K64" s="27" t="s">
        <v>367</v>
      </c>
      <c r="L64" s="54">
        <f>'Расчет субсидий'!P64-1</f>
        <v>-0.37121680049413219</v>
      </c>
      <c r="M64" s="54">
        <f>L64*'Расчет субсидий'!Q64</f>
        <v>-7.4243360098826443</v>
      </c>
      <c r="N64" s="55">
        <f t="shared" si="19"/>
        <v>-16.341633963117086</v>
      </c>
      <c r="O64" s="54">
        <f>'Расчет субсидий'!T64-1</f>
        <v>2.4999999999999911E-2</v>
      </c>
      <c r="P64" s="54">
        <f>O64*'Расчет субсидий'!U64</f>
        <v>0.62499999999999778</v>
      </c>
      <c r="Q64" s="55">
        <f t="shared" si="20"/>
        <v>1.3756814364749617</v>
      </c>
      <c r="R64" s="54">
        <f>'Расчет субсидий'!X64-1</f>
        <v>1.4814814814814836E-2</v>
      </c>
      <c r="S64" s="54">
        <f>R64*'Расчет субсидий'!Y64</f>
        <v>0.3703703703703709</v>
      </c>
      <c r="T64" s="55">
        <f t="shared" si="21"/>
        <v>0.81521862902220377</v>
      </c>
      <c r="U64" s="60">
        <f>'Расчет субсидий'!AB64-1</f>
        <v>-1.3599999999999945E-2</v>
      </c>
      <c r="V64" s="60">
        <f>U64*'Расчет субсидий'!AC64</f>
        <v>-6.7999999999999727E-2</v>
      </c>
      <c r="W64" s="55">
        <f t="shared" si="15"/>
        <v>-0.14967414028847575</v>
      </c>
      <c r="X64" s="71">
        <f>'Расчет субсидий'!AF64-1</f>
        <v>6.7125645438898429E-2</v>
      </c>
      <c r="Y64" s="71">
        <f>X64*'Расчет субсидий'!AG64</f>
        <v>1.3425129087779686</v>
      </c>
      <c r="Z64" s="55">
        <f t="shared" si="16"/>
        <v>2.9549921389341787</v>
      </c>
      <c r="AA64" s="27" t="s">
        <v>367</v>
      </c>
      <c r="AB64" s="27" t="s">
        <v>367</v>
      </c>
      <c r="AC64" s="27" t="s">
        <v>367</v>
      </c>
      <c r="AD64" s="27" t="s">
        <v>367</v>
      </c>
      <c r="AE64" s="27" t="s">
        <v>367</v>
      </c>
      <c r="AF64" s="27" t="s">
        <v>367</v>
      </c>
      <c r="AG64" s="54">
        <f t="shared" si="17"/>
        <v>-13.675040966028423</v>
      </c>
    </row>
    <row r="65" spans="1:33" ht="15" customHeight="1">
      <c r="A65" s="32" t="s">
        <v>64</v>
      </c>
      <c r="B65" s="56"/>
      <c r="C65" s="57"/>
      <c r="D65" s="57"/>
      <c r="E65" s="58"/>
      <c r="F65" s="57"/>
      <c r="G65" s="57"/>
      <c r="H65" s="58"/>
      <c r="I65" s="58"/>
      <c r="J65" s="58"/>
      <c r="K65" s="58"/>
      <c r="L65" s="57"/>
      <c r="M65" s="57"/>
      <c r="N65" s="58"/>
      <c r="O65" s="57"/>
      <c r="P65" s="57"/>
      <c r="Q65" s="58"/>
      <c r="R65" s="57"/>
      <c r="S65" s="57"/>
      <c r="T65" s="58"/>
      <c r="U65" s="58"/>
      <c r="V65" s="58"/>
      <c r="W65" s="58"/>
      <c r="X65" s="73"/>
      <c r="Y65" s="73"/>
      <c r="Z65" s="58"/>
      <c r="AA65" s="58"/>
      <c r="AB65" s="58"/>
      <c r="AC65" s="58"/>
      <c r="AD65" s="58"/>
      <c r="AE65" s="58"/>
      <c r="AF65" s="58"/>
      <c r="AG65" s="58"/>
    </row>
    <row r="66" spans="1:33" ht="15" customHeight="1">
      <c r="A66" s="33" t="s">
        <v>65</v>
      </c>
      <c r="B66" s="52">
        <f>'Расчет субсидий'!AT66</f>
        <v>-43.836363636363672</v>
      </c>
      <c r="C66" s="54">
        <f>'Расчет субсидий'!D66-1</f>
        <v>0</v>
      </c>
      <c r="D66" s="54">
        <f>C66*'Расчет субсидий'!E66</f>
        <v>0</v>
      </c>
      <c r="E66" s="55">
        <f>$B66*D66/$AG66</f>
        <v>0</v>
      </c>
      <c r="F66" s="27" t="s">
        <v>367</v>
      </c>
      <c r="G66" s="27" t="s">
        <v>367</v>
      </c>
      <c r="H66" s="27" t="s">
        <v>367</v>
      </c>
      <c r="I66" s="27" t="s">
        <v>367</v>
      </c>
      <c r="J66" s="27" t="s">
        <v>367</v>
      </c>
      <c r="K66" s="27" t="s">
        <v>367</v>
      </c>
      <c r="L66" s="54">
        <f>'Расчет субсидий'!P66-1</f>
        <v>-0.59973009446693659</v>
      </c>
      <c r="M66" s="54">
        <f>L66*'Расчет субсидий'!Q66</f>
        <v>-11.994601889338732</v>
      </c>
      <c r="N66" s="55">
        <f>$B66*M66/$AG66</f>
        <v>-68.789849824820564</v>
      </c>
      <c r="O66" s="54">
        <f>'Расчет субсидий'!T66-1</f>
        <v>7.9541839007157833E-5</v>
      </c>
      <c r="P66" s="54">
        <f>O66*'Расчет субсидий'!U66</f>
        <v>2.386255170214735E-3</v>
      </c>
      <c r="Q66" s="55">
        <f>$B66*P66/$AG66</f>
        <v>1.3685334145910775E-2</v>
      </c>
      <c r="R66" s="54">
        <f>'Расчет субсидий'!X66-1</f>
        <v>8.5365853658536661E-2</v>
      </c>
      <c r="S66" s="54">
        <f>R66*'Расчет субсидий'!Y66</f>
        <v>1.7073170731707332</v>
      </c>
      <c r="T66" s="55">
        <f>$B66*S66/$AG66</f>
        <v>9.7915784242207788</v>
      </c>
      <c r="U66" s="60">
        <f>'Расчет субсидий'!AB66-1</f>
        <v>0.20178010471204177</v>
      </c>
      <c r="V66" s="60">
        <f>U66*'Расчет субсидий'!AC66</f>
        <v>1.0089005235602089</v>
      </c>
      <c r="W66" s="55">
        <f t="shared" si="15"/>
        <v>5.7861124649394915</v>
      </c>
      <c r="X66" s="71">
        <f>'Расчет субсидий'!AF66-1</f>
        <v>8.1621621621621676E-2</v>
      </c>
      <c r="Y66" s="71">
        <f>X66*'Расчет субсидий'!AG66</f>
        <v>1.6324324324324335</v>
      </c>
      <c r="Z66" s="55">
        <f t="shared" si="16"/>
        <v>9.362109965150708</v>
      </c>
      <c r="AA66" s="27" t="s">
        <v>367</v>
      </c>
      <c r="AB66" s="27" t="s">
        <v>367</v>
      </c>
      <c r="AC66" s="27" t="s">
        <v>367</v>
      </c>
      <c r="AD66" s="27" t="s">
        <v>367</v>
      </c>
      <c r="AE66" s="27" t="s">
        <v>367</v>
      </c>
      <c r="AF66" s="27" t="s">
        <v>367</v>
      </c>
      <c r="AG66" s="54">
        <f t="shared" si="17"/>
        <v>-7.6435656050051408</v>
      </c>
    </row>
    <row r="67" spans="1:33" ht="15" customHeight="1">
      <c r="A67" s="33" t="s">
        <v>66</v>
      </c>
      <c r="B67" s="52">
        <f>'Расчет субсидий'!AT67</f>
        <v>-30.172727272727229</v>
      </c>
      <c r="C67" s="54">
        <f>'Расчет субсидий'!D67-1</f>
        <v>5.3684120024073634E-2</v>
      </c>
      <c r="D67" s="54">
        <f>C67*'Расчет субсидий'!E67</f>
        <v>0.53684120024073634</v>
      </c>
      <c r="E67" s="55">
        <f>$B67*D67/$AG67</f>
        <v>3.5694593556061478</v>
      </c>
      <c r="F67" s="27" t="s">
        <v>367</v>
      </c>
      <c r="G67" s="27" t="s">
        <v>367</v>
      </c>
      <c r="H67" s="27" t="s">
        <v>367</v>
      </c>
      <c r="I67" s="27" t="s">
        <v>367</v>
      </c>
      <c r="J67" s="27" t="s">
        <v>367</v>
      </c>
      <c r="K67" s="27" t="s">
        <v>367</v>
      </c>
      <c r="L67" s="54">
        <f>'Расчет субсидий'!P67-1</f>
        <v>9.1124375527152468E-2</v>
      </c>
      <c r="M67" s="54">
        <f>L67*'Расчет субсидий'!Q67</f>
        <v>1.8224875105430494</v>
      </c>
      <c r="N67" s="55">
        <f>$B67*M67/$AG67</f>
        <v>12.117726977858755</v>
      </c>
      <c r="O67" s="54">
        <f>'Расчет субсидий'!T67-1</f>
        <v>7.4074074074073071E-3</v>
      </c>
      <c r="P67" s="54">
        <f>O67*'Расчет субсидий'!U67</f>
        <v>3.7037037037036535E-2</v>
      </c>
      <c r="Q67" s="55">
        <f>$B67*P67/$AG67</f>
        <v>0.24625941208777916</v>
      </c>
      <c r="R67" s="54">
        <f>'Расчет субсидий'!X67-1</f>
        <v>-6.3866799204771341E-2</v>
      </c>
      <c r="S67" s="54">
        <f>R67*'Расчет субсидий'!Y67</f>
        <v>-2.8740059642147102</v>
      </c>
      <c r="T67" s="55">
        <f>$B67*S67/$AG67</f>
        <v>-19.109277515275966</v>
      </c>
      <c r="U67" s="60">
        <f>'Расчет субсидий'!AB67-1</f>
        <v>-2.3169428113308355E-2</v>
      </c>
      <c r="V67" s="60">
        <f>U67*'Расчет субсидий'!AC67</f>
        <v>-0.11584714056654177</v>
      </c>
      <c r="W67" s="55">
        <f t="shared" si="15"/>
        <v>-0.77026811565511644</v>
      </c>
      <c r="X67" s="71">
        <f>'Расчет субсидий'!AF67-1</f>
        <v>-0.19722222222222219</v>
      </c>
      <c r="Y67" s="71">
        <f>X67*'Расчет субсидий'!AG67</f>
        <v>-3.9444444444444438</v>
      </c>
      <c r="Z67" s="55">
        <f t="shared" si="16"/>
        <v>-26.226627387348831</v>
      </c>
      <c r="AA67" s="27" t="s">
        <v>367</v>
      </c>
      <c r="AB67" s="27" t="s">
        <v>367</v>
      </c>
      <c r="AC67" s="27" t="s">
        <v>367</v>
      </c>
      <c r="AD67" s="27" t="s">
        <v>367</v>
      </c>
      <c r="AE67" s="27" t="s">
        <v>367</v>
      </c>
      <c r="AF67" s="27" t="s">
        <v>367</v>
      </c>
      <c r="AG67" s="54">
        <f t="shared" si="17"/>
        <v>-4.5379318014048735</v>
      </c>
    </row>
    <row r="68" spans="1:33" ht="15" customHeight="1">
      <c r="A68" s="33" t="s">
        <v>67</v>
      </c>
      <c r="B68" s="52">
        <f>'Расчет субсидий'!AT68</f>
        <v>7.5</v>
      </c>
      <c r="C68" s="54">
        <f>'Расчет субсидий'!D68-1</f>
        <v>0</v>
      </c>
      <c r="D68" s="54">
        <f>C68*'Расчет субсидий'!E68</f>
        <v>0</v>
      </c>
      <c r="E68" s="55">
        <f>$B68*D68/$AG68</f>
        <v>0</v>
      </c>
      <c r="F68" s="27" t="s">
        <v>367</v>
      </c>
      <c r="G68" s="27" t="s">
        <v>367</v>
      </c>
      <c r="H68" s="27" t="s">
        <v>367</v>
      </c>
      <c r="I68" s="27" t="s">
        <v>367</v>
      </c>
      <c r="J68" s="27" t="s">
        <v>367</v>
      </c>
      <c r="K68" s="27" t="s">
        <v>367</v>
      </c>
      <c r="L68" s="54">
        <f>'Расчет субсидий'!P68-1</f>
        <v>-0.11894369271060667</v>
      </c>
      <c r="M68" s="54">
        <f>L68*'Расчет субсидий'!Q68</f>
        <v>-2.3788738542121335</v>
      </c>
      <c r="N68" s="55">
        <f>$B68*M68/$AG68</f>
        <v>-6.2423081953872943</v>
      </c>
      <c r="O68" s="54">
        <f>'Расчет субсидий'!T68-1</f>
        <v>6.2885326757090132E-2</v>
      </c>
      <c r="P68" s="54">
        <f>O68*'Расчет субсидий'!U68</f>
        <v>1.2577065351418026</v>
      </c>
      <c r="Q68" s="55">
        <f>$B68*P68/$AG68</f>
        <v>3.300297658829844</v>
      </c>
      <c r="R68" s="54">
        <f>'Расчет субсидий'!X68-1</f>
        <v>0.10411622276029076</v>
      </c>
      <c r="S68" s="54">
        <f>R68*'Расчет субсидий'!Y68</f>
        <v>3.1234866828087227</v>
      </c>
      <c r="T68" s="55">
        <f>$B68*S68/$AG68</f>
        <v>8.1962170813540194</v>
      </c>
      <c r="U68" s="60">
        <f>'Расчет субсидий'!AB68-1</f>
        <v>-7.8830645161290347E-2</v>
      </c>
      <c r="V68" s="60">
        <f>U68*'Расчет субсидий'!AC68</f>
        <v>-0.39415322580645173</v>
      </c>
      <c r="W68" s="55">
        <f t="shared" si="15"/>
        <v>-1.0342817915012261</v>
      </c>
      <c r="X68" s="71">
        <f>'Расчет субсидий'!AF68-1</f>
        <v>6.25E-2</v>
      </c>
      <c r="Y68" s="71">
        <f>X68*'Расчет субсидий'!AG68</f>
        <v>1.25</v>
      </c>
      <c r="Z68" s="55">
        <f t="shared" si="16"/>
        <v>3.280075246704655</v>
      </c>
      <c r="AA68" s="27" t="s">
        <v>367</v>
      </c>
      <c r="AB68" s="27" t="s">
        <v>367</v>
      </c>
      <c r="AC68" s="27" t="s">
        <v>367</v>
      </c>
      <c r="AD68" s="27" t="s">
        <v>367</v>
      </c>
      <c r="AE68" s="27" t="s">
        <v>367</v>
      </c>
      <c r="AF68" s="27" t="s">
        <v>367</v>
      </c>
      <c r="AG68" s="54">
        <f t="shared" si="17"/>
        <v>2.8581661379319403</v>
      </c>
    </row>
    <row r="69" spans="1:33" ht="15" customHeight="1">
      <c r="A69" s="33" t="s">
        <v>68</v>
      </c>
      <c r="B69" s="52">
        <f>'Расчет субсидий'!AT69</f>
        <v>30.309090909090855</v>
      </c>
      <c r="C69" s="54">
        <f>'Расчет субсидий'!D69-1</f>
        <v>-8.9511036106053155E-2</v>
      </c>
      <c r="D69" s="54">
        <f>C69*'Расчет субсидий'!E69</f>
        <v>-0.89511036106053155</v>
      </c>
      <c r="E69" s="55">
        <f>$B69*D69/$AG69</f>
        <v>-3.7131813418439319</v>
      </c>
      <c r="F69" s="27" t="s">
        <v>367</v>
      </c>
      <c r="G69" s="27" t="s">
        <v>367</v>
      </c>
      <c r="H69" s="27" t="s">
        <v>367</v>
      </c>
      <c r="I69" s="27" t="s">
        <v>367</v>
      </c>
      <c r="J69" s="27" t="s">
        <v>367</v>
      </c>
      <c r="K69" s="27" t="s">
        <v>367</v>
      </c>
      <c r="L69" s="54">
        <f>'Расчет субсидий'!P69-1</f>
        <v>-0.20604215177025498</v>
      </c>
      <c r="M69" s="54">
        <f>L69*'Расчет субсидий'!Q69</f>
        <v>-4.1208430354051</v>
      </c>
      <c r="N69" s="55">
        <f>$B69*M69/$AG69</f>
        <v>-17.094470288115652</v>
      </c>
      <c r="O69" s="54">
        <f>'Расчет субсидий'!T69-1</f>
        <v>0.21508771929824566</v>
      </c>
      <c r="P69" s="54">
        <f>O69*'Расчет субсидий'!U69</f>
        <v>2.1508771929824566</v>
      </c>
      <c r="Q69" s="55">
        <f>$B69*P69/$AG69</f>
        <v>8.9224719196832272</v>
      </c>
      <c r="R69" s="54">
        <f>'Расчет субсидий'!X69-1</f>
        <v>0.30000000000000004</v>
      </c>
      <c r="S69" s="54">
        <f>R69*'Расчет субсидий'!Y69</f>
        <v>12.000000000000002</v>
      </c>
      <c r="T69" s="55">
        <f>$B69*S69/$AG69</f>
        <v>49.77953338550838</v>
      </c>
      <c r="U69" s="60">
        <f>'Расчет субсидий'!AB69-1</f>
        <v>6.5064102564102555E-2</v>
      </c>
      <c r="V69" s="60">
        <f>U69*'Расчет субсидий'!AC69</f>
        <v>0.32532051282051277</v>
      </c>
      <c r="W69" s="55">
        <f t="shared" si="15"/>
        <v>1.3495252774116182</v>
      </c>
      <c r="X69" s="71">
        <f>'Расчет субсидий'!AF69-1</f>
        <v>-0.10769230769230764</v>
      </c>
      <c r="Y69" s="71">
        <f>X69*'Расчет субсидий'!AG69</f>
        <v>-2.1538461538461529</v>
      </c>
      <c r="Z69" s="55">
        <f t="shared" si="16"/>
        <v>-8.9347880435527802</v>
      </c>
      <c r="AA69" s="27" t="s">
        <v>367</v>
      </c>
      <c r="AB69" s="27" t="s">
        <v>367</v>
      </c>
      <c r="AC69" s="27" t="s">
        <v>367</v>
      </c>
      <c r="AD69" s="27" t="s">
        <v>367</v>
      </c>
      <c r="AE69" s="27" t="s">
        <v>367</v>
      </c>
      <c r="AF69" s="27" t="s">
        <v>367</v>
      </c>
      <c r="AG69" s="54">
        <f t="shared" si="17"/>
        <v>7.3063981554911859</v>
      </c>
    </row>
    <row r="70" spans="1:33" ht="15" customHeight="1">
      <c r="A70" s="33" t="s">
        <v>69</v>
      </c>
      <c r="B70" s="52">
        <f>'Расчет субсидий'!AT70</f>
        <v>-20.24545454545455</v>
      </c>
      <c r="C70" s="54">
        <f>'Расчет субсидий'!D70-1</f>
        <v>-1</v>
      </c>
      <c r="D70" s="54">
        <f>C70*'Расчет субсидий'!E70</f>
        <v>0</v>
      </c>
      <c r="E70" s="55">
        <f>$B70*D70/$AG70</f>
        <v>0</v>
      </c>
      <c r="F70" s="27" t="s">
        <v>367</v>
      </c>
      <c r="G70" s="27" t="s">
        <v>367</v>
      </c>
      <c r="H70" s="27" t="s">
        <v>367</v>
      </c>
      <c r="I70" s="27" t="s">
        <v>367</v>
      </c>
      <c r="J70" s="27" t="s">
        <v>367</v>
      </c>
      <c r="K70" s="27" t="s">
        <v>367</v>
      </c>
      <c r="L70" s="54">
        <f>'Расчет субсидий'!P70-1</f>
        <v>-0.16889117043121149</v>
      </c>
      <c r="M70" s="54">
        <f>L70*'Расчет субсидий'!Q70</f>
        <v>-3.3778234086242298</v>
      </c>
      <c r="N70" s="55">
        <f>$B70*M70/$AG70</f>
        <v>-15.948295801752371</v>
      </c>
      <c r="O70" s="54">
        <f>'Расчет субсидий'!T70-1</f>
        <v>2.7978339350180681E-2</v>
      </c>
      <c r="P70" s="54">
        <f>O70*'Расчет субсидий'!U70</f>
        <v>0.55956678700361362</v>
      </c>
      <c r="Q70" s="55">
        <f>$B70*P70/$AG70</f>
        <v>2.6419784459971369</v>
      </c>
      <c r="R70" s="54">
        <f>'Расчет субсидий'!X70-1</f>
        <v>-8.8531187122736554E-2</v>
      </c>
      <c r="S70" s="54">
        <f>R70*'Расчет субсидий'!Y70</f>
        <v>-2.6559356136820966</v>
      </c>
      <c r="T70" s="55">
        <f>$B70*S70/$AG70</f>
        <v>-12.539923398382406</v>
      </c>
      <c r="U70" s="60">
        <f>'Расчет субсидий'!AB70-1</f>
        <v>0.20705882352941174</v>
      </c>
      <c r="V70" s="60">
        <f>U70*'Расчет субсидий'!AC70</f>
        <v>1.0352941176470587</v>
      </c>
      <c r="W70" s="55">
        <f t="shared" si="15"/>
        <v>4.8881113168596428</v>
      </c>
      <c r="X70" s="71">
        <f>'Расчет субсидий'!AF70-1</f>
        <v>7.547169811320753E-3</v>
      </c>
      <c r="Y70" s="71">
        <f>X70*'Расчет субсидий'!AG70</f>
        <v>0.15094339622641506</v>
      </c>
      <c r="Z70" s="55">
        <f t="shared" si="16"/>
        <v>0.71267489182344701</v>
      </c>
      <c r="AA70" s="27" t="s">
        <v>367</v>
      </c>
      <c r="AB70" s="27" t="s">
        <v>367</v>
      </c>
      <c r="AC70" s="27" t="s">
        <v>367</v>
      </c>
      <c r="AD70" s="27" t="s">
        <v>367</v>
      </c>
      <c r="AE70" s="27" t="s">
        <v>367</v>
      </c>
      <c r="AF70" s="27" t="s">
        <v>367</v>
      </c>
      <c r="AG70" s="54">
        <f t="shared" si="17"/>
        <v>-4.2879547214292391</v>
      </c>
    </row>
    <row r="71" spans="1:33" ht="15" customHeight="1">
      <c r="A71" s="32" t="s">
        <v>70</v>
      </c>
      <c r="B71" s="56"/>
      <c r="C71" s="57"/>
      <c r="D71" s="57"/>
      <c r="E71" s="58"/>
      <c r="F71" s="57"/>
      <c r="G71" s="57"/>
      <c r="H71" s="58"/>
      <c r="I71" s="58"/>
      <c r="J71" s="58"/>
      <c r="K71" s="58"/>
      <c r="L71" s="57"/>
      <c r="M71" s="57"/>
      <c r="N71" s="58"/>
      <c r="O71" s="57"/>
      <c r="P71" s="57"/>
      <c r="Q71" s="58"/>
      <c r="R71" s="57"/>
      <c r="S71" s="57"/>
      <c r="T71" s="58"/>
      <c r="U71" s="58"/>
      <c r="V71" s="58"/>
      <c r="W71" s="58"/>
      <c r="X71" s="73"/>
      <c r="Y71" s="73"/>
      <c r="Z71" s="58"/>
      <c r="AA71" s="58"/>
      <c r="AB71" s="58"/>
      <c r="AC71" s="58"/>
      <c r="AD71" s="58"/>
      <c r="AE71" s="58"/>
      <c r="AF71" s="58"/>
      <c r="AG71" s="58"/>
    </row>
    <row r="72" spans="1:33" ht="15" customHeight="1">
      <c r="A72" s="33" t="s">
        <v>71</v>
      </c>
      <c r="B72" s="52">
        <f>'Расчет субсидий'!AT72</f>
        <v>-8.3090909090909122</v>
      </c>
      <c r="C72" s="54">
        <f>'Расчет субсидий'!D72-1</f>
        <v>-6.7422680412371094E-2</v>
      </c>
      <c r="D72" s="54">
        <f>C72*'Расчет субсидий'!E72</f>
        <v>-0.67422680412371094</v>
      </c>
      <c r="E72" s="55">
        <f t="shared" ref="E72:E79" si="22">$B72*D72/$AG72</f>
        <v>-0.78062606995667916</v>
      </c>
      <c r="F72" s="27" t="s">
        <v>367</v>
      </c>
      <c r="G72" s="27" t="s">
        <v>367</v>
      </c>
      <c r="H72" s="27" t="s">
        <v>367</v>
      </c>
      <c r="I72" s="27" t="s">
        <v>367</v>
      </c>
      <c r="J72" s="27" t="s">
        <v>367</v>
      </c>
      <c r="K72" s="27" t="s">
        <v>367</v>
      </c>
      <c r="L72" s="54">
        <f>'Расчет субсидий'!P72-1</f>
        <v>-0.35723095898859092</v>
      </c>
      <c r="M72" s="54">
        <f>L72*'Расчет субсидий'!Q72</f>
        <v>-7.1446191797718184</v>
      </c>
      <c r="N72" s="55">
        <f t="shared" ref="N72:N79" si="23">$B72*M72/$AG72</f>
        <v>-8.2721065931087434</v>
      </c>
      <c r="O72" s="54">
        <f>'Расчет субсидий'!T72-1</f>
        <v>1.4000000000000012E-2</v>
      </c>
      <c r="P72" s="54">
        <f>O72*'Расчет субсидий'!U72</f>
        <v>0.42000000000000037</v>
      </c>
      <c r="Q72" s="55">
        <f t="shared" ref="Q72:Q79" si="24">$B72*P72/$AG72</f>
        <v>0.4862799096335651</v>
      </c>
      <c r="R72" s="54">
        <f>'Расчет субсидий'!X72-1</f>
        <v>2.4999999999999911E-2</v>
      </c>
      <c r="S72" s="54">
        <f>R72*'Расчет субсидий'!Y72</f>
        <v>0.49999999999999822</v>
      </c>
      <c r="T72" s="55">
        <f t="shared" ref="T72:T79" si="25">$B72*S72/$AG72</f>
        <v>0.57890465432567006</v>
      </c>
      <c r="U72" s="60">
        <f>'Расчет субсидий'!AB72-1</f>
        <v>-5.5543310557637282E-2</v>
      </c>
      <c r="V72" s="60">
        <f>U72*'Расчет субсидий'!AC72</f>
        <v>-0.27771655278818641</v>
      </c>
      <c r="W72" s="55">
        <f t="shared" si="15"/>
        <v>-0.32154280998472473</v>
      </c>
      <c r="X72" s="71">
        <f>'Расчет субсидий'!AF72-1</f>
        <v>0</v>
      </c>
      <c r="Y72" s="71">
        <f>X72*'Расчет субсидий'!AG72</f>
        <v>0</v>
      </c>
      <c r="Z72" s="55">
        <f t="shared" si="16"/>
        <v>0</v>
      </c>
      <c r="AA72" s="27" t="s">
        <v>367</v>
      </c>
      <c r="AB72" s="27" t="s">
        <v>367</v>
      </c>
      <c r="AC72" s="27" t="s">
        <v>367</v>
      </c>
      <c r="AD72" s="27" t="s">
        <v>367</v>
      </c>
      <c r="AE72" s="27" t="s">
        <v>367</v>
      </c>
      <c r="AF72" s="27" t="s">
        <v>367</v>
      </c>
      <c r="AG72" s="54">
        <f t="shared" si="17"/>
        <v>-7.1765625366837167</v>
      </c>
    </row>
    <row r="73" spans="1:33" ht="15" customHeight="1">
      <c r="A73" s="33" t="s">
        <v>72</v>
      </c>
      <c r="B73" s="52">
        <f>'Расчет субсидий'!AT73</f>
        <v>22.354545454545416</v>
      </c>
      <c r="C73" s="54">
        <f>'Расчет субсидий'!D73-1</f>
        <v>5.9651160335325359E-2</v>
      </c>
      <c r="D73" s="54">
        <f>C73*'Расчет субсидий'!E73</f>
        <v>0.59651160335325359</v>
      </c>
      <c r="E73" s="55">
        <f t="shared" si="22"/>
        <v>1.4490095204095419</v>
      </c>
      <c r="F73" s="27" t="s">
        <v>367</v>
      </c>
      <c r="G73" s="27" t="s">
        <v>367</v>
      </c>
      <c r="H73" s="27" t="s">
        <v>367</v>
      </c>
      <c r="I73" s="27" t="s">
        <v>367</v>
      </c>
      <c r="J73" s="27" t="s">
        <v>367</v>
      </c>
      <c r="K73" s="27" t="s">
        <v>367</v>
      </c>
      <c r="L73" s="54">
        <f>'Расчет субсидий'!P73-1</f>
        <v>0.14881613563285589</v>
      </c>
      <c r="M73" s="54">
        <f>L73*'Расчет субсидий'!Q73</f>
        <v>2.9763227126571179</v>
      </c>
      <c r="N73" s="55">
        <f t="shared" si="23"/>
        <v>7.2299011824876924</v>
      </c>
      <c r="O73" s="54">
        <f>'Расчет субсидий'!T73-1</f>
        <v>2.9166666666666563E-2</v>
      </c>
      <c r="P73" s="54">
        <f>O73*'Расчет субсидий'!U73</f>
        <v>0.58333333333333126</v>
      </c>
      <c r="Q73" s="55">
        <f t="shared" si="24"/>
        <v>1.4169976725023909</v>
      </c>
      <c r="R73" s="54">
        <f>'Расчет субсидий'!X73-1</f>
        <v>0.17368421052631589</v>
      </c>
      <c r="S73" s="54">
        <f>R73*'Расчет субсидий'!Y73</f>
        <v>5.2105263157894761</v>
      </c>
      <c r="T73" s="55">
        <f t="shared" si="25"/>
        <v>12.657091991976294</v>
      </c>
      <c r="U73" s="60">
        <f>'Расчет субсидий'!AB73-1</f>
        <v>-4.330495643849841E-2</v>
      </c>
      <c r="V73" s="60">
        <f>U73*'Расчет субсидий'!AC73</f>
        <v>-0.21652478219249205</v>
      </c>
      <c r="W73" s="55">
        <f t="shared" si="15"/>
        <v>-0.52596876412431337</v>
      </c>
      <c r="X73" s="71">
        <f>'Расчет субсидий'!AF73-1</f>
        <v>2.624671916010568E-3</v>
      </c>
      <c r="Y73" s="71">
        <f>X73*'Расчет субсидий'!AG73</f>
        <v>5.2493438320211361E-2</v>
      </c>
      <c r="Z73" s="55">
        <f t="shared" si="16"/>
        <v>0.12751385129380727</v>
      </c>
      <c r="AA73" s="27" t="s">
        <v>367</v>
      </c>
      <c r="AB73" s="27" t="s">
        <v>367</v>
      </c>
      <c r="AC73" s="27" t="s">
        <v>367</v>
      </c>
      <c r="AD73" s="27" t="s">
        <v>367</v>
      </c>
      <c r="AE73" s="27" t="s">
        <v>367</v>
      </c>
      <c r="AF73" s="27" t="s">
        <v>367</v>
      </c>
      <c r="AG73" s="54">
        <f t="shared" si="17"/>
        <v>9.2026626212608988</v>
      </c>
    </row>
    <row r="74" spans="1:33" ht="15" customHeight="1">
      <c r="A74" s="33" t="s">
        <v>73</v>
      </c>
      <c r="B74" s="52">
        <f>'Расчет субсидий'!AT74</f>
        <v>-3.0636363636363626</v>
      </c>
      <c r="C74" s="54">
        <f>'Расчет субсидий'!D74-1</f>
        <v>0.21233502538071058</v>
      </c>
      <c r="D74" s="54">
        <f>C74*'Расчет субсидий'!E74</f>
        <v>2.1233502538071058</v>
      </c>
      <c r="E74" s="55">
        <f t="shared" si="22"/>
        <v>1.6538187228526235</v>
      </c>
      <c r="F74" s="27" t="s">
        <v>367</v>
      </c>
      <c r="G74" s="27" t="s">
        <v>367</v>
      </c>
      <c r="H74" s="27" t="s">
        <v>367</v>
      </c>
      <c r="I74" s="27" t="s">
        <v>367</v>
      </c>
      <c r="J74" s="27" t="s">
        <v>367</v>
      </c>
      <c r="K74" s="27" t="s">
        <v>367</v>
      </c>
      <c r="L74" s="54">
        <f>'Расчет субсидий'!P74-1</f>
        <v>-0.60912788070492541</v>
      </c>
      <c r="M74" s="54">
        <f>L74*'Расчет субсидий'!Q74</f>
        <v>-12.182557614098508</v>
      </c>
      <c r="N74" s="55">
        <f t="shared" si="23"/>
        <v>-9.488656823480996</v>
      </c>
      <c r="O74" s="54">
        <f>'Расчет субсидий'!T74-1</f>
        <v>0.20976744186046514</v>
      </c>
      <c r="P74" s="54">
        <f>O74*'Расчет субсидий'!U74</f>
        <v>5.2441860465116283</v>
      </c>
      <c r="Q74" s="55">
        <f t="shared" si="24"/>
        <v>4.0845513142700272</v>
      </c>
      <c r="R74" s="54">
        <f>'Расчет субсидий'!X74-1</f>
        <v>7.4999999999999956E-2</v>
      </c>
      <c r="S74" s="54">
        <f>R74*'Расчет субсидий'!Y74</f>
        <v>1.8749999999999989</v>
      </c>
      <c r="T74" s="55">
        <f t="shared" si="25"/>
        <v>1.4603855863105131</v>
      </c>
      <c r="U74" s="60">
        <f>'Расчет субсидий'!AB74-1</f>
        <v>-0.19868087515073962</v>
      </c>
      <c r="V74" s="60">
        <f>U74*'Расчет субсидий'!AC74</f>
        <v>-0.99340437575369811</v>
      </c>
      <c r="W74" s="55">
        <f t="shared" si="15"/>
        <v>-0.77373516358853045</v>
      </c>
      <c r="X74" s="71">
        <f>'Расчет субсидий'!AF74-1</f>
        <v>0</v>
      </c>
      <c r="Y74" s="71">
        <f>X74*'Расчет субсидий'!AG74</f>
        <v>0</v>
      </c>
      <c r="Z74" s="55">
        <f t="shared" si="16"/>
        <v>0</v>
      </c>
      <c r="AA74" s="27" t="s">
        <v>367</v>
      </c>
      <c r="AB74" s="27" t="s">
        <v>367</v>
      </c>
      <c r="AC74" s="27" t="s">
        <v>367</v>
      </c>
      <c r="AD74" s="27" t="s">
        <v>367</v>
      </c>
      <c r="AE74" s="27" t="s">
        <v>367</v>
      </c>
      <c r="AF74" s="27" t="s">
        <v>367</v>
      </c>
      <c r="AG74" s="54">
        <f t="shared" si="17"/>
        <v>-3.9334256895334736</v>
      </c>
    </row>
    <row r="75" spans="1:33" ht="15" customHeight="1">
      <c r="A75" s="33" t="s">
        <v>74</v>
      </c>
      <c r="B75" s="52">
        <f>'Расчет субсидий'!AT75</f>
        <v>24.845454545454572</v>
      </c>
      <c r="C75" s="54">
        <f>'Расчет субсидий'!D75-1</f>
        <v>7.9603729603729523E-2</v>
      </c>
      <c r="D75" s="54">
        <f>C75*'Расчет субсидий'!E75</f>
        <v>0.79603729603729523</v>
      </c>
      <c r="E75" s="55">
        <f t="shared" si="22"/>
        <v>1.6306989779674381</v>
      </c>
      <c r="F75" s="27" t="s">
        <v>367</v>
      </c>
      <c r="G75" s="27" t="s">
        <v>367</v>
      </c>
      <c r="H75" s="27" t="s">
        <v>367</v>
      </c>
      <c r="I75" s="27" t="s">
        <v>367</v>
      </c>
      <c r="J75" s="27" t="s">
        <v>367</v>
      </c>
      <c r="K75" s="27" t="s">
        <v>367</v>
      </c>
      <c r="L75" s="54">
        <f>'Расчет субсидий'!P75-1</f>
        <v>0.23461266473802622</v>
      </c>
      <c r="M75" s="54">
        <f>L75*'Расчет субсидий'!Q75</f>
        <v>4.6922532947605244</v>
      </c>
      <c r="N75" s="55">
        <f t="shared" si="23"/>
        <v>9.6121785878884793</v>
      </c>
      <c r="O75" s="54">
        <f>'Расчет субсидий'!T75-1</f>
        <v>0.12916666666666665</v>
      </c>
      <c r="P75" s="54">
        <f>O75*'Расчет субсидий'!U75</f>
        <v>3.8749999999999996</v>
      </c>
      <c r="Q75" s="55">
        <f t="shared" si="24"/>
        <v>7.9380181947251023</v>
      </c>
      <c r="R75" s="54">
        <f>'Расчет субсидий'!X75-1</f>
        <v>0.16666666666666674</v>
      </c>
      <c r="S75" s="54">
        <f>R75*'Расчет субсидий'!Y75</f>
        <v>3.3333333333333348</v>
      </c>
      <c r="T75" s="55">
        <f t="shared" si="25"/>
        <v>6.8284027481506291</v>
      </c>
      <c r="U75" s="60">
        <f>'Расчет субсидий'!AB75-1</f>
        <v>-0.17963434116324473</v>
      </c>
      <c r="V75" s="60">
        <f>U75*'Расчет субсидий'!AC75</f>
        <v>-0.89817170581622363</v>
      </c>
      <c r="W75" s="55">
        <f t="shared" si="15"/>
        <v>-1.8399234432919913</v>
      </c>
      <c r="X75" s="71">
        <f>'Расчет субсидий'!AF75-1</f>
        <v>1.650165016501659E-2</v>
      </c>
      <c r="Y75" s="71">
        <f>X75*'Расчет субсидий'!AG75</f>
        <v>0.33003300330033181</v>
      </c>
      <c r="Z75" s="55">
        <f t="shared" si="16"/>
        <v>0.67607948001491713</v>
      </c>
      <c r="AA75" s="27" t="s">
        <v>367</v>
      </c>
      <c r="AB75" s="27" t="s">
        <v>367</v>
      </c>
      <c r="AC75" s="27" t="s">
        <v>367</v>
      </c>
      <c r="AD75" s="27" t="s">
        <v>367</v>
      </c>
      <c r="AE75" s="27" t="s">
        <v>367</v>
      </c>
      <c r="AF75" s="27" t="s">
        <v>367</v>
      </c>
      <c r="AG75" s="54">
        <f t="shared" si="17"/>
        <v>12.128485221615261</v>
      </c>
    </row>
    <row r="76" spans="1:33" ht="15" customHeight="1">
      <c r="A76" s="33" t="s">
        <v>75</v>
      </c>
      <c r="B76" s="52">
        <f>'Расчет субсидий'!AT76</f>
        <v>4.4818181818181984</v>
      </c>
      <c r="C76" s="54">
        <f>'Расчет субсидий'!D76-1</f>
        <v>7.2192513368982691E-3</v>
      </c>
      <c r="D76" s="54">
        <f>C76*'Расчет субсидий'!E76</f>
        <v>7.2192513368982691E-2</v>
      </c>
      <c r="E76" s="55">
        <f t="shared" si="22"/>
        <v>9.3642357231728465E-2</v>
      </c>
      <c r="F76" s="27" t="s">
        <v>367</v>
      </c>
      <c r="G76" s="27" t="s">
        <v>367</v>
      </c>
      <c r="H76" s="27" t="s">
        <v>367</v>
      </c>
      <c r="I76" s="27" t="s">
        <v>367</v>
      </c>
      <c r="J76" s="27" t="s">
        <v>367</v>
      </c>
      <c r="K76" s="27" t="s">
        <v>367</v>
      </c>
      <c r="L76" s="54">
        <f>'Расчет субсидий'!P76-1</f>
        <v>0.20847136382365061</v>
      </c>
      <c r="M76" s="54">
        <f>L76*'Расчет субсидий'!Q76</f>
        <v>4.1694272764730123</v>
      </c>
      <c r="N76" s="55">
        <f t="shared" si="23"/>
        <v>5.4082477566565474</v>
      </c>
      <c r="O76" s="54">
        <f>'Расчет субсидий'!T76-1</f>
        <v>5.9459459459459518E-2</v>
      </c>
      <c r="P76" s="54">
        <f>O76*'Расчет субсидий'!U76</f>
        <v>1.7837837837837855</v>
      </c>
      <c r="Q76" s="55">
        <f t="shared" si="24"/>
        <v>2.3137817276356638</v>
      </c>
      <c r="R76" s="54">
        <f>'Расчет субсидий'!X76-1</f>
        <v>5.7142857142857162E-2</v>
      </c>
      <c r="S76" s="54">
        <f>R76*'Расчет субсидий'!Y76</f>
        <v>1.1428571428571432</v>
      </c>
      <c r="T76" s="55">
        <f t="shared" si="25"/>
        <v>1.482422925065273</v>
      </c>
      <c r="U76" s="60">
        <f>'Расчет субсидий'!AB76-1</f>
        <v>-0.60003650551005039</v>
      </c>
      <c r="V76" s="60">
        <f>U76*'Расчет субсидий'!AC76</f>
        <v>-3.0001825275502521</v>
      </c>
      <c r="W76" s="55">
        <f t="shared" si="15"/>
        <v>-3.891596938443171</v>
      </c>
      <c r="X76" s="71">
        <f>'Расчет субсидий'!AF76-1</f>
        <v>-3.5643564356435675E-2</v>
      </c>
      <c r="Y76" s="71">
        <f>X76*'Расчет субсидий'!AG76</f>
        <v>-0.7128712871287135</v>
      </c>
      <c r="Z76" s="55">
        <f t="shared" si="16"/>
        <v>-0.92467964632784405</v>
      </c>
      <c r="AA76" s="27" t="s">
        <v>367</v>
      </c>
      <c r="AB76" s="27" t="s">
        <v>367</v>
      </c>
      <c r="AC76" s="27" t="s">
        <v>367</v>
      </c>
      <c r="AD76" s="27" t="s">
        <v>367</v>
      </c>
      <c r="AE76" s="27" t="s">
        <v>367</v>
      </c>
      <c r="AF76" s="27" t="s">
        <v>367</v>
      </c>
      <c r="AG76" s="54">
        <f t="shared" si="17"/>
        <v>3.4552069018039582</v>
      </c>
    </row>
    <row r="77" spans="1:33" ht="15" customHeight="1">
      <c r="A77" s="33" t="s">
        <v>76</v>
      </c>
      <c r="B77" s="52">
        <f>'Расчет субсидий'!AT77</f>
        <v>-2.0727272727272634</v>
      </c>
      <c r="C77" s="54">
        <f>'Расчет субсидий'!D77-1</f>
        <v>-0.14913957934990441</v>
      </c>
      <c r="D77" s="54">
        <f>C77*'Расчет субсидий'!E77</f>
        <v>-1.4913957934990441</v>
      </c>
      <c r="E77" s="55">
        <f t="shared" si="22"/>
        <v>-4.0623663245652697</v>
      </c>
      <c r="F77" s="27" t="s">
        <v>367</v>
      </c>
      <c r="G77" s="27" t="s">
        <v>367</v>
      </c>
      <c r="H77" s="27" t="s">
        <v>367</v>
      </c>
      <c r="I77" s="27" t="s">
        <v>367</v>
      </c>
      <c r="J77" s="27" t="s">
        <v>367</v>
      </c>
      <c r="K77" s="27" t="s">
        <v>367</v>
      </c>
      <c r="L77" s="54">
        <f>'Расчет субсидий'!P77-1</f>
        <v>2.4271844660194164E-2</v>
      </c>
      <c r="M77" s="54">
        <f>L77*'Расчет субсидий'!Q77</f>
        <v>0.48543689320388328</v>
      </c>
      <c r="N77" s="55">
        <f t="shared" si="23"/>
        <v>1.3222663603109504</v>
      </c>
      <c r="O77" s="54">
        <f>'Расчет субсидий'!T77-1</f>
        <v>9.5238095238103782E-4</v>
      </c>
      <c r="P77" s="54">
        <f>O77*'Расчет субсидий'!U77</f>
        <v>2.8571428571431134E-2</v>
      </c>
      <c r="Q77" s="55">
        <f t="shared" si="24"/>
        <v>7.7824820064022956E-2</v>
      </c>
      <c r="R77" s="54">
        <f>'Расчет субсидий'!X77-1</f>
        <v>5.0000000000000044E-2</v>
      </c>
      <c r="S77" s="54">
        <f>R77*'Расчет субсидий'!Y77</f>
        <v>1.0000000000000009</v>
      </c>
      <c r="T77" s="55">
        <f t="shared" si="25"/>
        <v>2.7238687022405612</v>
      </c>
      <c r="U77" s="60">
        <f>'Расчет субсидий'!AB77-1</f>
        <v>-0.24946608359605404</v>
      </c>
      <c r="V77" s="60">
        <f>U77*'Расчет субсидий'!AC77</f>
        <v>-1.2473304179802702</v>
      </c>
      <c r="W77" s="55">
        <f t="shared" si="15"/>
        <v>-3.3975642868890925</v>
      </c>
      <c r="X77" s="71">
        <f>'Расчет субсидий'!AF77-1</f>
        <v>2.3188405797101463E-2</v>
      </c>
      <c r="Y77" s="71">
        <f>X77*'Расчет субсидий'!AG77</f>
        <v>0.46376811594202927</v>
      </c>
      <c r="Z77" s="55">
        <f t="shared" si="16"/>
        <v>1.2632434561115644</v>
      </c>
      <c r="AA77" s="27" t="s">
        <v>367</v>
      </c>
      <c r="AB77" s="27" t="s">
        <v>367</v>
      </c>
      <c r="AC77" s="27" t="s">
        <v>367</v>
      </c>
      <c r="AD77" s="27" t="s">
        <v>367</v>
      </c>
      <c r="AE77" s="27" t="s">
        <v>367</v>
      </c>
      <c r="AF77" s="27" t="s">
        <v>367</v>
      </c>
      <c r="AG77" s="54">
        <f t="shared" si="17"/>
        <v>-0.76094977376196971</v>
      </c>
    </row>
    <row r="78" spans="1:33" ht="15" customHeight="1">
      <c r="A78" s="33" t="s">
        <v>77</v>
      </c>
      <c r="B78" s="52">
        <f>'Расчет субсидий'!AT78</f>
        <v>36.263636363636351</v>
      </c>
      <c r="C78" s="54">
        <f>'Расчет субсидий'!D78-1</f>
        <v>-9.9925980754996813E-3</v>
      </c>
      <c r="D78" s="54">
        <f>C78*'Расчет субсидий'!E78</f>
        <v>-9.9925980754996813E-2</v>
      </c>
      <c r="E78" s="55">
        <f t="shared" si="22"/>
        <v>-0.270056729007634</v>
      </c>
      <c r="F78" s="27" t="s">
        <v>367</v>
      </c>
      <c r="G78" s="27" t="s">
        <v>367</v>
      </c>
      <c r="H78" s="27" t="s">
        <v>367</v>
      </c>
      <c r="I78" s="27" t="s">
        <v>367</v>
      </c>
      <c r="J78" s="27" t="s">
        <v>367</v>
      </c>
      <c r="K78" s="27" t="s">
        <v>367</v>
      </c>
      <c r="L78" s="54">
        <f>'Расчет субсидий'!P78-1</f>
        <v>0.30000000000000004</v>
      </c>
      <c r="M78" s="54">
        <f>L78*'Расчет субсидий'!Q78</f>
        <v>6.0000000000000009</v>
      </c>
      <c r="N78" s="55">
        <f t="shared" si="23"/>
        <v>16.215406261747187</v>
      </c>
      <c r="O78" s="54">
        <f>'Расчет субсидий'!T78-1</f>
        <v>0.21045454545454545</v>
      </c>
      <c r="P78" s="54">
        <f>O78*'Расчет субсидий'!U78</f>
        <v>5.2613636363636367</v>
      </c>
      <c r="Q78" s="55">
        <f t="shared" si="24"/>
        <v>14.219191475736643</v>
      </c>
      <c r="R78" s="54">
        <f>'Расчет субсидий'!X78-1</f>
        <v>8.3333333333333259E-2</v>
      </c>
      <c r="S78" s="54">
        <f>R78*'Расчет субсидий'!Y78</f>
        <v>2.0833333333333313</v>
      </c>
      <c r="T78" s="55">
        <f t="shared" si="25"/>
        <v>5.6303493964399891</v>
      </c>
      <c r="U78" s="60">
        <f>'Расчет субсидий'!AB78-1</f>
        <v>3.4688933560125701E-2</v>
      </c>
      <c r="V78" s="60">
        <f>U78*'Расчет субсидий'!AC78</f>
        <v>0.1734446678006285</v>
      </c>
      <c r="W78" s="55">
        <f t="shared" si="15"/>
        <v>0.468745958720162</v>
      </c>
      <c r="X78" s="71">
        <f>'Расчет субсидий'!AF78-1</f>
        <v>0</v>
      </c>
      <c r="Y78" s="71">
        <f>X78*'Расчет субсидий'!AG78</f>
        <v>0</v>
      </c>
      <c r="Z78" s="55">
        <f t="shared" si="16"/>
        <v>0</v>
      </c>
      <c r="AA78" s="27" t="s">
        <v>367</v>
      </c>
      <c r="AB78" s="27" t="s">
        <v>367</v>
      </c>
      <c r="AC78" s="27" t="s">
        <v>367</v>
      </c>
      <c r="AD78" s="27" t="s">
        <v>367</v>
      </c>
      <c r="AE78" s="27" t="s">
        <v>367</v>
      </c>
      <c r="AF78" s="27" t="s">
        <v>367</v>
      </c>
      <c r="AG78" s="54">
        <f t="shared" si="17"/>
        <v>13.418215656742602</v>
      </c>
    </row>
    <row r="79" spans="1:33" ht="15" customHeight="1">
      <c r="A79" s="33" t="s">
        <v>78</v>
      </c>
      <c r="B79" s="52">
        <f>'Расчет субсидий'!AT79</f>
        <v>18.027272727272731</v>
      </c>
      <c r="C79" s="54">
        <f>'Расчет субсидий'!D79-1</f>
        <v>-2.2381378692927223E-3</v>
      </c>
      <c r="D79" s="54">
        <f>C79*'Расчет субсидий'!E79</f>
        <v>-2.2381378692927223E-2</v>
      </c>
      <c r="E79" s="55">
        <f t="shared" si="22"/>
        <v>-4.5485504941380976E-2</v>
      </c>
      <c r="F79" s="27" t="s">
        <v>367</v>
      </c>
      <c r="G79" s="27" t="s">
        <v>367</v>
      </c>
      <c r="H79" s="27" t="s">
        <v>367</v>
      </c>
      <c r="I79" s="27" t="s">
        <v>367</v>
      </c>
      <c r="J79" s="27" t="s">
        <v>367</v>
      </c>
      <c r="K79" s="27" t="s">
        <v>367</v>
      </c>
      <c r="L79" s="54">
        <f>'Расчет субсидий'!P79-1</f>
        <v>0.28514035727305864</v>
      </c>
      <c r="M79" s="54">
        <f>L79*'Расчет субсидий'!Q79</f>
        <v>5.7028071454611728</v>
      </c>
      <c r="N79" s="55">
        <f t="shared" si="23"/>
        <v>11.58977139672762</v>
      </c>
      <c r="O79" s="54">
        <f>'Расчет субсидий'!T79-1</f>
        <v>0.20520833333333321</v>
      </c>
      <c r="P79" s="54">
        <f>O79*'Расчет субсидий'!U79</f>
        <v>4.1041666666666643</v>
      </c>
      <c r="Q79" s="55">
        <f t="shared" si="24"/>
        <v>8.3408665640383788</v>
      </c>
      <c r="R79" s="54">
        <f>'Расчет субсидий'!X79-1</f>
        <v>6.3333333333333242E-2</v>
      </c>
      <c r="S79" s="54">
        <f>R79*'Расчет субсидий'!Y79</f>
        <v>1.8999999999999972</v>
      </c>
      <c r="T79" s="55">
        <f t="shared" si="25"/>
        <v>3.8613554854837533</v>
      </c>
      <c r="U79" s="60">
        <f>'Расчет субсидий'!AB79-1</f>
        <v>-0.53458728431524949</v>
      </c>
      <c r="V79" s="60">
        <f>U79*'Расчет субсидий'!AC79</f>
        <v>-2.6729364215762477</v>
      </c>
      <c r="W79" s="55">
        <f t="shared" si="15"/>
        <v>-5.4321882704225128</v>
      </c>
      <c r="X79" s="71">
        <f>'Расчет субсидий'!AF79-1</f>
        <v>-7.0621468926553854E-3</v>
      </c>
      <c r="Y79" s="71">
        <f>X79*'Расчет субсидий'!AG79</f>
        <v>-0.14124293785310771</v>
      </c>
      <c r="Z79" s="55">
        <f t="shared" si="16"/>
        <v>-0.28704694361312583</v>
      </c>
      <c r="AA79" s="27" t="s">
        <v>367</v>
      </c>
      <c r="AB79" s="27" t="s">
        <v>367</v>
      </c>
      <c r="AC79" s="27" t="s">
        <v>367</v>
      </c>
      <c r="AD79" s="27" t="s">
        <v>367</v>
      </c>
      <c r="AE79" s="27" t="s">
        <v>367</v>
      </c>
      <c r="AF79" s="27" t="s">
        <v>367</v>
      </c>
      <c r="AG79" s="54">
        <f t="shared" si="17"/>
        <v>8.8704130740055511</v>
      </c>
    </row>
    <row r="80" spans="1:33" ht="15" customHeight="1">
      <c r="A80" s="32" t="s">
        <v>79</v>
      </c>
      <c r="B80" s="56"/>
      <c r="C80" s="57"/>
      <c r="D80" s="57"/>
      <c r="E80" s="58"/>
      <c r="F80" s="57"/>
      <c r="G80" s="57"/>
      <c r="H80" s="58"/>
      <c r="I80" s="58"/>
      <c r="J80" s="58"/>
      <c r="K80" s="58"/>
      <c r="L80" s="57"/>
      <c r="M80" s="57"/>
      <c r="N80" s="58"/>
      <c r="O80" s="57"/>
      <c r="P80" s="57"/>
      <c r="Q80" s="58"/>
      <c r="R80" s="57"/>
      <c r="S80" s="57"/>
      <c r="T80" s="58"/>
      <c r="U80" s="58"/>
      <c r="V80" s="58"/>
      <c r="W80" s="58"/>
      <c r="X80" s="73"/>
      <c r="Y80" s="73"/>
      <c r="Z80" s="58"/>
      <c r="AA80" s="58"/>
      <c r="AB80" s="58"/>
      <c r="AC80" s="58"/>
      <c r="AD80" s="58"/>
      <c r="AE80" s="58"/>
      <c r="AF80" s="58"/>
      <c r="AG80" s="58"/>
    </row>
    <row r="81" spans="1:33" ht="15" customHeight="1">
      <c r="A81" s="33" t="s">
        <v>80</v>
      </c>
      <c r="B81" s="52">
        <f>'Расчет субсидий'!AT81</f>
        <v>87.899999999999977</v>
      </c>
      <c r="C81" s="54">
        <f>'Расчет субсидий'!D81-1</f>
        <v>0.21748614925085508</v>
      </c>
      <c r="D81" s="54">
        <f>C81*'Расчет субсидий'!E81</f>
        <v>2.1748614925085508</v>
      </c>
      <c r="E81" s="55">
        <f t="shared" ref="E81:E89" si="26">$B81*D81/$AG81</f>
        <v>10.628511468013141</v>
      </c>
      <c r="F81" s="27" t="s">
        <v>367</v>
      </c>
      <c r="G81" s="27" t="s">
        <v>367</v>
      </c>
      <c r="H81" s="27" t="s">
        <v>367</v>
      </c>
      <c r="I81" s="27" t="s">
        <v>367</v>
      </c>
      <c r="J81" s="27" t="s">
        <v>367</v>
      </c>
      <c r="K81" s="27" t="s">
        <v>367</v>
      </c>
      <c r="L81" s="54">
        <f>'Расчет субсидий'!P81-1</f>
        <v>0.24722334946152635</v>
      </c>
      <c r="M81" s="54">
        <f>L81*'Расчет субсидий'!Q81</f>
        <v>4.9444669892305271</v>
      </c>
      <c r="N81" s="55">
        <f t="shared" ref="N81:N89" si="27">$B81*M81/$AG81</f>
        <v>24.163526863328489</v>
      </c>
      <c r="O81" s="54">
        <f>'Расчет субсидий'!T81-1</f>
        <v>0.16363636363636358</v>
      </c>
      <c r="P81" s="54">
        <f>O81*'Расчет субсидий'!U81</f>
        <v>2.4545454545454537</v>
      </c>
      <c r="Q81" s="55">
        <f t="shared" ref="Q81:Q89" si="28">$B81*P81/$AG81</f>
        <v>11.995322277882169</v>
      </c>
      <c r="R81" s="54">
        <f>'Расчет субсидий'!X81-1</f>
        <v>0.18777292576419224</v>
      </c>
      <c r="S81" s="54">
        <f>R81*'Расчет субсидий'!Y81</f>
        <v>6.5720524017467286</v>
      </c>
      <c r="T81" s="55">
        <f t="shared" ref="T81:T89" si="29">$B81*S81/$AG81</f>
        <v>32.117509349885083</v>
      </c>
      <c r="U81" s="60">
        <f>'Расчет субсидий'!AB81-1</f>
        <v>0.28417213114754092</v>
      </c>
      <c r="V81" s="60">
        <f>U81*'Расчет субсидий'!AC81</f>
        <v>1.4208606557377046</v>
      </c>
      <c r="W81" s="55">
        <f t="shared" si="15"/>
        <v>6.9437220834409015</v>
      </c>
      <c r="X81" s="71">
        <f>'Расчет субсидий'!AF81-1</f>
        <v>2.0988490182803021E-2</v>
      </c>
      <c r="Y81" s="71">
        <f>X81*'Расчет субсидий'!AG81</f>
        <v>0.41976980365606043</v>
      </c>
      <c r="Z81" s="55">
        <f t="shared" si="16"/>
        <v>2.0514079574502011</v>
      </c>
      <c r="AA81" s="27" t="s">
        <v>367</v>
      </c>
      <c r="AB81" s="27" t="s">
        <v>367</v>
      </c>
      <c r="AC81" s="27" t="s">
        <v>367</v>
      </c>
      <c r="AD81" s="27" t="s">
        <v>367</v>
      </c>
      <c r="AE81" s="27" t="s">
        <v>367</v>
      </c>
      <c r="AF81" s="27" t="s">
        <v>367</v>
      </c>
      <c r="AG81" s="54">
        <f t="shared" si="17"/>
        <v>17.986556797425024</v>
      </c>
    </row>
    <row r="82" spans="1:33" ht="15" customHeight="1">
      <c r="A82" s="33" t="s">
        <v>81</v>
      </c>
      <c r="B82" s="52">
        <f>'Расчет субсидий'!AT82</f>
        <v>14.709090909090833</v>
      </c>
      <c r="C82" s="54">
        <f>'Расчет субсидий'!D82-1</f>
        <v>1.5784165405950512E-2</v>
      </c>
      <c r="D82" s="54">
        <f>C82*'Расчет субсидий'!E82</f>
        <v>0.15784165405950512</v>
      </c>
      <c r="E82" s="55">
        <f t="shared" si="26"/>
        <v>0.82334426205646372</v>
      </c>
      <c r="F82" s="27" t="s">
        <v>367</v>
      </c>
      <c r="G82" s="27" t="s">
        <v>367</v>
      </c>
      <c r="H82" s="27" t="s">
        <v>367</v>
      </c>
      <c r="I82" s="27" t="s">
        <v>367</v>
      </c>
      <c r="J82" s="27" t="s">
        <v>367</v>
      </c>
      <c r="K82" s="27" t="s">
        <v>367</v>
      </c>
      <c r="L82" s="54">
        <f>'Расчет субсидий'!P82-1</f>
        <v>-0.34990457148050536</v>
      </c>
      <c r="M82" s="54">
        <f>L82*'Расчет субсидий'!Q82</f>
        <v>-6.9980914296101071</v>
      </c>
      <c r="N82" s="55">
        <f t="shared" si="27"/>
        <v>-36.503915637781056</v>
      </c>
      <c r="O82" s="54">
        <f>'Расчет субсидий'!T82-1</f>
        <v>0.17065009560229449</v>
      </c>
      <c r="P82" s="54">
        <f>O82*'Расчет субсидий'!U82</f>
        <v>4.2662523900573621</v>
      </c>
      <c r="Q82" s="55">
        <f t="shared" si="28"/>
        <v>22.253912927915604</v>
      </c>
      <c r="R82" s="54">
        <f>'Расчет субсидий'!X82-1</f>
        <v>0.20538461538461528</v>
      </c>
      <c r="S82" s="54">
        <f>R82*'Расчет субсидий'!Y82</f>
        <v>5.1346153846153815</v>
      </c>
      <c r="T82" s="55">
        <f t="shared" si="29"/>
        <v>26.783526439707476</v>
      </c>
      <c r="U82" s="60">
        <f>'Расчет субсидий'!AB82-1</f>
        <v>0.30000000000000004</v>
      </c>
      <c r="V82" s="60">
        <f>U82*'Расчет субсидий'!AC82</f>
        <v>1.5000000000000002</v>
      </c>
      <c r="W82" s="55">
        <f t="shared" si="15"/>
        <v>7.82440098238646</v>
      </c>
      <c r="X82" s="71">
        <f>'Расчет субсидий'!AF82-1</f>
        <v>-6.2038404726735608E-2</v>
      </c>
      <c r="Y82" s="71">
        <f>X82*'Расчет субсидий'!AG82</f>
        <v>-1.2407680945347122</v>
      </c>
      <c r="Z82" s="55">
        <f t="shared" si="16"/>
        <v>-6.4721780651941172</v>
      </c>
      <c r="AA82" s="27" t="s">
        <v>367</v>
      </c>
      <c r="AB82" s="27" t="s">
        <v>367</v>
      </c>
      <c r="AC82" s="27" t="s">
        <v>367</v>
      </c>
      <c r="AD82" s="27" t="s">
        <v>367</v>
      </c>
      <c r="AE82" s="27" t="s">
        <v>367</v>
      </c>
      <c r="AF82" s="27" t="s">
        <v>367</v>
      </c>
      <c r="AG82" s="54">
        <f t="shared" si="17"/>
        <v>2.8198499045874299</v>
      </c>
    </row>
    <row r="83" spans="1:33" ht="15" customHeight="1">
      <c r="A83" s="33" t="s">
        <v>82</v>
      </c>
      <c r="B83" s="52">
        <f>'Расчет субсидий'!AT83</f>
        <v>-11.172727272727229</v>
      </c>
      <c r="C83" s="54">
        <f>'Расчет субсидий'!D83-1</f>
        <v>3.6036036036036112E-2</v>
      </c>
      <c r="D83" s="54">
        <f>C83*'Расчет субсидий'!E83</f>
        <v>0.36036036036036112</v>
      </c>
      <c r="E83" s="55">
        <f t="shared" si="26"/>
        <v>2.5495665187440704</v>
      </c>
      <c r="F83" s="27" t="s">
        <v>367</v>
      </c>
      <c r="G83" s="27" t="s">
        <v>367</v>
      </c>
      <c r="H83" s="27" t="s">
        <v>367</v>
      </c>
      <c r="I83" s="27" t="s">
        <v>367</v>
      </c>
      <c r="J83" s="27" t="s">
        <v>367</v>
      </c>
      <c r="K83" s="27" t="s">
        <v>367</v>
      </c>
      <c r="L83" s="54">
        <f>'Расчет субсидий'!P83-1</f>
        <v>-0.48357963875205257</v>
      </c>
      <c r="M83" s="54">
        <f>L83*'Расчет субсидий'!Q83</f>
        <v>-9.6715927750410522</v>
      </c>
      <c r="N83" s="55">
        <f t="shared" si="27"/>
        <v>-68.426974314026367</v>
      </c>
      <c r="O83" s="54">
        <f>'Расчет субсидий'!T83-1</f>
        <v>0.18029739776951681</v>
      </c>
      <c r="P83" s="54">
        <f>O83*'Расчет субсидий'!U83</f>
        <v>3.6059479553903362</v>
      </c>
      <c r="Q83" s="55">
        <f t="shared" si="28"/>
        <v>25.512251586726169</v>
      </c>
      <c r="R83" s="54">
        <f>'Расчет субсидий'!X83-1</f>
        <v>0.11926605504587151</v>
      </c>
      <c r="S83" s="54">
        <f>R83*'Расчет субсидий'!Y83</f>
        <v>3.5779816513761453</v>
      </c>
      <c r="T83" s="55">
        <f t="shared" si="29"/>
        <v>25.31438866890608</v>
      </c>
      <c r="U83" s="60">
        <f>'Расчет субсидий'!AB83-1</f>
        <v>6.7959183673469425E-2</v>
      </c>
      <c r="V83" s="60">
        <f>U83*'Расчет субсидий'!AC83</f>
        <v>0.33979591836734713</v>
      </c>
      <c r="W83" s="55">
        <f t="shared" si="15"/>
        <v>2.4040721232739011</v>
      </c>
      <c r="X83" s="71">
        <f>'Расчет субсидий'!AF83-1</f>
        <v>1.0416666666666741E-2</v>
      </c>
      <c r="Y83" s="71">
        <f>X83*'Расчет субсидий'!AG83</f>
        <v>0.20833333333333481</v>
      </c>
      <c r="Z83" s="55">
        <f t="shared" si="16"/>
        <v>1.4739681436489229</v>
      </c>
      <c r="AA83" s="27" t="s">
        <v>367</v>
      </c>
      <c r="AB83" s="27" t="s">
        <v>367</v>
      </c>
      <c r="AC83" s="27" t="s">
        <v>367</v>
      </c>
      <c r="AD83" s="27" t="s">
        <v>367</v>
      </c>
      <c r="AE83" s="27" t="s">
        <v>367</v>
      </c>
      <c r="AF83" s="27" t="s">
        <v>367</v>
      </c>
      <c r="AG83" s="54">
        <f t="shared" si="17"/>
        <v>-1.5791735562135285</v>
      </c>
    </row>
    <row r="84" spans="1:33" ht="15" customHeight="1">
      <c r="A84" s="33" t="s">
        <v>83</v>
      </c>
      <c r="B84" s="52">
        <f>'Расчет субсидий'!AT84</f>
        <v>77.072727272727207</v>
      </c>
      <c r="C84" s="54">
        <f>'Расчет субсидий'!D84-1</f>
        <v>7.7072538860103679E-2</v>
      </c>
      <c r="D84" s="54">
        <f>C84*'Расчет субсидий'!E84</f>
        <v>0.77072538860103679</v>
      </c>
      <c r="E84" s="55">
        <f t="shared" si="26"/>
        <v>5.5065403994497455</v>
      </c>
      <c r="F84" s="27" t="s">
        <v>367</v>
      </c>
      <c r="G84" s="27" t="s">
        <v>367</v>
      </c>
      <c r="H84" s="27" t="s">
        <v>367</v>
      </c>
      <c r="I84" s="27" t="s">
        <v>367</v>
      </c>
      <c r="J84" s="27" t="s">
        <v>367</v>
      </c>
      <c r="K84" s="27" t="s">
        <v>367</v>
      </c>
      <c r="L84" s="54">
        <f>'Расчет субсидий'!P84-1</f>
        <v>-6.1973439954305265E-2</v>
      </c>
      <c r="M84" s="54">
        <f>L84*'Расчет субсидий'!Q84</f>
        <v>-1.2394687990861053</v>
      </c>
      <c r="N84" s="55">
        <f t="shared" si="27"/>
        <v>-8.8555341720527281</v>
      </c>
      <c r="O84" s="54">
        <f>'Расчет субсидий'!T84-1</f>
        <v>0.21689727463312369</v>
      </c>
      <c r="P84" s="54">
        <f>O84*'Расчет субсидий'!U84</f>
        <v>5.4224318658280923</v>
      </c>
      <c r="Q84" s="55">
        <f t="shared" si="28"/>
        <v>38.741217785291326</v>
      </c>
      <c r="R84" s="54">
        <f>'Расчет субсидий'!X84-1</f>
        <v>0.17218543046357615</v>
      </c>
      <c r="S84" s="54">
        <f>R84*'Расчет субсидий'!Y84</f>
        <v>4.3046357615894042</v>
      </c>
      <c r="T84" s="55">
        <f t="shared" si="29"/>
        <v>30.75498884126975</v>
      </c>
      <c r="U84" s="60">
        <f>'Расчет субсидий'!AB84-1</f>
        <v>2.2653061224489734E-2</v>
      </c>
      <c r="V84" s="60">
        <f>U84*'Расчет субсидий'!AC84</f>
        <v>0.11326530612244867</v>
      </c>
      <c r="W84" s="55">
        <f t="shared" si="15"/>
        <v>0.8092376263242087</v>
      </c>
      <c r="X84" s="71">
        <f>'Расчет субсидий'!AF84-1</f>
        <v>7.079646017699126E-2</v>
      </c>
      <c r="Y84" s="71">
        <f>X84*'Расчет субсидий'!AG84</f>
        <v>1.4159292035398252</v>
      </c>
      <c r="Z84" s="55">
        <f t="shared" si="16"/>
        <v>10.116276792444905</v>
      </c>
      <c r="AA84" s="27" t="s">
        <v>367</v>
      </c>
      <c r="AB84" s="27" t="s">
        <v>367</v>
      </c>
      <c r="AC84" s="27" t="s">
        <v>367</v>
      </c>
      <c r="AD84" s="27" t="s">
        <v>367</v>
      </c>
      <c r="AE84" s="27" t="s">
        <v>367</v>
      </c>
      <c r="AF84" s="27" t="s">
        <v>367</v>
      </c>
      <c r="AG84" s="54">
        <f t="shared" si="17"/>
        <v>10.787518726594701</v>
      </c>
    </row>
    <row r="85" spans="1:33">
      <c r="A85" s="33" t="s">
        <v>84</v>
      </c>
      <c r="B85" s="52">
        <f>'Расчет субсидий'!AT85</f>
        <v>-19.081818181818107</v>
      </c>
      <c r="C85" s="54">
        <f>'Расчет субсидий'!D85-1</f>
        <v>2.3622047244094446E-2</v>
      </c>
      <c r="D85" s="54">
        <f>C85*'Расчет субсидий'!E85</f>
        <v>0.23622047244094446</v>
      </c>
      <c r="E85" s="55">
        <f t="shared" si="26"/>
        <v>1.1924427974541101</v>
      </c>
      <c r="F85" s="27" t="s">
        <v>367</v>
      </c>
      <c r="G85" s="27" t="s">
        <v>367</v>
      </c>
      <c r="H85" s="27" t="s">
        <v>367</v>
      </c>
      <c r="I85" s="27" t="s">
        <v>367</v>
      </c>
      <c r="J85" s="27" t="s">
        <v>367</v>
      </c>
      <c r="K85" s="27" t="s">
        <v>367</v>
      </c>
      <c r="L85" s="54">
        <f>'Расчет субсидий'!P85-1</f>
        <v>-0.47950942267424468</v>
      </c>
      <c r="M85" s="54">
        <f>L85*'Расчет субсидий'!Q85</f>
        <v>-9.5901884534848936</v>
      </c>
      <c r="N85" s="55">
        <f t="shared" si="27"/>
        <v>-48.411346524779262</v>
      </c>
      <c r="O85" s="54">
        <f>'Расчет субсидий'!T85-1</f>
        <v>0.18042226487523982</v>
      </c>
      <c r="P85" s="54">
        <f>O85*'Расчет субсидий'!U85</f>
        <v>3.6084452975047965</v>
      </c>
      <c r="Q85" s="55">
        <f t="shared" si="28"/>
        <v>18.215460161237598</v>
      </c>
      <c r="R85" s="54">
        <f>'Расчет субсидий'!X85-1</f>
        <v>0.17796610169491522</v>
      </c>
      <c r="S85" s="54">
        <f>R85*'Расчет субсидий'!Y85</f>
        <v>5.3389830508474567</v>
      </c>
      <c r="T85" s="55">
        <f t="shared" si="29"/>
        <v>26.951228311950143</v>
      </c>
      <c r="U85" s="60">
        <f>'Расчет субсидий'!AB85-1</f>
        <v>5.0294117647058822E-2</v>
      </c>
      <c r="V85" s="60">
        <f>U85*'Расчет субсидий'!AC85</f>
        <v>0.25147058823529411</v>
      </c>
      <c r="W85" s="55">
        <f t="shared" si="15"/>
        <v>1.2694255015838702</v>
      </c>
      <c r="X85" s="71">
        <f>'Расчет субсидий'!AF85-1</f>
        <v>-0.18125000000000002</v>
      </c>
      <c r="Y85" s="71">
        <f>X85*'Расчет субсидий'!AG85</f>
        <v>-3.6250000000000004</v>
      </c>
      <c r="Z85" s="55">
        <f t="shared" si="16"/>
        <v>-18.299028429264567</v>
      </c>
      <c r="AA85" s="27" t="s">
        <v>367</v>
      </c>
      <c r="AB85" s="27" t="s">
        <v>367</v>
      </c>
      <c r="AC85" s="27" t="s">
        <v>367</v>
      </c>
      <c r="AD85" s="27" t="s">
        <v>367</v>
      </c>
      <c r="AE85" s="27" t="s">
        <v>367</v>
      </c>
      <c r="AF85" s="27" t="s">
        <v>367</v>
      </c>
      <c r="AG85" s="54">
        <f t="shared" si="17"/>
        <v>-3.7800690444564022</v>
      </c>
    </row>
    <row r="86" spans="1:33" ht="15" customHeight="1">
      <c r="A86" s="33" t="s">
        <v>85</v>
      </c>
      <c r="B86" s="52">
        <f>'Расчет субсидий'!AT86</f>
        <v>37.454545454545439</v>
      </c>
      <c r="C86" s="54">
        <f>'Расчет субсидий'!D86-1</f>
        <v>2.4390243902439046E-2</v>
      </c>
      <c r="D86" s="54">
        <f>C86*'Расчет субсидий'!E86</f>
        <v>0.24390243902439046</v>
      </c>
      <c r="E86" s="55">
        <f t="shared" si="26"/>
        <v>0.92735678487770046</v>
      </c>
      <c r="F86" s="27" t="s">
        <v>367</v>
      </c>
      <c r="G86" s="27" t="s">
        <v>367</v>
      </c>
      <c r="H86" s="27" t="s">
        <v>367</v>
      </c>
      <c r="I86" s="27" t="s">
        <v>367</v>
      </c>
      <c r="J86" s="27" t="s">
        <v>367</v>
      </c>
      <c r="K86" s="27" t="s">
        <v>367</v>
      </c>
      <c r="L86" s="54">
        <f>'Расчет субсидий'!P86-1</f>
        <v>9.9845599588265443E-2</v>
      </c>
      <c r="M86" s="54">
        <f>L86*'Расчет субсидий'!Q86</f>
        <v>1.9969119917653089</v>
      </c>
      <c r="N86" s="55">
        <f t="shared" si="27"/>
        <v>7.5925845259055205</v>
      </c>
      <c r="O86" s="54">
        <f>'Расчет субсидий'!T86-1</f>
        <v>0.14689265536723162</v>
      </c>
      <c r="P86" s="54">
        <f>O86*'Расчет субсидий'!U86</f>
        <v>4.4067796610169481</v>
      </c>
      <c r="Q86" s="55">
        <f t="shared" si="28"/>
        <v>16.755293774230974</v>
      </c>
      <c r="R86" s="54">
        <f>'Расчет субсидий'!X86-1</f>
        <v>0.16153846153846141</v>
      </c>
      <c r="S86" s="54">
        <f>R86*'Расчет субсидий'!Y86</f>
        <v>3.2307692307692282</v>
      </c>
      <c r="T86" s="55">
        <f t="shared" si="29"/>
        <v>12.283910642764596</v>
      </c>
      <c r="U86" s="60">
        <f>'Расчет субсидий'!AB86-1</f>
        <v>4.6000000000000041E-2</v>
      </c>
      <c r="V86" s="60">
        <f>U86*'Расчет субсидий'!AC86</f>
        <v>0.2300000000000002</v>
      </c>
      <c r="W86" s="55">
        <f t="shared" si="15"/>
        <v>0.87449744813967145</v>
      </c>
      <c r="X86" s="71">
        <f>'Расчет субсидий'!AF86-1</f>
        <v>-1.2875536480686733E-2</v>
      </c>
      <c r="Y86" s="71">
        <f>X86*'Расчет субсидий'!AG86</f>
        <v>-0.25751072961373467</v>
      </c>
      <c r="Z86" s="55">
        <f t="shared" si="16"/>
        <v>-0.97909772137302475</v>
      </c>
      <c r="AA86" s="27" t="s">
        <v>367</v>
      </c>
      <c r="AB86" s="27" t="s">
        <v>367</v>
      </c>
      <c r="AC86" s="27" t="s">
        <v>367</v>
      </c>
      <c r="AD86" s="27" t="s">
        <v>367</v>
      </c>
      <c r="AE86" s="27" t="s">
        <v>367</v>
      </c>
      <c r="AF86" s="27" t="s">
        <v>367</v>
      </c>
      <c r="AG86" s="54">
        <f t="shared" si="17"/>
        <v>9.8508525929621413</v>
      </c>
    </row>
    <row r="87" spans="1:33" ht="15" customHeight="1">
      <c r="A87" s="33" t="s">
        <v>86</v>
      </c>
      <c r="B87" s="52">
        <f>'Расчет субсидий'!AT87</f>
        <v>25.763636363636351</v>
      </c>
      <c r="C87" s="54">
        <f>'Расчет субсидий'!D87-1</f>
        <v>4.7619047619047672E-2</v>
      </c>
      <c r="D87" s="54">
        <f>C87*'Расчет субсидий'!E87</f>
        <v>0.47619047619047672</v>
      </c>
      <c r="E87" s="55">
        <f t="shared" si="26"/>
        <v>2.0643917817166288</v>
      </c>
      <c r="F87" s="27" t="s">
        <v>367</v>
      </c>
      <c r="G87" s="27" t="s">
        <v>367</v>
      </c>
      <c r="H87" s="27" t="s">
        <v>367</v>
      </c>
      <c r="I87" s="27" t="s">
        <v>367</v>
      </c>
      <c r="J87" s="27" t="s">
        <v>367</v>
      </c>
      <c r="K87" s="27" t="s">
        <v>367</v>
      </c>
      <c r="L87" s="54">
        <f>'Расчет субсидий'!P87-1</f>
        <v>-0.11908476339053564</v>
      </c>
      <c r="M87" s="54">
        <f>L87*'Расчет субсидий'!Q87</f>
        <v>-2.3816952678107128</v>
      </c>
      <c r="N87" s="55">
        <f t="shared" si="27"/>
        <v>-10.325179488585812</v>
      </c>
      <c r="O87" s="54">
        <f>'Расчет субсидий'!T87-1</f>
        <v>0.18518518518518534</v>
      </c>
      <c r="P87" s="54">
        <f>O87*'Расчет субсидий'!U87</f>
        <v>4.6296296296296333</v>
      </c>
      <c r="Q87" s="55">
        <f t="shared" si="28"/>
        <v>20.070475655578328</v>
      </c>
      <c r="R87" s="54">
        <f>'Расчет субсидий'!X87-1</f>
        <v>0.16981132075471694</v>
      </c>
      <c r="S87" s="54">
        <f>R87*'Расчет субсидий'!Y87</f>
        <v>4.2452830188679238</v>
      </c>
      <c r="T87" s="55">
        <f t="shared" si="29"/>
        <v>18.404247487945394</v>
      </c>
      <c r="U87" s="60">
        <f>'Расчет субсидий'!AB87-1</f>
        <v>4.6000000000000041E-2</v>
      </c>
      <c r="V87" s="60">
        <f>U87*'Расчет субсидий'!AC87</f>
        <v>0.2300000000000002</v>
      </c>
      <c r="W87" s="55">
        <f t="shared" si="15"/>
        <v>0.99710123056913158</v>
      </c>
      <c r="X87" s="71">
        <f>'Расчет субсидий'!AF87-1</f>
        <v>-6.2827225130890008E-2</v>
      </c>
      <c r="Y87" s="71">
        <f>X87*'Расчет субсидий'!AG87</f>
        <v>-1.2565445026178002</v>
      </c>
      <c r="Z87" s="55">
        <f t="shared" si="16"/>
        <v>-5.4474003035873242</v>
      </c>
      <c r="AA87" s="27" t="s">
        <v>367</v>
      </c>
      <c r="AB87" s="27" t="s">
        <v>367</v>
      </c>
      <c r="AC87" s="27" t="s">
        <v>367</v>
      </c>
      <c r="AD87" s="27" t="s">
        <v>367</v>
      </c>
      <c r="AE87" s="27" t="s">
        <v>367</v>
      </c>
      <c r="AF87" s="27" t="s">
        <v>367</v>
      </c>
      <c r="AG87" s="54">
        <f t="shared" si="17"/>
        <v>5.9428633542595222</v>
      </c>
    </row>
    <row r="88" spans="1:33" ht="15" customHeight="1">
      <c r="A88" s="33" t="s">
        <v>87</v>
      </c>
      <c r="B88" s="52">
        <f>'Расчет субсидий'!AT88</f>
        <v>-26.290909090909111</v>
      </c>
      <c r="C88" s="54">
        <f>'Расчет субсидий'!D88-1</f>
        <v>2.7027027027026973E-2</v>
      </c>
      <c r="D88" s="54">
        <f>C88*'Расчет субсидий'!E88</f>
        <v>0.27027027027026973</v>
      </c>
      <c r="E88" s="55">
        <f t="shared" si="26"/>
        <v>1.0297674320233277</v>
      </c>
      <c r="F88" s="27" t="s">
        <v>367</v>
      </c>
      <c r="G88" s="27" t="s">
        <v>367</v>
      </c>
      <c r="H88" s="27" t="s">
        <v>367</v>
      </c>
      <c r="I88" s="27" t="s">
        <v>367</v>
      </c>
      <c r="J88" s="27" t="s">
        <v>367</v>
      </c>
      <c r="K88" s="27" t="s">
        <v>367</v>
      </c>
      <c r="L88" s="54">
        <f>'Расчет субсидий'!P88-1</f>
        <v>-0.75382262996941896</v>
      </c>
      <c r="M88" s="54">
        <f>L88*'Расчет субсидий'!Q88</f>
        <v>-15.076452599388379</v>
      </c>
      <c r="N88" s="55">
        <f t="shared" si="27"/>
        <v>-57.443387545986418</v>
      </c>
      <c r="O88" s="54">
        <f>'Расчет субсидий'!T88-1</f>
        <v>0.17319587628865984</v>
      </c>
      <c r="P88" s="54">
        <f>O88*'Расчет субсидий'!U88</f>
        <v>4.3298969072164963</v>
      </c>
      <c r="Q88" s="55">
        <f t="shared" si="28"/>
        <v>16.497511230559333</v>
      </c>
      <c r="R88" s="54">
        <f>'Расчет субсидий'!X88-1</f>
        <v>0.1585365853658538</v>
      </c>
      <c r="S88" s="54">
        <f>R88*'Расчет субсидий'!Y88</f>
        <v>3.963414634146345</v>
      </c>
      <c r="T88" s="55">
        <f t="shared" si="29"/>
        <v>15.101162646439697</v>
      </c>
      <c r="U88" s="60">
        <f>'Расчет субсидий'!AB88-1</f>
        <v>0.10050000000000003</v>
      </c>
      <c r="V88" s="60">
        <f>U88*'Расчет субсидий'!AC88</f>
        <v>0.50250000000000017</v>
      </c>
      <c r="W88" s="55">
        <f t="shared" si="15"/>
        <v>1.9145950979893767</v>
      </c>
      <c r="X88" s="71">
        <f>'Расчет субсидий'!AF88-1</f>
        <v>-4.4493882091212411E-2</v>
      </c>
      <c r="Y88" s="71">
        <f>X88*'Расчет субсидий'!AG88</f>
        <v>-0.88987764182424822</v>
      </c>
      <c r="Z88" s="55">
        <f t="shared" si="16"/>
        <v>-3.3905579519344307</v>
      </c>
      <c r="AA88" s="27" t="s">
        <v>367</v>
      </c>
      <c r="AB88" s="27" t="s">
        <v>367</v>
      </c>
      <c r="AC88" s="27" t="s">
        <v>367</v>
      </c>
      <c r="AD88" s="27" t="s">
        <v>367</v>
      </c>
      <c r="AE88" s="27" t="s">
        <v>367</v>
      </c>
      <c r="AF88" s="27" t="s">
        <v>367</v>
      </c>
      <c r="AG88" s="54">
        <f t="shared" si="17"/>
        <v>-6.9002484295795146</v>
      </c>
    </row>
    <row r="89" spans="1:33" ht="15" customHeight="1">
      <c r="A89" s="33" t="s">
        <v>88</v>
      </c>
      <c r="B89" s="52">
        <f>'Расчет субсидий'!AT89</f>
        <v>57.645454545454527</v>
      </c>
      <c r="C89" s="54">
        <f>'Расчет субсидий'!D89-1</f>
        <v>1.8445322793148922E-2</v>
      </c>
      <c r="D89" s="54">
        <f>C89*'Расчет субсидий'!E89</f>
        <v>0.18445322793148922</v>
      </c>
      <c r="E89" s="55">
        <f t="shared" si="26"/>
        <v>0.90998053990498218</v>
      </c>
      <c r="F89" s="27" t="s">
        <v>367</v>
      </c>
      <c r="G89" s="27" t="s">
        <v>367</v>
      </c>
      <c r="H89" s="27" t="s">
        <v>367</v>
      </c>
      <c r="I89" s="27" t="s">
        <v>367</v>
      </c>
      <c r="J89" s="27" t="s">
        <v>367</v>
      </c>
      <c r="K89" s="27" t="s">
        <v>367</v>
      </c>
      <c r="L89" s="54">
        <f>'Расчет субсидий'!P89-1</f>
        <v>0.10937812437512484</v>
      </c>
      <c r="M89" s="54">
        <f>L89*'Расчет субсидий'!Q89</f>
        <v>2.1875624875024968</v>
      </c>
      <c r="N89" s="55">
        <f t="shared" si="27"/>
        <v>10.792108740936666</v>
      </c>
      <c r="O89" s="54">
        <f>'Расчет субсидий'!T89-1</f>
        <v>0.180064308681672</v>
      </c>
      <c r="P89" s="54">
        <f>O89*'Расчет субсидий'!U89</f>
        <v>5.4019292604501601</v>
      </c>
      <c r="Q89" s="55">
        <f t="shared" si="28"/>
        <v>26.649848094709188</v>
      </c>
      <c r="R89" s="54">
        <f>'Расчет субсидий'!X89-1</f>
        <v>0.171875</v>
      </c>
      <c r="S89" s="54">
        <f>R89*'Расчет субсидий'!Y89</f>
        <v>3.4375</v>
      </c>
      <c r="T89" s="55">
        <f t="shared" si="29"/>
        <v>16.958543588541694</v>
      </c>
      <c r="U89" s="60">
        <f>'Расчет субсидий'!AB89-1</f>
        <v>4.0666666666666629E-2</v>
      </c>
      <c r="V89" s="60">
        <f>U89*'Расчет субсидий'!AC89</f>
        <v>0.20333333333333314</v>
      </c>
      <c r="W89" s="55">
        <f t="shared" si="15"/>
        <v>1.0031235480252532</v>
      </c>
      <c r="X89" s="71">
        <f>'Расчет субсидий'!AF89-1</f>
        <v>1.3498312710911176E-2</v>
      </c>
      <c r="Y89" s="71">
        <f>X89*'Расчет субсидий'!AG89</f>
        <v>0.26996625421822351</v>
      </c>
      <c r="Z89" s="55">
        <f t="shared" si="16"/>
        <v>1.331850033336748</v>
      </c>
      <c r="AA89" s="27" t="s">
        <v>367</v>
      </c>
      <c r="AB89" s="27" t="s">
        <v>367</v>
      </c>
      <c r="AC89" s="27" t="s">
        <v>367</v>
      </c>
      <c r="AD89" s="27" t="s">
        <v>367</v>
      </c>
      <c r="AE89" s="27" t="s">
        <v>367</v>
      </c>
      <c r="AF89" s="27" t="s">
        <v>367</v>
      </c>
      <c r="AG89" s="54">
        <f t="shared" si="17"/>
        <v>11.684744563435702</v>
      </c>
    </row>
    <row r="90" spans="1:33" ht="15" customHeight="1">
      <c r="A90" s="32" t="s">
        <v>89</v>
      </c>
      <c r="B90" s="56"/>
      <c r="C90" s="57"/>
      <c r="D90" s="57"/>
      <c r="E90" s="58"/>
      <c r="F90" s="57"/>
      <c r="G90" s="57"/>
      <c r="H90" s="58"/>
      <c r="I90" s="58"/>
      <c r="J90" s="58"/>
      <c r="K90" s="58"/>
      <c r="L90" s="57"/>
      <c r="M90" s="57"/>
      <c r="N90" s="58"/>
      <c r="O90" s="57"/>
      <c r="P90" s="57"/>
      <c r="Q90" s="58"/>
      <c r="R90" s="57"/>
      <c r="S90" s="57"/>
      <c r="T90" s="58"/>
      <c r="U90" s="58"/>
      <c r="V90" s="58"/>
      <c r="W90" s="58"/>
      <c r="X90" s="73"/>
      <c r="Y90" s="73"/>
      <c r="Z90" s="58"/>
      <c r="AA90" s="58"/>
      <c r="AB90" s="58"/>
      <c r="AC90" s="58"/>
      <c r="AD90" s="58"/>
      <c r="AE90" s="58"/>
      <c r="AF90" s="58"/>
      <c r="AG90" s="58"/>
    </row>
    <row r="91" spans="1:33" ht="15" customHeight="1">
      <c r="A91" s="33" t="s">
        <v>90</v>
      </c>
      <c r="B91" s="52">
        <f>'Расчет субсидий'!AT91</f>
        <v>-9.5909090909090935</v>
      </c>
      <c r="C91" s="54">
        <f>'Расчет субсидий'!D91-1</f>
        <v>-1</v>
      </c>
      <c r="D91" s="54">
        <f>C91*'Расчет субсидий'!E91</f>
        <v>0</v>
      </c>
      <c r="E91" s="55">
        <f t="shared" ref="E91:E103" si="30">$B91*D91/$AG91</f>
        <v>0</v>
      </c>
      <c r="F91" s="27" t="s">
        <v>367</v>
      </c>
      <c r="G91" s="27" t="s">
        <v>367</v>
      </c>
      <c r="H91" s="27" t="s">
        <v>367</v>
      </c>
      <c r="I91" s="27" t="s">
        <v>367</v>
      </c>
      <c r="J91" s="27" t="s">
        <v>367</v>
      </c>
      <c r="K91" s="27" t="s">
        <v>367</v>
      </c>
      <c r="L91" s="54">
        <f>'Расчет субсидий'!P91-1</f>
        <v>-0.60796324655436451</v>
      </c>
      <c r="M91" s="54">
        <f>L91*'Расчет субсидий'!Q91</f>
        <v>-12.159264931087289</v>
      </c>
      <c r="N91" s="55">
        <f t="shared" ref="N91:N103" si="31">$B91*M91/$AG91</f>
        <v>-18.931196006880761</v>
      </c>
      <c r="O91" s="54">
        <f>'Расчет субсидий'!T91-1</f>
        <v>0.14999999999999991</v>
      </c>
      <c r="P91" s="54">
        <f>O91*'Расчет субсидий'!U91</f>
        <v>2.9999999999999982</v>
      </c>
      <c r="Q91" s="55">
        <f t="shared" ref="Q91:Q103" si="32">$B91*P91/$AG91</f>
        <v>4.670807679783298</v>
      </c>
      <c r="R91" s="54">
        <f>'Расчет субсидий'!X91-1</f>
        <v>0.125</v>
      </c>
      <c r="S91" s="54">
        <f>R91*'Расчет субсидий'!Y91</f>
        <v>3.75</v>
      </c>
      <c r="T91" s="55">
        <f t="shared" ref="T91:T103" si="33">$B91*S91/$AG91</f>
        <v>5.8385095997291261</v>
      </c>
      <c r="U91" s="60">
        <f>'Расчет субсидий'!AB91-1</f>
        <v>-0.15017064846416384</v>
      </c>
      <c r="V91" s="60">
        <f>U91*'Расчет субсидий'!AC91</f>
        <v>-0.75085324232081918</v>
      </c>
      <c r="W91" s="55">
        <f t="shared" si="15"/>
        <v>-1.1690303635407582</v>
      </c>
      <c r="X91" s="71">
        <f>'Расчет субсидий'!AF91-1</f>
        <v>0</v>
      </c>
      <c r="Y91" s="71">
        <f>X91*'Расчет субсидий'!AG91</f>
        <v>0</v>
      </c>
      <c r="Z91" s="55">
        <f t="shared" si="16"/>
        <v>0</v>
      </c>
      <c r="AA91" s="27" t="s">
        <v>367</v>
      </c>
      <c r="AB91" s="27" t="s">
        <v>367</v>
      </c>
      <c r="AC91" s="27" t="s">
        <v>367</v>
      </c>
      <c r="AD91" s="27" t="s">
        <v>367</v>
      </c>
      <c r="AE91" s="27" t="s">
        <v>367</v>
      </c>
      <c r="AF91" s="27" t="s">
        <v>367</v>
      </c>
      <c r="AG91" s="54">
        <f t="shared" si="17"/>
        <v>-6.1601181734081099</v>
      </c>
    </row>
    <row r="92" spans="1:33" ht="15" customHeight="1">
      <c r="A92" s="33" t="s">
        <v>91</v>
      </c>
      <c r="B92" s="52">
        <f>'Расчет субсидий'!AT92</f>
        <v>18.945454545454538</v>
      </c>
      <c r="C92" s="54">
        <f>'Расчет субсидий'!D92-1</f>
        <v>0.12183721166548112</v>
      </c>
      <c r="D92" s="54">
        <f>C92*'Расчет субсидий'!E92</f>
        <v>1.2183721166548112</v>
      </c>
      <c r="E92" s="55">
        <f t="shared" si="30"/>
        <v>5.0080267820176463</v>
      </c>
      <c r="F92" s="27" t="s">
        <v>367</v>
      </c>
      <c r="G92" s="27" t="s">
        <v>367</v>
      </c>
      <c r="H92" s="27" t="s">
        <v>367</v>
      </c>
      <c r="I92" s="27" t="s">
        <v>367</v>
      </c>
      <c r="J92" s="27" t="s">
        <v>367</v>
      </c>
      <c r="K92" s="27" t="s">
        <v>367</v>
      </c>
      <c r="L92" s="54">
        <f>'Расчет субсидий'!P92-1</f>
        <v>-0.17723168156700664</v>
      </c>
      <c r="M92" s="54">
        <f>L92*'Расчет субсидий'!Q92</f>
        <v>-3.5446336313401328</v>
      </c>
      <c r="N92" s="55">
        <f t="shared" si="31"/>
        <v>-14.569949455943791</v>
      </c>
      <c r="O92" s="54">
        <f>'Расчет субсидий'!T92-1</f>
        <v>0.16766467065868262</v>
      </c>
      <c r="P92" s="54">
        <f>O92*'Расчет субсидий'!U92</f>
        <v>3.3532934131736525</v>
      </c>
      <c r="Q92" s="55">
        <f t="shared" si="32"/>
        <v>13.783459906522888</v>
      </c>
      <c r="R92" s="54">
        <f>'Расчет субсидий'!X92-1</f>
        <v>0.12941176470588234</v>
      </c>
      <c r="S92" s="54">
        <f>R92*'Расчет субсидий'!Y92</f>
        <v>3.8823529411764701</v>
      </c>
      <c r="T92" s="55">
        <f t="shared" si="33"/>
        <v>15.958119232110848</v>
      </c>
      <c r="U92" s="60">
        <f>'Расчет субсидий'!AB92-1</f>
        <v>-6.0052282872734564E-2</v>
      </c>
      <c r="V92" s="60">
        <f>U92*'Расчет субсидий'!AC92</f>
        <v>-0.30026141436367282</v>
      </c>
      <c r="W92" s="55">
        <f t="shared" si="15"/>
        <v>-1.2342019192530522</v>
      </c>
      <c r="X92" s="71">
        <f>'Расчет субсидий'!AF92-1</f>
        <v>0</v>
      </c>
      <c r="Y92" s="71">
        <f>X92*'Расчет субсидий'!AG92</f>
        <v>0</v>
      </c>
      <c r="Z92" s="55">
        <f t="shared" si="16"/>
        <v>0</v>
      </c>
      <c r="AA92" s="27" t="s">
        <v>367</v>
      </c>
      <c r="AB92" s="27" t="s">
        <v>367</v>
      </c>
      <c r="AC92" s="27" t="s">
        <v>367</v>
      </c>
      <c r="AD92" s="27" t="s">
        <v>367</v>
      </c>
      <c r="AE92" s="27" t="s">
        <v>367</v>
      </c>
      <c r="AF92" s="27" t="s">
        <v>367</v>
      </c>
      <c r="AG92" s="54">
        <f t="shared" si="17"/>
        <v>4.609123425301128</v>
      </c>
    </row>
    <row r="93" spans="1:33" ht="15" customHeight="1">
      <c r="A93" s="33" t="s">
        <v>92</v>
      </c>
      <c r="B93" s="52">
        <f>'Расчет субсидий'!AT93</f>
        <v>-16.263636363636351</v>
      </c>
      <c r="C93" s="54">
        <f>'Расчет субсидий'!D93-1</f>
        <v>-1</v>
      </c>
      <c r="D93" s="54">
        <f>C93*'Расчет субсидий'!E93</f>
        <v>0</v>
      </c>
      <c r="E93" s="55">
        <f t="shared" si="30"/>
        <v>0</v>
      </c>
      <c r="F93" s="27" t="s">
        <v>367</v>
      </c>
      <c r="G93" s="27" t="s">
        <v>367</v>
      </c>
      <c r="H93" s="27" t="s">
        <v>367</v>
      </c>
      <c r="I93" s="27" t="s">
        <v>367</v>
      </c>
      <c r="J93" s="27" t="s">
        <v>367</v>
      </c>
      <c r="K93" s="27" t="s">
        <v>367</v>
      </c>
      <c r="L93" s="54">
        <f>'Расчет субсидий'!P93-1</f>
        <v>-0.63904786680541104</v>
      </c>
      <c r="M93" s="54">
        <f>L93*'Расчет субсидий'!Q93</f>
        <v>-12.780957336108221</v>
      </c>
      <c r="N93" s="55">
        <f t="shared" si="31"/>
        <v>-47.104748236487353</v>
      </c>
      <c r="O93" s="54">
        <f>'Расчет субсидий'!T93-1</f>
        <v>0.16083916083916083</v>
      </c>
      <c r="P93" s="54">
        <f>O93*'Расчет субсидий'!U93</f>
        <v>3.2167832167832167</v>
      </c>
      <c r="Q93" s="55">
        <f t="shared" si="32"/>
        <v>11.855587932356769</v>
      </c>
      <c r="R93" s="54">
        <f>'Расчет субсидий'!X93-1</f>
        <v>0.16071428571428581</v>
      </c>
      <c r="S93" s="54">
        <f>R93*'Расчет субсидий'!Y93</f>
        <v>4.8214285714285747</v>
      </c>
      <c r="T93" s="55">
        <f t="shared" si="33"/>
        <v>17.769574925011458</v>
      </c>
      <c r="U93" s="60">
        <f>'Расчет субсидий'!AB93-1</f>
        <v>6.5984823490597089E-2</v>
      </c>
      <c r="V93" s="60">
        <f>U93*'Расчет субсидий'!AC93</f>
        <v>0.32992411745298544</v>
      </c>
      <c r="W93" s="55">
        <f t="shared" si="15"/>
        <v>1.2159490154827766</v>
      </c>
      <c r="X93" s="71">
        <f>'Расчет субсидий'!AF93-1</f>
        <v>0</v>
      </c>
      <c r="Y93" s="71">
        <f>X93*'Расчет субсидий'!AG93</f>
        <v>0</v>
      </c>
      <c r="Z93" s="55">
        <f t="shared" si="16"/>
        <v>0</v>
      </c>
      <c r="AA93" s="27" t="s">
        <v>367</v>
      </c>
      <c r="AB93" s="27" t="s">
        <v>367</v>
      </c>
      <c r="AC93" s="27" t="s">
        <v>367</v>
      </c>
      <c r="AD93" s="27" t="s">
        <v>367</v>
      </c>
      <c r="AE93" s="27" t="s">
        <v>367</v>
      </c>
      <c r="AF93" s="27" t="s">
        <v>367</v>
      </c>
      <c r="AG93" s="54">
        <f t="shared" si="17"/>
        <v>-4.4128214304434445</v>
      </c>
    </row>
    <row r="94" spans="1:33" ht="15" customHeight="1">
      <c r="A94" s="33" t="s">
        <v>93</v>
      </c>
      <c r="B94" s="52">
        <f>'Расчет субсидий'!AT94</f>
        <v>5.181818181818187</v>
      </c>
      <c r="C94" s="54">
        <f>'Расчет субсидий'!D94-1</f>
        <v>-1</v>
      </c>
      <c r="D94" s="54">
        <f>C94*'Расчет субсидий'!E94</f>
        <v>0</v>
      </c>
      <c r="E94" s="55">
        <f t="shared" si="30"/>
        <v>0</v>
      </c>
      <c r="F94" s="27" t="s">
        <v>367</v>
      </c>
      <c r="G94" s="27" t="s">
        <v>367</v>
      </c>
      <c r="H94" s="27" t="s">
        <v>367</v>
      </c>
      <c r="I94" s="27" t="s">
        <v>367</v>
      </c>
      <c r="J94" s="27" t="s">
        <v>367</v>
      </c>
      <c r="K94" s="27" t="s">
        <v>367</v>
      </c>
      <c r="L94" s="54">
        <f>'Расчет субсидий'!P94-1</f>
        <v>-0.56988957716132504</v>
      </c>
      <c r="M94" s="54">
        <f>L94*'Расчет субсидий'!Q94</f>
        <v>-11.3977915432265</v>
      </c>
      <c r="N94" s="55">
        <f t="shared" si="31"/>
        <v>-18.255989800799256</v>
      </c>
      <c r="O94" s="54">
        <f>'Расчет субсидий'!T94-1</f>
        <v>0.30000000000000004</v>
      </c>
      <c r="P94" s="54">
        <f>O94*'Расчет субсидий'!U94</f>
        <v>6.0000000000000009</v>
      </c>
      <c r="Q94" s="55">
        <f t="shared" si="32"/>
        <v>9.6102774286910666</v>
      </c>
      <c r="R94" s="54">
        <f>'Расчет субсидий'!X94-1</f>
        <v>0.30000000000000004</v>
      </c>
      <c r="S94" s="54">
        <f>R94*'Расчет субсидий'!Y94</f>
        <v>9.0000000000000018</v>
      </c>
      <c r="T94" s="55">
        <f t="shared" si="33"/>
        <v>14.4154161430366</v>
      </c>
      <c r="U94" s="60">
        <f>'Расчет субсидий'!AB94-1</f>
        <v>-7.3407111518564605E-2</v>
      </c>
      <c r="V94" s="60">
        <f>U94*'Расчет субсидий'!AC94</f>
        <v>-0.36703555759282303</v>
      </c>
      <c r="W94" s="55">
        <f t="shared" si="15"/>
        <v>-0.58788558911022448</v>
      </c>
      <c r="X94" s="71">
        <f>'Расчет субсидий'!AF94-1</f>
        <v>0</v>
      </c>
      <c r="Y94" s="71">
        <f>X94*'Расчет субсидий'!AG94</f>
        <v>0</v>
      </c>
      <c r="Z94" s="55">
        <f t="shared" si="16"/>
        <v>0</v>
      </c>
      <c r="AA94" s="27" t="s">
        <v>367</v>
      </c>
      <c r="AB94" s="27" t="s">
        <v>367</v>
      </c>
      <c r="AC94" s="27" t="s">
        <v>367</v>
      </c>
      <c r="AD94" s="27" t="s">
        <v>367</v>
      </c>
      <c r="AE94" s="27" t="s">
        <v>367</v>
      </c>
      <c r="AF94" s="27" t="s">
        <v>367</v>
      </c>
      <c r="AG94" s="54">
        <f t="shared" si="17"/>
        <v>3.2351728991806796</v>
      </c>
    </row>
    <row r="95" spans="1:33" ht="15" customHeight="1">
      <c r="A95" s="33" t="s">
        <v>94</v>
      </c>
      <c r="B95" s="52">
        <f>'Расчет субсидий'!AT95</f>
        <v>27.890909090909076</v>
      </c>
      <c r="C95" s="54">
        <f>'Расчет субсидий'!D95-1</f>
        <v>0.20229102167182655</v>
      </c>
      <c r="D95" s="54">
        <f>C95*'Расчет субсидий'!E95</f>
        <v>2.0229102167182655</v>
      </c>
      <c r="E95" s="55">
        <f t="shared" si="30"/>
        <v>6.6293215407797232</v>
      </c>
      <c r="F95" s="27" t="s">
        <v>367</v>
      </c>
      <c r="G95" s="27" t="s">
        <v>367</v>
      </c>
      <c r="H95" s="27" t="s">
        <v>367</v>
      </c>
      <c r="I95" s="27" t="s">
        <v>367</v>
      </c>
      <c r="J95" s="27" t="s">
        <v>367</v>
      </c>
      <c r="K95" s="27" t="s">
        <v>367</v>
      </c>
      <c r="L95" s="54">
        <f>'Расчет субсидий'!P95-1</f>
        <v>-0.10372670807453421</v>
      </c>
      <c r="M95" s="54">
        <f>L95*'Расчет субсидий'!Q95</f>
        <v>-2.0745341614906843</v>
      </c>
      <c r="N95" s="55">
        <f t="shared" si="31"/>
        <v>-6.7984994540017034</v>
      </c>
      <c r="O95" s="54">
        <f>'Расчет субсидий'!T95-1</f>
        <v>0.18470705064548154</v>
      </c>
      <c r="P95" s="54">
        <f>O95*'Расчет субсидий'!U95</f>
        <v>4.617676266137039</v>
      </c>
      <c r="Q95" s="55">
        <f t="shared" si="32"/>
        <v>15.132683836611891</v>
      </c>
      <c r="R95" s="54">
        <f>'Расчет субсидий'!X95-1</f>
        <v>0.18571428571428572</v>
      </c>
      <c r="S95" s="54">
        <f>R95*'Расчет субсидий'!Y95</f>
        <v>4.6428571428571432</v>
      </c>
      <c r="T95" s="55">
        <f t="shared" si="33"/>
        <v>15.21520461636608</v>
      </c>
      <c r="U95" s="60">
        <f>'Расчет субсидий'!AB95-1</f>
        <v>-0.13962264150943393</v>
      </c>
      <c r="V95" s="60">
        <f>U95*'Расчет субсидий'!AC95</f>
        <v>-0.69811320754716966</v>
      </c>
      <c r="W95" s="55">
        <f t="shared" si="15"/>
        <v>-2.2878014488469165</v>
      </c>
      <c r="X95" s="71">
        <f>'Расчет субсидий'!AF95-1</f>
        <v>0</v>
      </c>
      <c r="Y95" s="71">
        <f>X95*'Расчет субсидий'!AG95</f>
        <v>0</v>
      </c>
      <c r="Z95" s="55">
        <f t="shared" si="16"/>
        <v>0</v>
      </c>
      <c r="AA95" s="27" t="s">
        <v>367</v>
      </c>
      <c r="AB95" s="27" t="s">
        <v>367</v>
      </c>
      <c r="AC95" s="27" t="s">
        <v>367</v>
      </c>
      <c r="AD95" s="27" t="s">
        <v>367</v>
      </c>
      <c r="AE95" s="27" t="s">
        <v>367</v>
      </c>
      <c r="AF95" s="27" t="s">
        <v>367</v>
      </c>
      <c r="AG95" s="54">
        <f t="shared" si="17"/>
        <v>8.5107962566745936</v>
      </c>
    </row>
    <row r="96" spans="1:33" ht="15" customHeight="1">
      <c r="A96" s="33" t="s">
        <v>95</v>
      </c>
      <c r="B96" s="52">
        <f>'Расчет субсидий'!AT96</f>
        <v>22.109090909090895</v>
      </c>
      <c r="C96" s="54">
        <f>'Расчет субсидий'!D96-1</f>
        <v>-1</v>
      </c>
      <c r="D96" s="54">
        <f>C96*'Расчет субсидий'!E96</f>
        <v>0</v>
      </c>
      <c r="E96" s="55">
        <f t="shared" si="30"/>
        <v>0</v>
      </c>
      <c r="F96" s="27" t="s">
        <v>367</v>
      </c>
      <c r="G96" s="27" t="s">
        <v>367</v>
      </c>
      <c r="H96" s="27" t="s">
        <v>367</v>
      </c>
      <c r="I96" s="27" t="s">
        <v>367</v>
      </c>
      <c r="J96" s="27" t="s">
        <v>367</v>
      </c>
      <c r="K96" s="27" t="s">
        <v>367</v>
      </c>
      <c r="L96" s="54">
        <f>'Расчет субсидий'!P96-1</f>
        <v>0.20369781312127233</v>
      </c>
      <c r="M96" s="54">
        <f>L96*'Расчет субсидий'!Q96</f>
        <v>4.0739562624254466</v>
      </c>
      <c r="N96" s="55">
        <f t="shared" si="31"/>
        <v>8.0400329369958623</v>
      </c>
      <c r="O96" s="54">
        <f>'Расчет субсидий'!T96-1</f>
        <v>0.16446700507614209</v>
      </c>
      <c r="P96" s="54">
        <f>O96*'Расчет субсидий'!U96</f>
        <v>4.1116751269035525</v>
      </c>
      <c r="Q96" s="55">
        <f t="shared" si="32"/>
        <v>8.1144718590694893</v>
      </c>
      <c r="R96" s="54">
        <f>'Расчет субсидий'!X96-1</f>
        <v>0.12871287128712883</v>
      </c>
      <c r="S96" s="54">
        <f>R96*'Расчет субсидий'!Y96</f>
        <v>3.2178217821782207</v>
      </c>
      <c r="T96" s="55">
        <f t="shared" si="33"/>
        <v>6.3504346751854861</v>
      </c>
      <c r="U96" s="60">
        <f>'Расчет субсидий'!AB96-1</f>
        <v>-4.0115998066698855E-2</v>
      </c>
      <c r="V96" s="60">
        <f>U96*'Расчет субсидий'!AC96</f>
        <v>-0.20057999033349427</v>
      </c>
      <c r="W96" s="55">
        <f t="shared" si="15"/>
        <v>-0.3958485621599423</v>
      </c>
      <c r="X96" s="71">
        <f>'Расчет субсидий'!AF96-1</f>
        <v>0</v>
      </c>
      <c r="Y96" s="71">
        <f>X96*'Расчет субсидий'!AG96</f>
        <v>0</v>
      </c>
      <c r="Z96" s="55">
        <f t="shared" si="16"/>
        <v>0</v>
      </c>
      <c r="AA96" s="27" t="s">
        <v>367</v>
      </c>
      <c r="AB96" s="27" t="s">
        <v>367</v>
      </c>
      <c r="AC96" s="27" t="s">
        <v>367</v>
      </c>
      <c r="AD96" s="27" t="s">
        <v>367</v>
      </c>
      <c r="AE96" s="27" t="s">
        <v>367</v>
      </c>
      <c r="AF96" s="27" t="s">
        <v>367</v>
      </c>
      <c r="AG96" s="54">
        <f t="shared" si="17"/>
        <v>11.202873181173725</v>
      </c>
    </row>
    <row r="97" spans="1:33" ht="15" customHeight="1">
      <c r="A97" s="33" t="s">
        <v>96</v>
      </c>
      <c r="B97" s="52">
        <f>'Расчет субсидий'!AT97</f>
        <v>9.2727272727272521</v>
      </c>
      <c r="C97" s="54">
        <f>'Расчет субсидий'!D97-1</f>
        <v>-6.9508196721311477E-2</v>
      </c>
      <c r="D97" s="54">
        <f>C97*'Расчет субсидий'!E97</f>
        <v>-0.69508196721311477</v>
      </c>
      <c r="E97" s="55">
        <f t="shared" si="30"/>
        <v>-1.8120675609981847</v>
      </c>
      <c r="F97" s="27" t="s">
        <v>367</v>
      </c>
      <c r="G97" s="27" t="s">
        <v>367</v>
      </c>
      <c r="H97" s="27" t="s">
        <v>367</v>
      </c>
      <c r="I97" s="27" t="s">
        <v>367</v>
      </c>
      <c r="J97" s="27" t="s">
        <v>367</v>
      </c>
      <c r="K97" s="27" t="s">
        <v>367</v>
      </c>
      <c r="L97" s="54">
        <f>'Расчет субсидий'!P97-1</f>
        <v>-5.804953560371473E-3</v>
      </c>
      <c r="M97" s="54">
        <f>L97*'Расчет субсидий'!Q97</f>
        <v>-0.11609907120742946</v>
      </c>
      <c r="N97" s="55">
        <f t="shared" si="31"/>
        <v>-0.30266842001455374</v>
      </c>
      <c r="O97" s="54">
        <f>'Расчет субсидий'!T97-1</f>
        <v>0.15873015873015883</v>
      </c>
      <c r="P97" s="54">
        <f>O97*'Расчет субсидий'!U97</f>
        <v>3.1746031746031766</v>
      </c>
      <c r="Q97" s="55">
        <f t="shared" si="32"/>
        <v>8.2761396541546368</v>
      </c>
      <c r="R97" s="54">
        <f>'Расчет субсидий'!X97-1</f>
        <v>0.15999999999999992</v>
      </c>
      <c r="S97" s="54">
        <f>R97*'Расчет субсидий'!Y97</f>
        <v>4.7999999999999972</v>
      </c>
      <c r="T97" s="55">
        <f t="shared" si="33"/>
        <v>12.513523157081794</v>
      </c>
      <c r="U97" s="60">
        <f>'Расчет субсидий'!AB97-1</f>
        <v>-0.72130857648099034</v>
      </c>
      <c r="V97" s="60">
        <f>U97*'Расчет субсидий'!AC97</f>
        <v>-3.6065428824049519</v>
      </c>
      <c r="W97" s="55">
        <f t="shared" si="15"/>
        <v>-9.4021995574964414</v>
      </c>
      <c r="X97" s="71">
        <f>'Расчет субсидий'!AF97-1</f>
        <v>0</v>
      </c>
      <c r="Y97" s="71">
        <f>X97*'Расчет субсидий'!AG97</f>
        <v>0</v>
      </c>
      <c r="Z97" s="55">
        <f t="shared" si="16"/>
        <v>0</v>
      </c>
      <c r="AA97" s="27" t="s">
        <v>367</v>
      </c>
      <c r="AB97" s="27" t="s">
        <v>367</v>
      </c>
      <c r="AC97" s="27" t="s">
        <v>367</v>
      </c>
      <c r="AD97" s="27" t="s">
        <v>367</v>
      </c>
      <c r="AE97" s="27" t="s">
        <v>367</v>
      </c>
      <c r="AF97" s="27" t="s">
        <v>367</v>
      </c>
      <c r="AG97" s="54">
        <f t="shared" si="17"/>
        <v>3.5568792537776774</v>
      </c>
    </row>
    <row r="98" spans="1:33" ht="15" customHeight="1">
      <c r="A98" s="33" t="s">
        <v>97</v>
      </c>
      <c r="B98" s="52">
        <f>'Расчет субсидий'!AT98</f>
        <v>34.545454545454561</v>
      </c>
      <c r="C98" s="54">
        <f>'Расчет субсидий'!D98-1</f>
        <v>8.8495575221238854E-2</v>
      </c>
      <c r="D98" s="54">
        <f>C98*'Расчет субсидий'!E98</f>
        <v>0.88495575221238854</v>
      </c>
      <c r="E98" s="55">
        <f t="shared" si="30"/>
        <v>2.1979076509504112</v>
      </c>
      <c r="F98" s="27" t="s">
        <v>367</v>
      </c>
      <c r="G98" s="27" t="s">
        <v>367</v>
      </c>
      <c r="H98" s="27" t="s">
        <v>367</v>
      </c>
      <c r="I98" s="27" t="s">
        <v>367</v>
      </c>
      <c r="J98" s="27" t="s">
        <v>367</v>
      </c>
      <c r="K98" s="27" t="s">
        <v>367</v>
      </c>
      <c r="L98" s="54">
        <f>'Расчет субсидий'!P98-1</f>
        <v>0.20088739229474095</v>
      </c>
      <c r="M98" s="54">
        <f>L98*'Расчет субсидий'!Q98</f>
        <v>4.017747845894819</v>
      </c>
      <c r="N98" s="55">
        <f t="shared" si="31"/>
        <v>9.9786217649923934</v>
      </c>
      <c r="O98" s="54">
        <f>'Расчет субсидий'!T98-1</f>
        <v>0.18303571428571441</v>
      </c>
      <c r="P98" s="54">
        <f>O98*'Расчет субсидий'!U98</f>
        <v>4.5758928571428603</v>
      </c>
      <c r="Q98" s="55">
        <f t="shared" si="32"/>
        <v>11.364850610327313</v>
      </c>
      <c r="R98" s="54">
        <f>'Расчет субсидий'!X98-1</f>
        <v>0.18518518518518512</v>
      </c>
      <c r="S98" s="54">
        <f>R98*'Расчет субсидий'!Y98</f>
        <v>4.629629629629628</v>
      </c>
      <c r="T98" s="55">
        <f t="shared" si="33"/>
        <v>11.498313173953548</v>
      </c>
      <c r="U98" s="60">
        <f>'Расчет субсидий'!AB98-1</f>
        <v>-3.979961035346502E-2</v>
      </c>
      <c r="V98" s="60">
        <f>U98*'Расчет субсидий'!AC98</f>
        <v>-0.1989980517673251</v>
      </c>
      <c r="W98" s="55">
        <f t="shared" si="15"/>
        <v>-0.49423865476910217</v>
      </c>
      <c r="X98" s="71">
        <f>'Расчет субсидий'!AF98-1</f>
        <v>0</v>
      </c>
      <c r="Y98" s="71">
        <f>X98*'Расчет субсидий'!AG98</f>
        <v>0</v>
      </c>
      <c r="Z98" s="55">
        <f t="shared" si="16"/>
        <v>0</v>
      </c>
      <c r="AA98" s="27" t="s">
        <v>367</v>
      </c>
      <c r="AB98" s="27" t="s">
        <v>367</v>
      </c>
      <c r="AC98" s="27" t="s">
        <v>367</v>
      </c>
      <c r="AD98" s="27" t="s">
        <v>367</v>
      </c>
      <c r="AE98" s="27" t="s">
        <v>367</v>
      </c>
      <c r="AF98" s="27" t="s">
        <v>367</v>
      </c>
      <c r="AG98" s="54">
        <f t="shared" si="17"/>
        <v>13.90922803311237</v>
      </c>
    </row>
    <row r="99" spans="1:33" ht="15" customHeight="1">
      <c r="A99" s="33" t="s">
        <v>98</v>
      </c>
      <c r="B99" s="52">
        <f>'Расчет субсидий'!AT99</f>
        <v>1.6636363636363853</v>
      </c>
      <c r="C99" s="54">
        <f>'Расчет субсидий'!D99-1</f>
        <v>-9.3681917211329013E-2</v>
      </c>
      <c r="D99" s="54">
        <f>C99*'Расчет субсидий'!E99</f>
        <v>-0.93681917211329013</v>
      </c>
      <c r="E99" s="55">
        <f t="shared" si="30"/>
        <v>-1.5082201649118001</v>
      </c>
      <c r="F99" s="27" t="s">
        <v>367</v>
      </c>
      <c r="G99" s="27" t="s">
        <v>367</v>
      </c>
      <c r="H99" s="27" t="s">
        <v>367</v>
      </c>
      <c r="I99" s="27" t="s">
        <v>367</v>
      </c>
      <c r="J99" s="27" t="s">
        <v>367</v>
      </c>
      <c r="K99" s="27" t="s">
        <v>367</v>
      </c>
      <c r="L99" s="54">
        <f>'Расчет субсидий'!P99-1</f>
        <v>-5.509826977994281E-2</v>
      </c>
      <c r="M99" s="54">
        <f>L99*'Расчет субсидий'!Q99</f>
        <v>-1.1019653955988562</v>
      </c>
      <c r="N99" s="55">
        <f t="shared" si="31"/>
        <v>-1.774095236467061</v>
      </c>
      <c r="O99" s="54">
        <f>'Расчет субсидий'!T99-1</f>
        <v>0.10302575643910994</v>
      </c>
      <c r="P99" s="54">
        <f>O99*'Расчет субсидий'!U99</f>
        <v>2.5756439109777487</v>
      </c>
      <c r="Q99" s="55">
        <f t="shared" si="32"/>
        <v>4.1466253037989294</v>
      </c>
      <c r="R99" s="54">
        <f>'Расчет субсидий'!X99-1</f>
        <v>4.4642857142857206E-2</v>
      </c>
      <c r="S99" s="54">
        <f>R99*'Расчет субсидий'!Y99</f>
        <v>1.1160714285714302</v>
      </c>
      <c r="T99" s="55">
        <f t="shared" si="33"/>
        <v>1.7968050656522967</v>
      </c>
      <c r="U99" s="60">
        <f>'Расчет субсидий'!AB99-1</f>
        <v>-0.12391520842225068</v>
      </c>
      <c r="V99" s="60">
        <f>U99*'Расчет субсидий'!AC99</f>
        <v>-0.61957604211125339</v>
      </c>
      <c r="W99" s="55">
        <f t="shared" si="15"/>
        <v>-0.99747860443598013</v>
      </c>
      <c r="X99" s="71">
        <f>'Расчет субсидий'!AF99-1</f>
        <v>0</v>
      </c>
      <c r="Y99" s="71">
        <f>X99*'Расчет субсидий'!AG99</f>
        <v>0</v>
      </c>
      <c r="Z99" s="55">
        <f t="shared" si="16"/>
        <v>0</v>
      </c>
      <c r="AA99" s="27" t="s">
        <v>367</v>
      </c>
      <c r="AB99" s="27" t="s">
        <v>367</v>
      </c>
      <c r="AC99" s="27" t="s">
        <v>367</v>
      </c>
      <c r="AD99" s="27" t="s">
        <v>367</v>
      </c>
      <c r="AE99" s="27" t="s">
        <v>367</v>
      </c>
      <c r="AF99" s="27" t="s">
        <v>367</v>
      </c>
      <c r="AG99" s="54">
        <f t="shared" si="17"/>
        <v>1.033354729725779</v>
      </c>
    </row>
    <row r="100" spans="1:33" ht="15" customHeight="1">
      <c r="A100" s="33" t="s">
        <v>99</v>
      </c>
      <c r="B100" s="52">
        <f>'Расчет субсидий'!AT100</f>
        <v>-46.472727272727241</v>
      </c>
      <c r="C100" s="54">
        <f>'Расчет субсидий'!D100-1</f>
        <v>-1</v>
      </c>
      <c r="D100" s="54">
        <f>C100*'Расчет субсидий'!E100</f>
        <v>0</v>
      </c>
      <c r="E100" s="55">
        <f t="shared" si="30"/>
        <v>0</v>
      </c>
      <c r="F100" s="27" t="s">
        <v>367</v>
      </c>
      <c r="G100" s="27" t="s">
        <v>367</v>
      </c>
      <c r="H100" s="27" t="s">
        <v>367</v>
      </c>
      <c r="I100" s="27" t="s">
        <v>367</v>
      </c>
      <c r="J100" s="27" t="s">
        <v>367</v>
      </c>
      <c r="K100" s="27" t="s">
        <v>367</v>
      </c>
      <c r="L100" s="54">
        <f>'Расчет субсидий'!P100-1</f>
        <v>-1</v>
      </c>
      <c r="M100" s="54">
        <f>L100*'Расчет субсидий'!Q100</f>
        <v>-20</v>
      </c>
      <c r="N100" s="55">
        <f t="shared" si="31"/>
        <v>-74.606700513880895</v>
      </c>
      <c r="O100" s="54">
        <f>'Расчет субсидий'!T100-1</f>
        <v>0.14634146341463405</v>
      </c>
      <c r="P100" s="54">
        <f>O100*'Расчет субсидий'!U100</f>
        <v>2.1951219512195106</v>
      </c>
      <c r="Q100" s="55">
        <f t="shared" si="32"/>
        <v>8.1885403003039965</v>
      </c>
      <c r="R100" s="54">
        <f>'Расчет субсидий'!X100-1</f>
        <v>0.14285714285714279</v>
      </c>
      <c r="S100" s="54">
        <f>R100*'Расчет субсидий'!Y100</f>
        <v>4.9999999999999982</v>
      </c>
      <c r="T100" s="55">
        <f t="shared" si="33"/>
        <v>18.651675128470217</v>
      </c>
      <c r="U100" s="60">
        <f>'Расчет субсидий'!AB100-1</f>
        <v>6.9364161849710948E-2</v>
      </c>
      <c r="V100" s="60">
        <f>U100*'Расчет субсидий'!AC100</f>
        <v>0.34682080924855474</v>
      </c>
      <c r="W100" s="55">
        <f t="shared" si="15"/>
        <v>1.2937578123794369</v>
      </c>
      <c r="X100" s="71">
        <f>'Расчет субсидий'!AF100-1</f>
        <v>0</v>
      </c>
      <c r="Y100" s="71">
        <f>X100*'Расчет субсидий'!AG100</f>
        <v>0</v>
      </c>
      <c r="Z100" s="55">
        <f t="shared" si="16"/>
        <v>0</v>
      </c>
      <c r="AA100" s="27" t="s">
        <v>367</v>
      </c>
      <c r="AB100" s="27" t="s">
        <v>367</v>
      </c>
      <c r="AC100" s="27" t="s">
        <v>367</v>
      </c>
      <c r="AD100" s="27" t="s">
        <v>367</v>
      </c>
      <c r="AE100" s="27" t="s">
        <v>367</v>
      </c>
      <c r="AF100" s="27" t="s">
        <v>367</v>
      </c>
      <c r="AG100" s="54">
        <f t="shared" si="17"/>
        <v>-12.458057239531934</v>
      </c>
    </row>
    <row r="101" spans="1:33" ht="15" customHeight="1">
      <c r="A101" s="33" t="s">
        <v>100</v>
      </c>
      <c r="B101" s="52">
        <f>'Расчет субсидий'!AT101</f>
        <v>1.1090909090909093</v>
      </c>
      <c r="C101" s="54">
        <f>'Расчет субсидий'!D101-1</f>
        <v>-1</v>
      </c>
      <c r="D101" s="54">
        <f>C101*'Расчет субсидий'!E101</f>
        <v>0</v>
      </c>
      <c r="E101" s="55">
        <f t="shared" si="30"/>
        <v>0</v>
      </c>
      <c r="F101" s="27" t="s">
        <v>367</v>
      </c>
      <c r="G101" s="27" t="s">
        <v>367</v>
      </c>
      <c r="H101" s="27" t="s">
        <v>367</v>
      </c>
      <c r="I101" s="27" t="s">
        <v>367</v>
      </c>
      <c r="J101" s="27" t="s">
        <v>367</v>
      </c>
      <c r="K101" s="27" t="s">
        <v>367</v>
      </c>
      <c r="L101" s="54">
        <f>'Расчет субсидий'!P101-1</f>
        <v>0.23486643437862953</v>
      </c>
      <c r="M101" s="54">
        <f>L101*'Расчет субсидий'!Q101</f>
        <v>4.6973286875725906</v>
      </c>
      <c r="N101" s="55">
        <f t="shared" si="31"/>
        <v>1.1045183490066788</v>
      </c>
      <c r="O101" s="54">
        <f>'Расчет субсидий'!T101-1</f>
        <v>3.8952085487762744E-2</v>
      </c>
      <c r="P101" s="54">
        <f>O101*'Расчет субсидий'!U101</f>
        <v>1.1685625646328823</v>
      </c>
      <c r="Q101" s="55">
        <f t="shared" si="32"/>
        <v>0.27477293594847585</v>
      </c>
      <c r="R101" s="54">
        <f>'Расчет субсидий'!X101-1</f>
        <v>9.009009009008917E-3</v>
      </c>
      <c r="S101" s="54">
        <f>R101*'Расчет субсидий'!Y101</f>
        <v>0.18018018018017834</v>
      </c>
      <c r="T101" s="55">
        <f t="shared" si="33"/>
        <v>4.2367125737411165E-2</v>
      </c>
      <c r="U101" s="60">
        <f>'Расчет субсидий'!AB101-1</f>
        <v>-0.26585928489042676</v>
      </c>
      <c r="V101" s="60">
        <f>U101*'Расчет субсидий'!AC101</f>
        <v>-1.3292964244521337</v>
      </c>
      <c r="W101" s="55">
        <f t="shared" si="15"/>
        <v>-0.31256750160165636</v>
      </c>
      <c r="X101" s="71">
        <f>'Расчет субсидий'!AF101-1</f>
        <v>0</v>
      </c>
      <c r="Y101" s="71">
        <f>X101*'Расчет субсидий'!AG101</f>
        <v>0</v>
      </c>
      <c r="Z101" s="55">
        <f t="shared" si="16"/>
        <v>0</v>
      </c>
      <c r="AA101" s="27" t="s">
        <v>367</v>
      </c>
      <c r="AB101" s="27" t="s">
        <v>367</v>
      </c>
      <c r="AC101" s="27" t="s">
        <v>367</v>
      </c>
      <c r="AD101" s="27" t="s">
        <v>367</v>
      </c>
      <c r="AE101" s="27" t="s">
        <v>367</v>
      </c>
      <c r="AF101" s="27" t="s">
        <v>367</v>
      </c>
      <c r="AG101" s="54">
        <f t="shared" si="17"/>
        <v>4.7167750079335171</v>
      </c>
    </row>
    <row r="102" spans="1:33" ht="15" customHeight="1">
      <c r="A102" s="33" t="s">
        <v>101</v>
      </c>
      <c r="B102" s="52">
        <f>'Расчет субсидий'!AT102</f>
        <v>10.363636363636374</v>
      </c>
      <c r="C102" s="54">
        <f>'Расчет субсидий'!D102-1</f>
        <v>-1</v>
      </c>
      <c r="D102" s="54">
        <f>C102*'Расчет субсидий'!E102</f>
        <v>0</v>
      </c>
      <c r="E102" s="55">
        <f t="shared" si="30"/>
        <v>0</v>
      </c>
      <c r="F102" s="27" t="s">
        <v>367</v>
      </c>
      <c r="G102" s="27" t="s">
        <v>367</v>
      </c>
      <c r="H102" s="27" t="s">
        <v>367</v>
      </c>
      <c r="I102" s="27" t="s">
        <v>367</v>
      </c>
      <c r="J102" s="27" t="s">
        <v>367</v>
      </c>
      <c r="K102" s="27" t="s">
        <v>367</v>
      </c>
      <c r="L102" s="54">
        <f>'Расчет субсидий'!P102-1</f>
        <v>-0.14700854700854704</v>
      </c>
      <c r="M102" s="54">
        <f>L102*'Расчет субсидий'!Q102</f>
        <v>-2.9401709401709408</v>
      </c>
      <c r="N102" s="55">
        <f t="shared" si="31"/>
        <v>-7.1261656007257752</v>
      </c>
      <c r="O102" s="54">
        <f>'Расчет субсидий'!T102-1</f>
        <v>0.16199999999999992</v>
      </c>
      <c r="P102" s="54">
        <f>O102*'Расчет субсидий'!U102</f>
        <v>3.2399999999999984</v>
      </c>
      <c r="Q102" s="55">
        <f t="shared" si="32"/>
        <v>7.8528687672183866</v>
      </c>
      <c r="R102" s="54">
        <f>'Расчет субсидий'!X102-1</f>
        <v>0.16666666666666674</v>
      </c>
      <c r="S102" s="54">
        <f>R102*'Расчет субсидий'!Y102</f>
        <v>5.0000000000000018</v>
      </c>
      <c r="T102" s="55">
        <f t="shared" si="33"/>
        <v>12.118624640769127</v>
      </c>
      <c r="U102" s="60">
        <f>'Расчет субсидий'!AB102-1</f>
        <v>-0.20478325859491775</v>
      </c>
      <c r="V102" s="60">
        <f>U102*'Расчет субсидий'!AC102</f>
        <v>-1.0239162929745889</v>
      </c>
      <c r="W102" s="55">
        <f t="shared" si="15"/>
        <v>-2.4816914436253654</v>
      </c>
      <c r="X102" s="71">
        <f>'Расчет субсидий'!AF102-1</f>
        <v>0</v>
      </c>
      <c r="Y102" s="71">
        <f>X102*'Расчет субсидий'!AG102</f>
        <v>0</v>
      </c>
      <c r="Z102" s="55">
        <f t="shared" si="16"/>
        <v>0</v>
      </c>
      <c r="AA102" s="27" t="s">
        <v>367</v>
      </c>
      <c r="AB102" s="27" t="s">
        <v>367</v>
      </c>
      <c r="AC102" s="27" t="s">
        <v>367</v>
      </c>
      <c r="AD102" s="27" t="s">
        <v>367</v>
      </c>
      <c r="AE102" s="27" t="s">
        <v>367</v>
      </c>
      <c r="AF102" s="27" t="s">
        <v>367</v>
      </c>
      <c r="AG102" s="54">
        <f t="shared" si="17"/>
        <v>4.2759127668544714</v>
      </c>
    </row>
    <row r="103" spans="1:33" ht="15" customHeight="1">
      <c r="A103" s="33" t="s">
        <v>102</v>
      </c>
      <c r="B103" s="52">
        <f>'Расчет субсидий'!AT103</f>
        <v>5.7818181818181813</v>
      </c>
      <c r="C103" s="54">
        <f>'Расчет субсидий'!D103-1</f>
        <v>-1</v>
      </c>
      <c r="D103" s="54">
        <f>C103*'Расчет субсидий'!E103</f>
        <v>0</v>
      </c>
      <c r="E103" s="55">
        <f t="shared" si="30"/>
        <v>0</v>
      </c>
      <c r="F103" s="27" t="s">
        <v>367</v>
      </c>
      <c r="G103" s="27" t="s">
        <v>367</v>
      </c>
      <c r="H103" s="27" t="s">
        <v>367</v>
      </c>
      <c r="I103" s="27" t="s">
        <v>367</v>
      </c>
      <c r="J103" s="27" t="s">
        <v>367</v>
      </c>
      <c r="K103" s="27" t="s">
        <v>367</v>
      </c>
      <c r="L103" s="54">
        <f>'Расчет субсидий'!P103-1</f>
        <v>-6.794317479925871E-3</v>
      </c>
      <c r="M103" s="54">
        <f>L103*'Расчет субсидий'!Q103</f>
        <v>-0.13588634959851742</v>
      </c>
      <c r="N103" s="55">
        <f t="shared" si="31"/>
        <v>-0.2096635942789096</v>
      </c>
      <c r="O103" s="54">
        <f>'Расчет субсидий'!T103-1</f>
        <v>0.16260162601626016</v>
      </c>
      <c r="P103" s="54">
        <f>O103*'Расчет субсидий'!U103</f>
        <v>2.4390243902439024</v>
      </c>
      <c r="Q103" s="55">
        <f t="shared" si="32"/>
        <v>3.7632523185981714</v>
      </c>
      <c r="R103" s="54">
        <f>'Расчет субсидий'!X103-1</f>
        <v>0.14705882352941169</v>
      </c>
      <c r="S103" s="54">
        <f>R103*'Расчет субсидий'!Y103</f>
        <v>5.1470588235294095</v>
      </c>
      <c r="T103" s="55">
        <f t="shared" si="33"/>
        <v>7.9415692311593737</v>
      </c>
      <c r="U103" s="60">
        <f>'Расчет субсидий'!AB103-1</f>
        <v>-0.74058149058149059</v>
      </c>
      <c r="V103" s="60">
        <f>U103*'Расчет субсидий'!AC103</f>
        <v>-3.702907452907453</v>
      </c>
      <c r="W103" s="55">
        <f t="shared" si="15"/>
        <v>-5.7133397736604534</v>
      </c>
      <c r="X103" s="71">
        <f>'Расчет субсидий'!AF103-1</f>
        <v>0</v>
      </c>
      <c r="Y103" s="71">
        <f>X103*'Расчет субсидий'!AG103</f>
        <v>0</v>
      </c>
      <c r="Z103" s="55">
        <f t="shared" si="16"/>
        <v>0</v>
      </c>
      <c r="AA103" s="27" t="s">
        <v>367</v>
      </c>
      <c r="AB103" s="27" t="s">
        <v>367</v>
      </c>
      <c r="AC103" s="27" t="s">
        <v>367</v>
      </c>
      <c r="AD103" s="27" t="s">
        <v>367</v>
      </c>
      <c r="AE103" s="27" t="s">
        <v>367</v>
      </c>
      <c r="AF103" s="27" t="s">
        <v>367</v>
      </c>
      <c r="AG103" s="54">
        <f t="shared" si="17"/>
        <v>3.7472894112673409</v>
      </c>
    </row>
    <row r="104" spans="1:33" ht="15" customHeight="1">
      <c r="A104" s="32" t="s">
        <v>103</v>
      </c>
      <c r="B104" s="56"/>
      <c r="C104" s="57"/>
      <c r="D104" s="57"/>
      <c r="E104" s="58"/>
      <c r="F104" s="57"/>
      <c r="G104" s="57"/>
      <c r="H104" s="58"/>
      <c r="I104" s="58"/>
      <c r="J104" s="58"/>
      <c r="K104" s="58"/>
      <c r="L104" s="57"/>
      <c r="M104" s="57"/>
      <c r="N104" s="58"/>
      <c r="O104" s="57"/>
      <c r="P104" s="57"/>
      <c r="Q104" s="58"/>
      <c r="R104" s="57"/>
      <c r="S104" s="57"/>
      <c r="T104" s="58"/>
      <c r="U104" s="58"/>
      <c r="V104" s="58"/>
      <c r="W104" s="58"/>
      <c r="X104" s="73"/>
      <c r="Y104" s="73"/>
      <c r="Z104" s="58"/>
      <c r="AA104" s="58"/>
      <c r="AB104" s="58"/>
      <c r="AC104" s="58"/>
      <c r="AD104" s="58"/>
      <c r="AE104" s="58"/>
      <c r="AF104" s="58"/>
      <c r="AG104" s="58"/>
    </row>
    <row r="105" spans="1:33" ht="15" customHeight="1">
      <c r="A105" s="33" t="s">
        <v>104</v>
      </c>
      <c r="B105" s="52">
        <f>'Расчет субсидий'!AT105</f>
        <v>62.390909090909133</v>
      </c>
      <c r="C105" s="54">
        <f>'Расчет субсидий'!D105-1</f>
        <v>0.27514227668438673</v>
      </c>
      <c r="D105" s="54">
        <f>C105*'Расчет субсидий'!E105</f>
        <v>2.7514227668438673</v>
      </c>
      <c r="E105" s="55">
        <f t="shared" ref="E105:E119" si="34">$B105*D105/$AG105</f>
        <v>10.329667864299838</v>
      </c>
      <c r="F105" s="27" t="s">
        <v>367</v>
      </c>
      <c r="G105" s="27" t="s">
        <v>367</v>
      </c>
      <c r="H105" s="27" t="s">
        <v>367</v>
      </c>
      <c r="I105" s="27" t="s">
        <v>367</v>
      </c>
      <c r="J105" s="27" t="s">
        <v>367</v>
      </c>
      <c r="K105" s="27" t="s">
        <v>367</v>
      </c>
      <c r="L105" s="54">
        <f>'Расчет субсидий'!P105-1</f>
        <v>0.17821955250444943</v>
      </c>
      <c r="M105" s="54">
        <f>L105*'Расчет субсидий'!Q105</f>
        <v>3.5643910500889886</v>
      </c>
      <c r="N105" s="55">
        <f t="shared" ref="N105:N119" si="35">$B105*M105/$AG105</f>
        <v>13.381795095101614</v>
      </c>
      <c r="O105" s="54">
        <f>'Расчет субсидий'!T105-1</f>
        <v>0.26818181818181808</v>
      </c>
      <c r="P105" s="54">
        <f>O105*'Расчет субсидий'!U105</f>
        <v>8.0454545454545432</v>
      </c>
      <c r="Q105" s="55">
        <f t="shared" ref="Q105:Q119" si="36">$B105*P105/$AG105</f>
        <v>30.205054008184284</v>
      </c>
      <c r="R105" s="54">
        <f>'Расчет субсидий'!X105-1</f>
        <v>0.27697674418604645</v>
      </c>
      <c r="S105" s="54">
        <f>R105*'Расчет субсидий'!Y105</f>
        <v>5.5395348837209291</v>
      </c>
      <c r="T105" s="55">
        <f t="shared" ref="T105:T119" si="37">$B105*S105/$AG105</f>
        <v>20.797078573707651</v>
      </c>
      <c r="U105" s="60">
        <f>'Расчет субсидий'!AB105-1</f>
        <v>-0.35322855965624811</v>
      </c>
      <c r="V105" s="60">
        <f>U105*'Расчет субсидий'!AC105</f>
        <v>-3.5322855965624811</v>
      </c>
      <c r="W105" s="55">
        <f t="shared" si="15"/>
        <v>-13.261261574932355</v>
      </c>
      <c r="X105" s="71">
        <f>'Расчет субсидий'!AF105-1</f>
        <v>1.2499999999999956E-2</v>
      </c>
      <c r="Y105" s="71">
        <f>X105*'Расчет субсидий'!AG105</f>
        <v>0.24999999999999911</v>
      </c>
      <c r="Z105" s="55">
        <f t="shared" si="16"/>
        <v>0.93857512454809622</v>
      </c>
      <c r="AA105" s="27" t="s">
        <v>367</v>
      </c>
      <c r="AB105" s="27" t="s">
        <v>367</v>
      </c>
      <c r="AC105" s="27" t="s">
        <v>367</v>
      </c>
      <c r="AD105" s="27" t="s">
        <v>367</v>
      </c>
      <c r="AE105" s="27" t="s">
        <v>367</v>
      </c>
      <c r="AF105" s="27" t="s">
        <v>367</v>
      </c>
      <c r="AG105" s="54">
        <f t="shared" si="17"/>
        <v>16.618517649545847</v>
      </c>
    </row>
    <row r="106" spans="1:33" ht="15" customHeight="1">
      <c r="A106" s="33" t="s">
        <v>105</v>
      </c>
      <c r="B106" s="52">
        <f>'Расчет субсидий'!AT106</f>
        <v>12.972727272727241</v>
      </c>
      <c r="C106" s="54">
        <f>'Расчет субсидий'!D106-1</f>
        <v>-1</v>
      </c>
      <c r="D106" s="54">
        <f>C106*'Расчет субсидий'!E106</f>
        <v>0</v>
      </c>
      <c r="E106" s="55">
        <f t="shared" si="34"/>
        <v>0</v>
      </c>
      <c r="F106" s="27" t="s">
        <v>367</v>
      </c>
      <c r="G106" s="27" t="s">
        <v>367</v>
      </c>
      <c r="H106" s="27" t="s">
        <v>367</v>
      </c>
      <c r="I106" s="27" t="s">
        <v>367</v>
      </c>
      <c r="J106" s="27" t="s">
        <v>367</v>
      </c>
      <c r="K106" s="27" t="s">
        <v>367</v>
      </c>
      <c r="L106" s="54">
        <f>'Расчет субсидий'!P106-1</f>
        <v>0.30000000000000004</v>
      </c>
      <c r="M106" s="54">
        <f>L106*'Расчет субсидий'!Q106</f>
        <v>6.0000000000000009</v>
      </c>
      <c r="N106" s="55">
        <f t="shared" si="35"/>
        <v>21.164795150786905</v>
      </c>
      <c r="O106" s="54">
        <f>'Расчет субсидий'!T106-1</f>
        <v>0.12000000000000011</v>
      </c>
      <c r="P106" s="54">
        <f>O106*'Расчет субсидий'!U106</f>
        <v>3.0000000000000027</v>
      </c>
      <c r="Q106" s="55">
        <f t="shared" si="36"/>
        <v>10.582397575393461</v>
      </c>
      <c r="R106" s="54">
        <f>'Расчет субсидий'!X106-1</f>
        <v>3.3271719038816983E-2</v>
      </c>
      <c r="S106" s="54">
        <f>R106*'Расчет субсидий'!Y106</f>
        <v>0.83179297597042456</v>
      </c>
      <c r="T106" s="55">
        <f t="shared" si="37"/>
        <v>2.9341213240462412</v>
      </c>
      <c r="U106" s="60">
        <f>'Расчет субсидий'!AB106-1</f>
        <v>-0.79233070769982294</v>
      </c>
      <c r="V106" s="60">
        <f>U106*'Расчет субсидий'!AC106</f>
        <v>-7.9233070769982294</v>
      </c>
      <c r="W106" s="55">
        <f t="shared" si="15"/>
        <v>-27.949195200241277</v>
      </c>
      <c r="X106" s="71">
        <f>'Расчет субсидий'!AF106-1</f>
        <v>8.84573894282632E-2</v>
      </c>
      <c r="Y106" s="71">
        <f>X106*'Расчет субсидий'!AG106</f>
        <v>1.769147788565264</v>
      </c>
      <c r="Z106" s="55">
        <f t="shared" si="16"/>
        <v>6.2406084227419125</v>
      </c>
      <c r="AA106" s="27" t="s">
        <v>367</v>
      </c>
      <c r="AB106" s="27" t="s">
        <v>367</v>
      </c>
      <c r="AC106" s="27" t="s">
        <v>367</v>
      </c>
      <c r="AD106" s="27" t="s">
        <v>367</v>
      </c>
      <c r="AE106" s="27" t="s">
        <v>367</v>
      </c>
      <c r="AF106" s="27" t="s">
        <v>367</v>
      </c>
      <c r="AG106" s="54">
        <f t="shared" si="17"/>
        <v>3.6776336875374627</v>
      </c>
    </row>
    <row r="107" spans="1:33" ht="15" customHeight="1">
      <c r="A107" s="33" t="s">
        <v>106</v>
      </c>
      <c r="B107" s="52">
        <f>'Расчет субсидий'!AT107</f>
        <v>52.236363636363649</v>
      </c>
      <c r="C107" s="54">
        <f>'Расчет субсидий'!D107-1</f>
        <v>0.2868538238141336</v>
      </c>
      <c r="D107" s="54">
        <f>C107*'Расчет субсидий'!E107</f>
        <v>2.868538238141336</v>
      </c>
      <c r="E107" s="55">
        <f t="shared" si="34"/>
        <v>15.912321501510275</v>
      </c>
      <c r="F107" s="27" t="s">
        <v>367</v>
      </c>
      <c r="G107" s="27" t="s">
        <v>367</v>
      </c>
      <c r="H107" s="27" t="s">
        <v>367</v>
      </c>
      <c r="I107" s="27" t="s">
        <v>367</v>
      </c>
      <c r="J107" s="27" t="s">
        <v>367</v>
      </c>
      <c r="K107" s="27" t="s">
        <v>367</v>
      </c>
      <c r="L107" s="54">
        <f>'Расчет субсидий'!P107-1</f>
        <v>0.10274601643936254</v>
      </c>
      <c r="M107" s="54">
        <f>L107*'Расчет субсидий'!Q107</f>
        <v>2.0549203287872508</v>
      </c>
      <c r="N107" s="55">
        <f t="shared" si="35"/>
        <v>11.399029825322778</v>
      </c>
      <c r="O107" s="54">
        <f>'Расчет субсидий'!T107-1</f>
        <v>2.3809523809523725E-2</v>
      </c>
      <c r="P107" s="54">
        <f>O107*'Расчет субсидий'!U107</f>
        <v>0.59523809523809312</v>
      </c>
      <c r="Q107" s="55">
        <f t="shared" si="36"/>
        <v>3.3018977454915333</v>
      </c>
      <c r="R107" s="54">
        <f>'Расчет субсидий'!X107-1</f>
        <v>0.20199999999999996</v>
      </c>
      <c r="S107" s="54">
        <f>R107*'Расчет субсидий'!Y107</f>
        <v>5.0499999999999989</v>
      </c>
      <c r="T107" s="55">
        <f t="shared" si="37"/>
        <v>28.013300472750259</v>
      </c>
      <c r="U107" s="60">
        <f>'Расчет субсидий'!AB107-1</f>
        <v>2.8367509600753626E-2</v>
      </c>
      <c r="V107" s="60">
        <f>U107*'Расчет субсидий'!AC107</f>
        <v>0.28367509600753626</v>
      </c>
      <c r="W107" s="55">
        <f t="shared" si="15"/>
        <v>1.5735991487317609</v>
      </c>
      <c r="X107" s="71">
        <f>'Расчет субсидий'!AF107-1</f>
        <v>-7.1782178217821735E-2</v>
      </c>
      <c r="Y107" s="71">
        <f>X107*'Расчет субсидий'!AG107</f>
        <v>-1.4356435643564347</v>
      </c>
      <c r="Z107" s="55">
        <f t="shared" si="16"/>
        <v>-7.9637850574429683</v>
      </c>
      <c r="AA107" s="27" t="s">
        <v>367</v>
      </c>
      <c r="AB107" s="27" t="s">
        <v>367</v>
      </c>
      <c r="AC107" s="27" t="s">
        <v>367</v>
      </c>
      <c r="AD107" s="27" t="s">
        <v>367</v>
      </c>
      <c r="AE107" s="27" t="s">
        <v>367</v>
      </c>
      <c r="AF107" s="27" t="s">
        <v>367</v>
      </c>
      <c r="AG107" s="54">
        <f t="shared" si="17"/>
        <v>9.4167281938177823</v>
      </c>
    </row>
    <row r="108" spans="1:33" ht="15" customHeight="1">
      <c r="A108" s="33" t="s">
        <v>107</v>
      </c>
      <c r="B108" s="52">
        <f>'Расчет субсидий'!AT108</f>
        <v>-20.018181818181858</v>
      </c>
      <c r="C108" s="54">
        <f>'Расчет субсидий'!D108-1</f>
        <v>-0.70800821742244335</v>
      </c>
      <c r="D108" s="54">
        <f>C108*'Расчет субсидий'!E108</f>
        <v>-7.0800821742244331</v>
      </c>
      <c r="E108" s="55">
        <f t="shared" si="34"/>
        <v>-25.58091728218151</v>
      </c>
      <c r="F108" s="27" t="s">
        <v>367</v>
      </c>
      <c r="G108" s="27" t="s">
        <v>367</v>
      </c>
      <c r="H108" s="27" t="s">
        <v>367</v>
      </c>
      <c r="I108" s="27" t="s">
        <v>367</v>
      </c>
      <c r="J108" s="27" t="s">
        <v>367</v>
      </c>
      <c r="K108" s="27" t="s">
        <v>367</v>
      </c>
      <c r="L108" s="54">
        <f>'Расчет субсидий'!P108-1</f>
        <v>-9.5549085527690814E-3</v>
      </c>
      <c r="M108" s="54">
        <f>L108*'Расчет субсидий'!Q108</f>
        <v>-0.19109817105538163</v>
      </c>
      <c r="N108" s="55">
        <f t="shared" si="35"/>
        <v>-0.69045335721394818</v>
      </c>
      <c r="O108" s="54">
        <f>'Расчет субсидий'!T108-1</f>
        <v>0</v>
      </c>
      <c r="P108" s="54">
        <f>O108*'Расчет субсидий'!U108</f>
        <v>0</v>
      </c>
      <c r="Q108" s="55">
        <f t="shared" si="36"/>
        <v>0</v>
      </c>
      <c r="R108" s="54">
        <f>'Расчет субсидий'!X108-1</f>
        <v>0.25166666666666671</v>
      </c>
      <c r="S108" s="54">
        <f>R108*'Расчет субсидий'!Y108</f>
        <v>7.5500000000000007</v>
      </c>
      <c r="T108" s="55">
        <f t="shared" si="37"/>
        <v>27.278768908021455</v>
      </c>
      <c r="U108" s="60">
        <f>'Расчет субсидий'!AB108-1</f>
        <v>-0.1973138446348407</v>
      </c>
      <c r="V108" s="60">
        <f>U108*'Расчет субсидий'!AC108</f>
        <v>-1.973138446348407</v>
      </c>
      <c r="W108" s="55">
        <f t="shared" si="15"/>
        <v>-7.1291109538371762</v>
      </c>
      <c r="X108" s="71">
        <f>'Расчет субсидий'!AF108-1</f>
        <v>-0.19230769230769229</v>
      </c>
      <c r="Y108" s="71">
        <f>X108*'Расчет субсидий'!AG108</f>
        <v>-3.8461538461538458</v>
      </c>
      <c r="Z108" s="55">
        <f t="shared" si="16"/>
        <v>-13.896469132970681</v>
      </c>
      <c r="AA108" s="27" t="s">
        <v>367</v>
      </c>
      <c r="AB108" s="27" t="s">
        <v>367</v>
      </c>
      <c r="AC108" s="27" t="s">
        <v>367</v>
      </c>
      <c r="AD108" s="27" t="s">
        <v>367</v>
      </c>
      <c r="AE108" s="27" t="s">
        <v>367</v>
      </c>
      <c r="AF108" s="27" t="s">
        <v>367</v>
      </c>
      <c r="AG108" s="54">
        <f t="shared" si="17"/>
        <v>-5.5404726377820666</v>
      </c>
    </row>
    <row r="109" spans="1:33" ht="15" customHeight="1">
      <c r="A109" s="33" t="s">
        <v>108</v>
      </c>
      <c r="B109" s="52">
        <f>'Расчет субсидий'!AT109</f>
        <v>37.354545454545416</v>
      </c>
      <c r="C109" s="54">
        <f>'Расчет субсидий'!D109-1</f>
        <v>-0.71328323655546699</v>
      </c>
      <c r="D109" s="54">
        <f>C109*'Расчет субсидий'!E109</f>
        <v>-7.1328323655546697</v>
      </c>
      <c r="E109" s="55">
        <f t="shared" si="34"/>
        <v>-29.380554064824747</v>
      </c>
      <c r="F109" s="27" t="s">
        <v>367</v>
      </c>
      <c r="G109" s="27" t="s">
        <v>367</v>
      </c>
      <c r="H109" s="27" t="s">
        <v>367</v>
      </c>
      <c r="I109" s="27" t="s">
        <v>367</v>
      </c>
      <c r="J109" s="27" t="s">
        <v>367</v>
      </c>
      <c r="K109" s="27" t="s">
        <v>367</v>
      </c>
      <c r="L109" s="54">
        <f>'Расчет субсидий'!P109-1</f>
        <v>4.0129338219443866E-2</v>
      </c>
      <c r="M109" s="54">
        <f>L109*'Расчет субсидий'!Q109</f>
        <v>0.80258676438887733</v>
      </c>
      <c r="N109" s="55">
        <f t="shared" si="35"/>
        <v>3.3059018653954433</v>
      </c>
      <c r="O109" s="54">
        <f>'Расчет субсидий'!T109-1</f>
        <v>0.22280092592592582</v>
      </c>
      <c r="P109" s="54">
        <f>O109*'Расчет субсидий'!U109</f>
        <v>5.5700231481481453</v>
      </c>
      <c r="Q109" s="55">
        <f t="shared" si="36"/>
        <v>22.943251412549635</v>
      </c>
      <c r="R109" s="54">
        <f>'Расчет субсидий'!X109-1</f>
        <v>0.30000000000000004</v>
      </c>
      <c r="S109" s="54">
        <f>R109*'Расчет субсидий'!Y109</f>
        <v>7.5000000000000009</v>
      </c>
      <c r="T109" s="55">
        <f t="shared" si="37"/>
        <v>30.892939044846074</v>
      </c>
      <c r="U109" s="60">
        <f>'Расчет субсидий'!AB109-1</f>
        <v>0.2328931988953824</v>
      </c>
      <c r="V109" s="60">
        <f>U109*'Расчет субсидий'!AC109</f>
        <v>2.328931988953824</v>
      </c>
      <c r="W109" s="55">
        <f t="shared" si="15"/>
        <v>9.5930071965790145</v>
      </c>
      <c r="X109" s="71">
        <f>'Расчет субсидий'!AF109-1</f>
        <v>0</v>
      </c>
      <c r="Y109" s="71">
        <f>X109*'Расчет субсидий'!AG109</f>
        <v>0</v>
      </c>
      <c r="Z109" s="55">
        <f t="shared" si="16"/>
        <v>0</v>
      </c>
      <c r="AA109" s="27" t="s">
        <v>367</v>
      </c>
      <c r="AB109" s="27" t="s">
        <v>367</v>
      </c>
      <c r="AC109" s="27" t="s">
        <v>367</v>
      </c>
      <c r="AD109" s="27" t="s">
        <v>367</v>
      </c>
      <c r="AE109" s="27" t="s">
        <v>367</v>
      </c>
      <c r="AF109" s="27" t="s">
        <v>367</v>
      </c>
      <c r="AG109" s="54">
        <f t="shared" si="17"/>
        <v>9.0687095359361773</v>
      </c>
    </row>
    <row r="110" spans="1:33" ht="15" customHeight="1">
      <c r="A110" s="33" t="s">
        <v>109</v>
      </c>
      <c r="B110" s="52">
        <f>'Расчет субсидий'!AT110</f>
        <v>-27.618181818181881</v>
      </c>
      <c r="C110" s="54">
        <f>'Расчет субсидий'!D110-1</f>
        <v>-0.28261413516883294</v>
      </c>
      <c r="D110" s="54">
        <f>C110*'Расчет субсидий'!E110</f>
        <v>-2.8261413516883294</v>
      </c>
      <c r="E110" s="55">
        <f t="shared" si="34"/>
        <v>-13.424579063680993</v>
      </c>
      <c r="F110" s="27" t="s">
        <v>367</v>
      </c>
      <c r="G110" s="27" t="s">
        <v>367</v>
      </c>
      <c r="H110" s="27" t="s">
        <v>367</v>
      </c>
      <c r="I110" s="27" t="s">
        <v>367</v>
      </c>
      <c r="J110" s="27" t="s">
        <v>367</v>
      </c>
      <c r="K110" s="27" t="s">
        <v>367</v>
      </c>
      <c r="L110" s="54">
        <f>'Расчет субсидий'!P110-1</f>
        <v>-1</v>
      </c>
      <c r="M110" s="54">
        <f>L110*'Расчет субсидий'!Q110</f>
        <v>-20</v>
      </c>
      <c r="N110" s="55">
        <f t="shared" si="35"/>
        <v>-95.002884803770939</v>
      </c>
      <c r="O110" s="54">
        <f>'Расчет субсидий'!T110-1</f>
        <v>0.30000000000000004</v>
      </c>
      <c r="P110" s="54">
        <f>O110*'Расчет субсидий'!U110</f>
        <v>9.0000000000000018</v>
      </c>
      <c r="Q110" s="55">
        <f t="shared" si="36"/>
        <v>42.75129816169693</v>
      </c>
      <c r="R110" s="54">
        <f>'Расчет субсидий'!X110-1</f>
        <v>0.30000000000000004</v>
      </c>
      <c r="S110" s="54">
        <f>R110*'Расчет субсидий'!Y110</f>
        <v>6.0000000000000009</v>
      </c>
      <c r="T110" s="55">
        <f t="shared" si="37"/>
        <v>28.500865441131285</v>
      </c>
      <c r="U110" s="60">
        <f>'Расчет субсидий'!AB110-1</f>
        <v>0.2011963840083828</v>
      </c>
      <c r="V110" s="60">
        <f>U110*'Расчет субсидий'!AC110</f>
        <v>2.011963840083828</v>
      </c>
      <c r="W110" s="55">
        <f t="shared" si="15"/>
        <v>9.5571184464418266</v>
      </c>
      <c r="X110" s="71">
        <f>'Расчет субсидий'!AF110-1</f>
        <v>0</v>
      </c>
      <c r="Y110" s="71">
        <f>X110*'Расчет субсидий'!AG110</f>
        <v>0</v>
      </c>
      <c r="Z110" s="55">
        <f t="shared" si="16"/>
        <v>0</v>
      </c>
      <c r="AA110" s="27" t="s">
        <v>367</v>
      </c>
      <c r="AB110" s="27" t="s">
        <v>367</v>
      </c>
      <c r="AC110" s="27" t="s">
        <v>367</v>
      </c>
      <c r="AD110" s="27" t="s">
        <v>367</v>
      </c>
      <c r="AE110" s="27" t="s">
        <v>367</v>
      </c>
      <c r="AF110" s="27" t="s">
        <v>367</v>
      </c>
      <c r="AG110" s="54">
        <f t="shared" si="17"/>
        <v>-5.8141775116044974</v>
      </c>
    </row>
    <row r="111" spans="1:33" ht="15" customHeight="1">
      <c r="A111" s="33" t="s">
        <v>110</v>
      </c>
      <c r="B111" s="52">
        <f>'Расчет субсидий'!AT111</f>
        <v>-136.69090909090914</v>
      </c>
      <c r="C111" s="54">
        <f>'Расчет субсидий'!D111-1</f>
        <v>-1</v>
      </c>
      <c r="D111" s="54">
        <f>C111*'Расчет субсидий'!E111</f>
        <v>0</v>
      </c>
      <c r="E111" s="55">
        <f t="shared" si="34"/>
        <v>0</v>
      </c>
      <c r="F111" s="27" t="s">
        <v>367</v>
      </c>
      <c r="G111" s="27" t="s">
        <v>367</v>
      </c>
      <c r="H111" s="27" t="s">
        <v>367</v>
      </c>
      <c r="I111" s="27" t="s">
        <v>367</v>
      </c>
      <c r="J111" s="27" t="s">
        <v>367</v>
      </c>
      <c r="K111" s="27" t="s">
        <v>367</v>
      </c>
      <c r="L111" s="54">
        <f>'Расчет субсидий'!P111-1</f>
        <v>-0.48680209220289505</v>
      </c>
      <c r="M111" s="54">
        <f>L111*'Расчет субсидий'!Q111</f>
        <v>-9.7360418440579011</v>
      </c>
      <c r="N111" s="55">
        <f t="shared" si="35"/>
        <v>-71.667323657195354</v>
      </c>
      <c r="O111" s="54">
        <f>'Расчет субсидий'!T111-1</f>
        <v>5.2577319587628901E-2</v>
      </c>
      <c r="P111" s="54">
        <f>O111*'Расчет субсидий'!U111</f>
        <v>1.051546391752578</v>
      </c>
      <c r="Q111" s="55">
        <f t="shared" si="36"/>
        <v>7.7404675129126073</v>
      </c>
      <c r="R111" s="54">
        <f>'Расчет субсидий'!X111-1</f>
        <v>3.2000000000000028E-2</v>
      </c>
      <c r="S111" s="54">
        <f>R111*'Расчет субсидий'!Y111</f>
        <v>0.96000000000000085</v>
      </c>
      <c r="T111" s="55">
        <f t="shared" si="37"/>
        <v>7.0665915176708056</v>
      </c>
      <c r="U111" s="60">
        <f>'Расчет субсидий'!AB111-1</f>
        <v>-0.15754678504016917</v>
      </c>
      <c r="V111" s="60">
        <f>U111*'Расчет субсидий'!AC111</f>
        <v>-1.5754678504016917</v>
      </c>
      <c r="W111" s="55">
        <f t="shared" ref="W111:W174" si="38">$B111*V111/$AG111</f>
        <v>-11.597070570845462</v>
      </c>
      <c r="X111" s="71">
        <f>'Расчет субсидий'!AF111-1</f>
        <v>-0.46347826086956523</v>
      </c>
      <c r="Y111" s="71">
        <f>X111*'Расчет субсидий'!AG111</f>
        <v>-9.269565217391305</v>
      </c>
      <c r="Z111" s="55">
        <f t="shared" si="16"/>
        <v>-68.233573893451748</v>
      </c>
      <c r="AA111" s="27" t="s">
        <v>367</v>
      </c>
      <c r="AB111" s="27" t="s">
        <v>367</v>
      </c>
      <c r="AC111" s="27" t="s">
        <v>367</v>
      </c>
      <c r="AD111" s="27" t="s">
        <v>367</v>
      </c>
      <c r="AE111" s="27" t="s">
        <v>367</v>
      </c>
      <c r="AF111" s="27" t="s">
        <v>367</v>
      </c>
      <c r="AG111" s="54">
        <f t="shared" si="17"/>
        <v>-18.56952852009832</v>
      </c>
    </row>
    <row r="112" spans="1:33" ht="15" customHeight="1">
      <c r="A112" s="33" t="s">
        <v>111</v>
      </c>
      <c r="B112" s="52">
        <f>'Расчет субсидий'!AT112</f>
        <v>48.954545454545439</v>
      </c>
      <c r="C112" s="54">
        <f>'Расчет субсидий'!D112-1</f>
        <v>-0.30178002894356004</v>
      </c>
      <c r="D112" s="54">
        <f>C112*'Расчет субсидий'!E112</f>
        <v>-3.0178002894356002</v>
      </c>
      <c r="E112" s="55">
        <f t="shared" si="34"/>
        <v>-13.769287242251725</v>
      </c>
      <c r="F112" s="27" t="s">
        <v>367</v>
      </c>
      <c r="G112" s="27" t="s">
        <v>367</v>
      </c>
      <c r="H112" s="27" t="s">
        <v>367</v>
      </c>
      <c r="I112" s="27" t="s">
        <v>367</v>
      </c>
      <c r="J112" s="27" t="s">
        <v>367</v>
      </c>
      <c r="K112" s="27" t="s">
        <v>367</v>
      </c>
      <c r="L112" s="54">
        <f>'Расчет субсидий'!P112-1</f>
        <v>0.30000000000000004</v>
      </c>
      <c r="M112" s="54">
        <f>L112*'Расчет субсидий'!Q112</f>
        <v>6.0000000000000009</v>
      </c>
      <c r="N112" s="55">
        <f t="shared" si="35"/>
        <v>27.376140078825905</v>
      </c>
      <c r="O112" s="54">
        <f>'Расчет субсидий'!T112-1</f>
        <v>0.22500000000000009</v>
      </c>
      <c r="P112" s="54">
        <f>O112*'Расчет субсидий'!U112</f>
        <v>5.6250000000000018</v>
      </c>
      <c r="Q112" s="55">
        <f t="shared" si="36"/>
        <v>25.665131323899292</v>
      </c>
      <c r="R112" s="54">
        <f>'Расчет субсидий'!X112-1</f>
        <v>0.14085106382978729</v>
      </c>
      <c r="S112" s="54">
        <f>R112*'Расчет субсидий'!Y112</f>
        <v>3.5212765957446823</v>
      </c>
      <c r="T112" s="55">
        <f t="shared" si="37"/>
        <v>16.066493556899605</v>
      </c>
      <c r="U112" s="60">
        <f>'Расчет субсидий'!AB112-1</f>
        <v>-6.8121104185218218E-2</v>
      </c>
      <c r="V112" s="60">
        <f>U112*'Расчет субсидий'!AC112</f>
        <v>-0.68121104185218218</v>
      </c>
      <c r="W112" s="55">
        <f t="shared" si="38"/>
        <v>-3.1081548174980451</v>
      </c>
      <c r="X112" s="71">
        <f>'Расчет субсидий'!AF112-1</f>
        <v>-3.5897435897435881E-2</v>
      </c>
      <c r="Y112" s="71">
        <f>X112*'Расчет субсидий'!AG112</f>
        <v>-0.71794871794871762</v>
      </c>
      <c r="Z112" s="55">
        <f t="shared" ref="Z112:Z175" si="39">$B112*Y112/$AG112</f>
        <v>-3.2757774453295934</v>
      </c>
      <c r="AA112" s="27" t="s">
        <v>367</v>
      </c>
      <c r="AB112" s="27" t="s">
        <v>367</v>
      </c>
      <c r="AC112" s="27" t="s">
        <v>367</v>
      </c>
      <c r="AD112" s="27" t="s">
        <v>367</v>
      </c>
      <c r="AE112" s="27" t="s">
        <v>367</v>
      </c>
      <c r="AF112" s="27" t="s">
        <v>367</v>
      </c>
      <c r="AG112" s="54">
        <f t="shared" ref="AG112:AG175" si="40">D112+M112+P112+S112+V112+Y112</f>
        <v>10.729316546508185</v>
      </c>
    </row>
    <row r="113" spans="1:33" ht="15" customHeight="1">
      <c r="A113" s="33" t="s">
        <v>112</v>
      </c>
      <c r="B113" s="52">
        <f>'Расчет субсидий'!AT113</f>
        <v>-7.2181818181818471</v>
      </c>
      <c r="C113" s="54">
        <f>'Расчет субсидий'!D113-1</f>
        <v>-7.6750448833034057E-2</v>
      </c>
      <c r="D113" s="54">
        <f>C113*'Расчет субсидий'!E113</f>
        <v>-0.76750448833034057</v>
      </c>
      <c r="E113" s="55">
        <f t="shared" si="34"/>
        <v>-7.4078174887683375</v>
      </c>
      <c r="F113" s="27" t="s">
        <v>367</v>
      </c>
      <c r="G113" s="27" t="s">
        <v>367</v>
      </c>
      <c r="H113" s="27" t="s">
        <v>367</v>
      </c>
      <c r="I113" s="27" t="s">
        <v>367</v>
      </c>
      <c r="J113" s="27" t="s">
        <v>367</v>
      </c>
      <c r="K113" s="27" t="s">
        <v>367</v>
      </c>
      <c r="L113" s="54">
        <f>'Расчет субсидий'!P113-1</f>
        <v>-0.43591528653085154</v>
      </c>
      <c r="M113" s="54">
        <f>L113*'Расчет субсидий'!Q113</f>
        <v>-8.7183057306170308</v>
      </c>
      <c r="N113" s="55">
        <f t="shared" si="35"/>
        <v>-84.14754395012308</v>
      </c>
      <c r="O113" s="54">
        <f>'Расчет субсидий'!T113-1</f>
        <v>3.0000000000000027E-2</v>
      </c>
      <c r="P113" s="54">
        <f>O113*'Расчет субсидий'!U113</f>
        <v>0.60000000000000053</v>
      </c>
      <c r="Q113" s="55">
        <f t="shared" si="36"/>
        <v>5.7910938122722397</v>
      </c>
      <c r="R113" s="54">
        <f>'Расчет субсидий'!X113-1</f>
        <v>0.30000000000000004</v>
      </c>
      <c r="S113" s="54">
        <f>R113*'Расчет субсидий'!Y113</f>
        <v>9.0000000000000018</v>
      </c>
      <c r="T113" s="55">
        <f t="shared" si="37"/>
        <v>86.866407184083528</v>
      </c>
      <c r="U113" s="60">
        <f>'Расчет субсидий'!AB113-1</f>
        <v>-0.10855103034236568</v>
      </c>
      <c r="V113" s="60">
        <f>U113*'Расчет субсидий'!AC113</f>
        <v>-1.0855103034236568</v>
      </c>
      <c r="W113" s="55">
        <f t="shared" si="38"/>
        <v>-10.477153335524157</v>
      </c>
      <c r="X113" s="71">
        <f>'Расчет субсидий'!AF113-1</f>
        <v>1.1173184357541999E-2</v>
      </c>
      <c r="Y113" s="71">
        <f>X113*'Расчет субсидий'!AG113</f>
        <v>0.22346368715083997</v>
      </c>
      <c r="Z113" s="55">
        <f t="shared" si="39"/>
        <v>2.156831959877946</v>
      </c>
      <c r="AA113" s="27" t="s">
        <v>367</v>
      </c>
      <c r="AB113" s="27" t="s">
        <v>367</v>
      </c>
      <c r="AC113" s="27" t="s">
        <v>367</v>
      </c>
      <c r="AD113" s="27" t="s">
        <v>367</v>
      </c>
      <c r="AE113" s="27" t="s">
        <v>367</v>
      </c>
      <c r="AF113" s="27" t="s">
        <v>367</v>
      </c>
      <c r="AG113" s="54">
        <f t="shared" si="40"/>
        <v>-0.74785683522018487</v>
      </c>
    </row>
    <row r="114" spans="1:33" ht="15" customHeight="1">
      <c r="A114" s="33" t="s">
        <v>113</v>
      </c>
      <c r="B114" s="52">
        <f>'Расчет субсидий'!AT114</f>
        <v>0</v>
      </c>
      <c r="C114" s="54">
        <f>'Расчет субсидий'!D114-1</f>
        <v>0.30000000000000004</v>
      </c>
      <c r="D114" s="54">
        <f>C114*'Расчет субсидий'!E114</f>
        <v>3.0000000000000004</v>
      </c>
      <c r="E114" s="55">
        <f t="shared" si="34"/>
        <v>0</v>
      </c>
      <c r="F114" s="27" t="s">
        <v>367</v>
      </c>
      <c r="G114" s="27" t="s">
        <v>367</v>
      </c>
      <c r="H114" s="27" t="s">
        <v>367</v>
      </c>
      <c r="I114" s="27" t="s">
        <v>367</v>
      </c>
      <c r="J114" s="27" t="s">
        <v>367</v>
      </c>
      <c r="K114" s="27" t="s">
        <v>367</v>
      </c>
      <c r="L114" s="54">
        <f>'Расчет субсидий'!P114-1</f>
        <v>-0.184421333019958</v>
      </c>
      <c r="M114" s="54">
        <f>L114*'Расчет субсидий'!Q114</f>
        <v>-3.68842666039916</v>
      </c>
      <c r="N114" s="55">
        <f t="shared" si="35"/>
        <v>0</v>
      </c>
      <c r="O114" s="54">
        <f>'Расчет субсидий'!T114-1</f>
        <v>-1</v>
      </c>
      <c r="P114" s="54">
        <f>O114*'Расчет субсидий'!U114</f>
        <v>0</v>
      </c>
      <c r="Q114" s="55">
        <f t="shared" si="36"/>
        <v>0</v>
      </c>
      <c r="R114" s="54">
        <f>'Расчет субсидий'!X114-1</f>
        <v>-1</v>
      </c>
      <c r="S114" s="54">
        <f>R114*'Расчет субсидий'!Y114</f>
        <v>0</v>
      </c>
      <c r="T114" s="55">
        <f t="shared" si="37"/>
        <v>0</v>
      </c>
      <c r="U114" s="60">
        <f>'Расчет субсидий'!AB114-1</f>
        <v>0.14900792094737669</v>
      </c>
      <c r="V114" s="60">
        <f>U114*'Расчет субсидий'!AC114</f>
        <v>1.4900792094737669</v>
      </c>
      <c r="W114" s="55">
        <f t="shared" si="38"/>
        <v>0</v>
      </c>
      <c r="X114" s="71">
        <f>'Расчет субсидий'!AF114-1</f>
        <v>-1</v>
      </c>
      <c r="Y114" s="71">
        <f>X114*'Расчет субсидий'!AG114</f>
        <v>0</v>
      </c>
      <c r="Z114" s="55">
        <f t="shared" si="39"/>
        <v>0</v>
      </c>
      <c r="AA114" s="27" t="s">
        <v>367</v>
      </c>
      <c r="AB114" s="27" t="s">
        <v>367</v>
      </c>
      <c r="AC114" s="27" t="s">
        <v>367</v>
      </c>
      <c r="AD114" s="27" t="s">
        <v>367</v>
      </c>
      <c r="AE114" s="27" t="s">
        <v>367</v>
      </c>
      <c r="AF114" s="27" t="s">
        <v>367</v>
      </c>
      <c r="AG114" s="54">
        <f t="shared" si="40"/>
        <v>0.80165254907460737</v>
      </c>
    </row>
    <row r="115" spans="1:33" ht="15" customHeight="1">
      <c r="A115" s="33" t="s">
        <v>114</v>
      </c>
      <c r="B115" s="52">
        <f>'Расчет субсидий'!AT115</f>
        <v>23.972727272727298</v>
      </c>
      <c r="C115" s="54">
        <f>'Расчет субсидий'!D115-1</f>
        <v>-0.14796239026920366</v>
      </c>
      <c r="D115" s="54">
        <f>C115*'Расчет субсидий'!E115</f>
        <v>-1.4796239026920366</v>
      </c>
      <c r="E115" s="55">
        <f t="shared" si="34"/>
        <v>-9.8277512962169311</v>
      </c>
      <c r="F115" s="27" t="s">
        <v>367</v>
      </c>
      <c r="G115" s="27" t="s">
        <v>367</v>
      </c>
      <c r="H115" s="27" t="s">
        <v>367</v>
      </c>
      <c r="I115" s="27" t="s">
        <v>367</v>
      </c>
      <c r="J115" s="27" t="s">
        <v>367</v>
      </c>
      <c r="K115" s="27" t="s">
        <v>367</v>
      </c>
      <c r="L115" s="54">
        <f>'Расчет субсидий'!P115-1</f>
        <v>0.24484843004724555</v>
      </c>
      <c r="M115" s="54">
        <f>L115*'Расчет субсидий'!Q115</f>
        <v>4.8969686009449109</v>
      </c>
      <c r="N115" s="55">
        <f t="shared" si="35"/>
        <v>32.525961109379807</v>
      </c>
      <c r="O115" s="54">
        <f>'Расчет субсидий'!T115-1</f>
        <v>6.4999999999999947E-2</v>
      </c>
      <c r="P115" s="54">
        <f>O115*'Расчет субсидий'!U115</f>
        <v>1.9499999999999984</v>
      </c>
      <c r="Q115" s="55">
        <f t="shared" si="36"/>
        <v>12.952017734206438</v>
      </c>
      <c r="R115" s="54">
        <f>'Расчет субсидий'!X115-1</f>
        <v>-1.6666666666666607E-2</v>
      </c>
      <c r="S115" s="54">
        <f>R115*'Расчет субсидий'!Y115</f>
        <v>-0.33333333333333215</v>
      </c>
      <c r="T115" s="55">
        <f t="shared" si="37"/>
        <v>-2.214020125505368</v>
      </c>
      <c r="U115" s="60">
        <f>'Расчет субсидий'!AB115-1</f>
        <v>-0.1424780807864382</v>
      </c>
      <c r="V115" s="60">
        <f>U115*'Расчет субсидий'!AC115</f>
        <v>-1.424780807864382</v>
      </c>
      <c r="W115" s="55">
        <f t="shared" si="38"/>
        <v>-9.4634801491366485</v>
      </c>
      <c r="X115" s="71">
        <f>'Расчет субсидий'!AF115-1</f>
        <v>0</v>
      </c>
      <c r="Y115" s="71">
        <f>X115*'Расчет субсидий'!AG115</f>
        <v>0</v>
      </c>
      <c r="Z115" s="55">
        <f t="shared" si="39"/>
        <v>0</v>
      </c>
      <c r="AA115" s="27" t="s">
        <v>367</v>
      </c>
      <c r="AB115" s="27" t="s">
        <v>367</v>
      </c>
      <c r="AC115" s="27" t="s">
        <v>367</v>
      </c>
      <c r="AD115" s="27" t="s">
        <v>367</v>
      </c>
      <c r="AE115" s="27" t="s">
        <v>367</v>
      </c>
      <c r="AF115" s="27" t="s">
        <v>367</v>
      </c>
      <c r="AG115" s="54">
        <f t="shared" si="40"/>
        <v>3.6092305570551586</v>
      </c>
    </row>
    <row r="116" spans="1:33" ht="15" customHeight="1">
      <c r="A116" s="33" t="s">
        <v>115</v>
      </c>
      <c r="B116" s="52">
        <f>'Расчет субсидий'!AT116</f>
        <v>-19.854545454545473</v>
      </c>
      <c r="C116" s="54">
        <f>'Расчет субсидий'!D116-1</f>
        <v>-0.21344018223975914</v>
      </c>
      <c r="D116" s="54">
        <f>C116*'Расчет субсидий'!E116</f>
        <v>-2.1344018223975914</v>
      </c>
      <c r="E116" s="55">
        <f t="shared" si="34"/>
        <v>-11.261169857124639</v>
      </c>
      <c r="F116" s="27" t="s">
        <v>367</v>
      </c>
      <c r="G116" s="27" t="s">
        <v>367</v>
      </c>
      <c r="H116" s="27" t="s">
        <v>367</v>
      </c>
      <c r="I116" s="27" t="s">
        <v>367</v>
      </c>
      <c r="J116" s="27" t="s">
        <v>367</v>
      </c>
      <c r="K116" s="27" t="s">
        <v>367</v>
      </c>
      <c r="L116" s="54">
        <f>'Расчет субсидий'!P116-1</f>
        <v>-0.11649214659685869</v>
      </c>
      <c r="M116" s="54">
        <f>L116*'Расчет субсидий'!Q116</f>
        <v>-2.3298429319371738</v>
      </c>
      <c r="N116" s="55">
        <f t="shared" si="35"/>
        <v>-12.292323180034499</v>
      </c>
      <c r="O116" s="54">
        <f>'Расчет субсидий'!T116-1</f>
        <v>-0.4</v>
      </c>
      <c r="P116" s="54">
        <f>O116*'Расчет субсидий'!U116</f>
        <v>-10</v>
      </c>
      <c r="Q116" s="55">
        <f t="shared" si="36"/>
        <v>-52.760308480597494</v>
      </c>
      <c r="R116" s="54">
        <f>'Расчет субсидий'!X116-1</f>
        <v>0.30000000000000004</v>
      </c>
      <c r="S116" s="54">
        <f>R116*'Расчет субсидий'!Y116</f>
        <v>7.5000000000000009</v>
      </c>
      <c r="T116" s="55">
        <f t="shared" si="37"/>
        <v>39.570231360448126</v>
      </c>
      <c r="U116" s="60">
        <f>'Расчет субсидий'!AB116-1</f>
        <v>0.20899741723409249</v>
      </c>
      <c r="V116" s="60">
        <f>U116*'Расчет субсидий'!AC116</f>
        <v>2.0899741723409249</v>
      </c>
      <c r="W116" s="55">
        <f t="shared" si="38"/>
        <v>11.026768204918863</v>
      </c>
      <c r="X116" s="71">
        <f>'Расчет субсидий'!AF116-1</f>
        <v>5.555555555555558E-2</v>
      </c>
      <c r="Y116" s="71">
        <f>X116*'Расчет субсидий'!AG116</f>
        <v>1.1111111111111116</v>
      </c>
      <c r="Z116" s="55">
        <f t="shared" si="39"/>
        <v>5.862256497844168</v>
      </c>
      <c r="AA116" s="27" t="s">
        <v>367</v>
      </c>
      <c r="AB116" s="27" t="s">
        <v>367</v>
      </c>
      <c r="AC116" s="27" t="s">
        <v>367</v>
      </c>
      <c r="AD116" s="27" t="s">
        <v>367</v>
      </c>
      <c r="AE116" s="27" t="s">
        <v>367</v>
      </c>
      <c r="AF116" s="27" t="s">
        <v>367</v>
      </c>
      <c r="AG116" s="54">
        <f t="shared" si="40"/>
        <v>-3.7631594708827274</v>
      </c>
    </row>
    <row r="117" spans="1:33" ht="15" customHeight="1">
      <c r="A117" s="33" t="s">
        <v>116</v>
      </c>
      <c r="B117" s="52">
        <f>'Расчет субсидий'!AT117</f>
        <v>-34.81818181818187</v>
      </c>
      <c r="C117" s="54">
        <f>'Расчет субсидий'!D117-1</f>
        <v>-6.7089755213055269E-2</v>
      </c>
      <c r="D117" s="54">
        <f>C117*'Расчет субсидий'!E117</f>
        <v>-0.67089755213055269</v>
      </c>
      <c r="E117" s="55">
        <f t="shared" si="34"/>
        <v>-3.7585054880423061</v>
      </c>
      <c r="F117" s="27" t="s">
        <v>367</v>
      </c>
      <c r="G117" s="27" t="s">
        <v>367</v>
      </c>
      <c r="H117" s="27" t="s">
        <v>367</v>
      </c>
      <c r="I117" s="27" t="s">
        <v>367</v>
      </c>
      <c r="J117" s="27" t="s">
        <v>367</v>
      </c>
      <c r="K117" s="27" t="s">
        <v>367</v>
      </c>
      <c r="L117" s="54">
        <f>'Расчет субсидий'!P117-1</f>
        <v>-0.44579301295719209</v>
      </c>
      <c r="M117" s="54">
        <f>L117*'Расчет субсидий'!Q117</f>
        <v>-8.9158602591438409</v>
      </c>
      <c r="N117" s="55">
        <f t="shared" si="35"/>
        <v>-49.948475155696372</v>
      </c>
      <c r="O117" s="54">
        <f>'Расчет субсидий'!T117-1</f>
        <v>2.1428571428571574E-2</v>
      </c>
      <c r="P117" s="54">
        <f>O117*'Расчет субсидий'!U117</f>
        <v>0.64285714285714723</v>
      </c>
      <c r="Q117" s="55">
        <f t="shared" si="36"/>
        <v>3.6014173725672052</v>
      </c>
      <c r="R117" s="54">
        <f>'Расчет субсидий'!X117-1</f>
        <v>0</v>
      </c>
      <c r="S117" s="54">
        <f>R117*'Расчет субсидий'!Y117</f>
        <v>0</v>
      </c>
      <c r="T117" s="55">
        <f t="shared" si="37"/>
        <v>0</v>
      </c>
      <c r="U117" s="60">
        <f>'Расчет субсидий'!AB117-1</f>
        <v>-6.3509920229085748E-2</v>
      </c>
      <c r="V117" s="60">
        <f>U117*'Расчет субсидий'!AC117</f>
        <v>-0.63509920229085748</v>
      </c>
      <c r="W117" s="55">
        <f t="shared" si="38"/>
        <v>-3.5579558006748813</v>
      </c>
      <c r="X117" s="71">
        <f>'Расчет субсидий'!AF117-1</f>
        <v>0.16819571865443428</v>
      </c>
      <c r="Y117" s="71">
        <f>X117*'Расчет субсидий'!AG117</f>
        <v>3.3639143730886856</v>
      </c>
      <c r="Z117" s="55">
        <f t="shared" si="39"/>
        <v>18.845337253664489</v>
      </c>
      <c r="AA117" s="27" t="s">
        <v>367</v>
      </c>
      <c r="AB117" s="27" t="s">
        <v>367</v>
      </c>
      <c r="AC117" s="27" t="s">
        <v>367</v>
      </c>
      <c r="AD117" s="27" t="s">
        <v>367</v>
      </c>
      <c r="AE117" s="27" t="s">
        <v>367</v>
      </c>
      <c r="AF117" s="27" t="s">
        <v>367</v>
      </c>
      <c r="AG117" s="54">
        <f t="shared" si="40"/>
        <v>-6.2150854976194188</v>
      </c>
    </row>
    <row r="118" spans="1:33" ht="15" customHeight="1">
      <c r="A118" s="33" t="s">
        <v>117</v>
      </c>
      <c r="B118" s="52">
        <f>'Расчет субсидий'!AT118</f>
        <v>-63.072727272727263</v>
      </c>
      <c r="C118" s="54">
        <f>'Расчет субсидий'!D118-1</f>
        <v>-1</v>
      </c>
      <c r="D118" s="54">
        <f>C118*'Расчет субсидий'!E118</f>
        <v>0</v>
      </c>
      <c r="E118" s="55">
        <f t="shared" si="34"/>
        <v>0</v>
      </c>
      <c r="F118" s="27" t="s">
        <v>367</v>
      </c>
      <c r="G118" s="27" t="s">
        <v>367</v>
      </c>
      <c r="H118" s="27" t="s">
        <v>367</v>
      </c>
      <c r="I118" s="27" t="s">
        <v>367</v>
      </c>
      <c r="J118" s="27" t="s">
        <v>367</v>
      </c>
      <c r="K118" s="27" t="s">
        <v>367</v>
      </c>
      <c r="L118" s="54">
        <f>'Расчет субсидий'!P118-1</f>
        <v>-1</v>
      </c>
      <c r="M118" s="54">
        <f>L118*'Расчет субсидий'!Q118</f>
        <v>-20</v>
      </c>
      <c r="N118" s="55">
        <f t="shared" si="35"/>
        <v>-80.470653609033022</v>
      </c>
      <c r="O118" s="54">
        <f>'Расчет субсидий'!T118-1</f>
        <v>8.8888888888889017E-2</v>
      </c>
      <c r="P118" s="54">
        <f>O118*'Расчет субсидий'!U118</f>
        <v>2.6666666666666705</v>
      </c>
      <c r="Q118" s="55">
        <f t="shared" si="36"/>
        <v>10.72942048120442</v>
      </c>
      <c r="R118" s="54">
        <f>'Расчет субсидий'!X118-1</f>
        <v>6.6666666666666652E-2</v>
      </c>
      <c r="S118" s="54">
        <f>R118*'Расчет субсидий'!Y118</f>
        <v>1.333333333333333</v>
      </c>
      <c r="T118" s="55">
        <f t="shared" si="37"/>
        <v>5.3647102406022</v>
      </c>
      <c r="U118" s="60">
        <f>'Расчет субсидий'!AB118-1</f>
        <v>-0.42509574935643879</v>
      </c>
      <c r="V118" s="60">
        <f>U118*'Расчет субсидий'!AC118</f>
        <v>-4.2509574935643881</v>
      </c>
      <c r="W118" s="55">
        <f t="shared" si="38"/>
        <v>-17.103866398567156</v>
      </c>
      <c r="X118" s="71">
        <f>'Расчет субсидий'!AF118-1</f>
        <v>0.22875000000000001</v>
      </c>
      <c r="Y118" s="71">
        <f>X118*'Расчет субсидий'!AG118</f>
        <v>4.5750000000000002</v>
      </c>
      <c r="Z118" s="55">
        <f t="shared" si="39"/>
        <v>18.407662013066304</v>
      </c>
      <c r="AA118" s="27" t="s">
        <v>367</v>
      </c>
      <c r="AB118" s="27" t="s">
        <v>367</v>
      </c>
      <c r="AC118" s="27" t="s">
        <v>367</v>
      </c>
      <c r="AD118" s="27" t="s">
        <v>367</v>
      </c>
      <c r="AE118" s="27" t="s">
        <v>367</v>
      </c>
      <c r="AF118" s="27" t="s">
        <v>367</v>
      </c>
      <c r="AG118" s="54">
        <f t="shared" si="40"/>
        <v>-15.675957493564386</v>
      </c>
    </row>
    <row r="119" spans="1:33" ht="15" customHeight="1">
      <c r="A119" s="33" t="s">
        <v>118</v>
      </c>
      <c r="B119" s="52">
        <f>'Расчет субсидий'!AT119</f>
        <v>-138.14545454545453</v>
      </c>
      <c r="C119" s="54">
        <f>'Расчет субсидий'!D119-1</f>
        <v>0.30000000000000004</v>
      </c>
      <c r="D119" s="54">
        <f>C119*'Расчет субсидий'!E119</f>
        <v>3.0000000000000004</v>
      </c>
      <c r="E119" s="55">
        <f t="shared" si="34"/>
        <v>18.017584871977537</v>
      </c>
      <c r="F119" s="27" t="s">
        <v>367</v>
      </c>
      <c r="G119" s="27" t="s">
        <v>367</v>
      </c>
      <c r="H119" s="27" t="s">
        <v>367</v>
      </c>
      <c r="I119" s="27" t="s">
        <v>367</v>
      </c>
      <c r="J119" s="27" t="s">
        <v>367</v>
      </c>
      <c r="K119" s="27" t="s">
        <v>367</v>
      </c>
      <c r="L119" s="54">
        <f>'Расчет субсидий'!P119-1</f>
        <v>-0.45854981772253633</v>
      </c>
      <c r="M119" s="54">
        <f>L119*'Расчет субсидий'!Q119</f>
        <v>-9.1709963544507271</v>
      </c>
      <c r="N119" s="55">
        <f t="shared" si="35"/>
        <v>-55.079735058970847</v>
      </c>
      <c r="O119" s="54">
        <f>'Расчет субсидий'!T119-1</f>
        <v>-3.0909090909090997E-2</v>
      </c>
      <c r="P119" s="54">
        <f>O119*'Расчет субсидий'!U119</f>
        <v>-0.15454545454545499</v>
      </c>
      <c r="Q119" s="55">
        <f t="shared" si="36"/>
        <v>-0.928178614617027</v>
      </c>
      <c r="R119" s="54">
        <f>'Расчет субсидий'!X119-1</f>
        <v>-0.30000000000000004</v>
      </c>
      <c r="S119" s="54">
        <f>R119*'Расчет субсидий'!Y119</f>
        <v>-13.500000000000002</v>
      </c>
      <c r="T119" s="55">
        <f t="shared" si="37"/>
        <v>-81.079131923898913</v>
      </c>
      <c r="U119" s="60">
        <f>'Расчет субсидий'!AB119-1</f>
        <v>-0.33697777134168416</v>
      </c>
      <c r="V119" s="60">
        <f>U119*'Расчет субсидий'!AC119</f>
        <v>-3.3697777134168416</v>
      </c>
      <c r="W119" s="55">
        <f t="shared" si="38"/>
        <v>-20.238418650395442</v>
      </c>
      <c r="X119" s="71">
        <f>'Расчет субсидий'!AF119-1</f>
        <v>9.6774193548387899E-3</v>
      </c>
      <c r="Y119" s="71">
        <f>X119*'Расчет субсидий'!AG119</f>
        <v>0.1935483870967758</v>
      </c>
      <c r="Z119" s="55">
        <f t="shared" si="39"/>
        <v>1.162424830450173</v>
      </c>
      <c r="AA119" s="27" t="s">
        <v>367</v>
      </c>
      <c r="AB119" s="27" t="s">
        <v>367</v>
      </c>
      <c r="AC119" s="27" t="s">
        <v>367</v>
      </c>
      <c r="AD119" s="27" t="s">
        <v>367</v>
      </c>
      <c r="AE119" s="27" t="s">
        <v>367</v>
      </c>
      <c r="AF119" s="27" t="s">
        <v>367</v>
      </c>
      <c r="AG119" s="54">
        <f t="shared" si="40"/>
        <v>-23.00177113531625</v>
      </c>
    </row>
    <row r="120" spans="1:33" ht="15" customHeight="1">
      <c r="A120" s="32" t="s">
        <v>119</v>
      </c>
      <c r="B120" s="56"/>
      <c r="C120" s="57"/>
      <c r="D120" s="57"/>
      <c r="E120" s="58"/>
      <c r="F120" s="57"/>
      <c r="G120" s="57"/>
      <c r="H120" s="58"/>
      <c r="I120" s="58"/>
      <c r="J120" s="58"/>
      <c r="K120" s="58"/>
      <c r="L120" s="57"/>
      <c r="M120" s="57"/>
      <c r="N120" s="58"/>
      <c r="O120" s="57"/>
      <c r="P120" s="57"/>
      <c r="Q120" s="58"/>
      <c r="R120" s="57"/>
      <c r="S120" s="57"/>
      <c r="T120" s="58"/>
      <c r="U120" s="58"/>
      <c r="V120" s="58"/>
      <c r="W120" s="58"/>
      <c r="X120" s="73"/>
      <c r="Y120" s="73"/>
      <c r="Z120" s="58"/>
      <c r="AA120" s="58"/>
      <c r="AB120" s="58"/>
      <c r="AC120" s="58"/>
      <c r="AD120" s="58"/>
      <c r="AE120" s="58"/>
      <c r="AF120" s="58"/>
      <c r="AG120" s="58"/>
    </row>
    <row r="121" spans="1:33" ht="15" customHeight="1">
      <c r="A121" s="33" t="s">
        <v>120</v>
      </c>
      <c r="B121" s="52">
        <f>'Расчет субсидий'!AT121</f>
        <v>3.363636363636374</v>
      </c>
      <c r="C121" s="54">
        <f>'Расчет субсидий'!D121-1</f>
        <v>-2.4048282265552556E-2</v>
      </c>
      <c r="D121" s="54">
        <f>C121*'Расчет субсидий'!E121</f>
        <v>-0.24048282265552556</v>
      </c>
      <c r="E121" s="55">
        <f t="shared" ref="E121:E127" si="41">$B121*D121/$AG121</f>
        <v>-0.43856601069140105</v>
      </c>
      <c r="F121" s="27" t="s">
        <v>367</v>
      </c>
      <c r="G121" s="27" t="s">
        <v>367</v>
      </c>
      <c r="H121" s="27" t="s">
        <v>367</v>
      </c>
      <c r="I121" s="27" t="s">
        <v>367</v>
      </c>
      <c r="J121" s="27" t="s">
        <v>367</v>
      </c>
      <c r="K121" s="27" t="s">
        <v>367</v>
      </c>
      <c r="L121" s="54">
        <f>'Расчет субсидий'!P121-1</f>
        <v>0.30000000000000004</v>
      </c>
      <c r="M121" s="54">
        <f>L121*'Расчет субсидий'!Q121</f>
        <v>6.0000000000000009</v>
      </c>
      <c r="N121" s="55">
        <f t="shared" ref="N121:N127" si="42">$B121*M121/$AG121</f>
        <v>10.942137301497386</v>
      </c>
      <c r="O121" s="54">
        <f>'Расчет субсидий'!T121-1</f>
        <v>0.2114285714285713</v>
      </c>
      <c r="P121" s="54">
        <f>O121*'Расчет субсидий'!U121</f>
        <v>5.2857142857142829</v>
      </c>
      <c r="Q121" s="55">
        <f t="shared" ref="Q121:Q127" si="43">$B121*P121/$AG121</f>
        <v>9.6395019084619751</v>
      </c>
      <c r="R121" s="54">
        <f>'Расчет субсидий'!X121-1</f>
        <v>0.14000000000000012</v>
      </c>
      <c r="S121" s="54">
        <f>R121*'Расчет субсидий'!Y121</f>
        <v>3.5000000000000031</v>
      </c>
      <c r="T121" s="55">
        <f t="shared" ref="T121:T127" si="44">$B121*S121/$AG121</f>
        <v>6.382913425873479</v>
      </c>
      <c r="U121" s="60">
        <f>'Расчет субсидий'!AB121-1</f>
        <v>-0.14016373108409819</v>
      </c>
      <c r="V121" s="60">
        <f>U121*'Расчет субсидий'!AC121</f>
        <v>-0.70081865542049093</v>
      </c>
      <c r="W121" s="55">
        <f t="shared" si="38"/>
        <v>-1.2780756585102993</v>
      </c>
      <c r="X121" s="71">
        <f>'Расчет субсидий'!AF121-1</f>
        <v>-0.6</v>
      </c>
      <c r="Y121" s="71">
        <f>X121*'Расчет субсидий'!AG121</f>
        <v>-12</v>
      </c>
      <c r="Z121" s="55">
        <f t="shared" si="39"/>
        <v>-21.884274602994765</v>
      </c>
      <c r="AA121" s="27" t="s">
        <v>367</v>
      </c>
      <c r="AB121" s="27" t="s">
        <v>367</v>
      </c>
      <c r="AC121" s="27" t="s">
        <v>367</v>
      </c>
      <c r="AD121" s="27" t="s">
        <v>367</v>
      </c>
      <c r="AE121" s="27" t="s">
        <v>367</v>
      </c>
      <c r="AF121" s="27" t="s">
        <v>367</v>
      </c>
      <c r="AG121" s="54">
        <f t="shared" si="40"/>
        <v>1.8444128076382711</v>
      </c>
    </row>
    <row r="122" spans="1:33" ht="15" customHeight="1">
      <c r="A122" s="33" t="s">
        <v>121</v>
      </c>
      <c r="B122" s="52">
        <f>'Расчет субсидий'!AT122</f>
        <v>-3.045454545454561</v>
      </c>
      <c r="C122" s="54">
        <f>'Расчет субсидий'!D122-1</f>
        <v>0.16912182767354111</v>
      </c>
      <c r="D122" s="54">
        <f>C122*'Расчет субсидий'!E122</f>
        <v>1.6912182767354111</v>
      </c>
      <c r="E122" s="55">
        <f t="shared" si="41"/>
        <v>3.37038597333706</v>
      </c>
      <c r="F122" s="27" t="s">
        <v>367</v>
      </c>
      <c r="G122" s="27" t="s">
        <v>367</v>
      </c>
      <c r="H122" s="27" t="s">
        <v>367</v>
      </c>
      <c r="I122" s="27" t="s">
        <v>367</v>
      </c>
      <c r="J122" s="27" t="s">
        <v>367</v>
      </c>
      <c r="K122" s="27" t="s">
        <v>367</v>
      </c>
      <c r="L122" s="54">
        <f>'Расчет субсидий'!P122-1</f>
        <v>-0.33248657975460127</v>
      </c>
      <c r="M122" s="54">
        <f>L122*'Расчет субсидий'!Q122</f>
        <v>-6.6497315950920255</v>
      </c>
      <c r="N122" s="55">
        <f t="shared" si="42"/>
        <v>-13.252081297168237</v>
      </c>
      <c r="O122" s="54">
        <f>'Расчет субсидий'!T122-1</f>
        <v>0.1166666666666667</v>
      </c>
      <c r="P122" s="54">
        <f>O122*'Расчет субсидий'!U122</f>
        <v>3.5000000000000009</v>
      </c>
      <c r="Q122" s="55">
        <f t="shared" si="43"/>
        <v>6.9750611549979356</v>
      </c>
      <c r="R122" s="54">
        <f>'Расчет субсидий'!X122-1</f>
        <v>-1.4285714285714235E-2</v>
      </c>
      <c r="S122" s="54">
        <f>R122*'Расчет субсидий'!Y122</f>
        <v>-0.2857142857142847</v>
      </c>
      <c r="T122" s="55">
        <f t="shared" si="44"/>
        <v>-0.56939274734676792</v>
      </c>
      <c r="U122" s="60">
        <f>'Расчет субсидий'!AB122-1</f>
        <v>-0.13325940301266059</v>
      </c>
      <c r="V122" s="60">
        <f>U122*'Расчет субсидий'!AC122</f>
        <v>-0.66629701506330297</v>
      </c>
      <c r="W122" s="55">
        <f t="shared" si="38"/>
        <v>-1.3278464078454622</v>
      </c>
      <c r="X122" s="71">
        <f>'Расчет субсидий'!AF122-1</f>
        <v>4.4117647058823595E-2</v>
      </c>
      <c r="Y122" s="71">
        <f>X122*'Расчет субсидий'!AG122</f>
        <v>0.88235294117647189</v>
      </c>
      <c r="Z122" s="55">
        <f t="shared" si="39"/>
        <v>1.75841877857091</v>
      </c>
      <c r="AA122" s="27" t="s">
        <v>367</v>
      </c>
      <c r="AB122" s="27" t="s">
        <v>367</v>
      </c>
      <c r="AC122" s="27" t="s">
        <v>367</v>
      </c>
      <c r="AD122" s="27" t="s">
        <v>367</v>
      </c>
      <c r="AE122" s="27" t="s">
        <v>367</v>
      </c>
      <c r="AF122" s="27" t="s">
        <v>367</v>
      </c>
      <c r="AG122" s="54">
        <f t="shared" si="40"/>
        <v>-1.5281716779577286</v>
      </c>
    </row>
    <row r="123" spans="1:33" ht="15" customHeight="1">
      <c r="A123" s="33" t="s">
        <v>122</v>
      </c>
      <c r="B123" s="52">
        <f>'Расчет субсидий'!AT123</f>
        <v>-2.6727272727272862</v>
      </c>
      <c r="C123" s="54">
        <f>'Расчет субсидий'!D123-1</f>
        <v>-0.38095238095238093</v>
      </c>
      <c r="D123" s="54">
        <f>C123*'Расчет субсидий'!E123</f>
        <v>-3.8095238095238093</v>
      </c>
      <c r="E123" s="55">
        <f t="shared" si="41"/>
        <v>-8.3841330402174883</v>
      </c>
      <c r="F123" s="27" t="s">
        <v>367</v>
      </c>
      <c r="G123" s="27" t="s">
        <v>367</v>
      </c>
      <c r="H123" s="27" t="s">
        <v>367</v>
      </c>
      <c r="I123" s="27" t="s">
        <v>367</v>
      </c>
      <c r="J123" s="27" t="s">
        <v>367</v>
      </c>
      <c r="K123" s="27" t="s">
        <v>367</v>
      </c>
      <c r="L123" s="54">
        <f>'Расчет субсидий'!P123-1</f>
        <v>-0.26148897058823528</v>
      </c>
      <c r="M123" s="54">
        <f>L123*'Расчет субсидий'!Q123</f>
        <v>-5.2297794117647056</v>
      </c>
      <c r="N123" s="55">
        <f t="shared" si="42"/>
        <v>-11.509881169296733</v>
      </c>
      <c r="O123" s="54">
        <f>'Расчет субсидий'!T123-1</f>
        <v>0.21583333333333332</v>
      </c>
      <c r="P123" s="54">
        <f>O123*'Расчет субсидий'!U123</f>
        <v>3.2374999999999998</v>
      </c>
      <c r="Q123" s="55">
        <f t="shared" si="43"/>
        <v>7.1252030633973318</v>
      </c>
      <c r="R123" s="54">
        <f>'Расчет субсидий'!X123-1</f>
        <v>0.1333333333333333</v>
      </c>
      <c r="S123" s="54">
        <f>R123*'Расчет субсидий'!Y123</f>
        <v>4.6666666666666661</v>
      </c>
      <c r="T123" s="55">
        <f t="shared" si="44"/>
        <v>10.270562974266422</v>
      </c>
      <c r="U123" s="60">
        <f>'Расчет субсидий'!AB123-1</f>
        <v>-9.7488372093023301E-2</v>
      </c>
      <c r="V123" s="60">
        <f>U123*'Расчет субсидий'!AC123</f>
        <v>-0.48744186046511651</v>
      </c>
      <c r="W123" s="55">
        <f t="shared" si="38"/>
        <v>-1.0727790694715498</v>
      </c>
      <c r="X123" s="71">
        <f>'Расчет субсидий'!AF123-1</f>
        <v>2.0408163265306145E-2</v>
      </c>
      <c r="Y123" s="71">
        <f>X123*'Расчет субсидий'!AG123</f>
        <v>0.4081632653061229</v>
      </c>
      <c r="Z123" s="55">
        <f t="shared" si="39"/>
        <v>0.89829996859473205</v>
      </c>
      <c r="AA123" s="27" t="s">
        <v>367</v>
      </c>
      <c r="AB123" s="27" t="s">
        <v>367</v>
      </c>
      <c r="AC123" s="27" t="s">
        <v>367</v>
      </c>
      <c r="AD123" s="27" t="s">
        <v>367</v>
      </c>
      <c r="AE123" s="27" t="s">
        <v>367</v>
      </c>
      <c r="AF123" s="27" t="s">
        <v>367</v>
      </c>
      <c r="AG123" s="54">
        <f t="shared" si="40"/>
        <v>-1.2144151497808426</v>
      </c>
    </row>
    <row r="124" spans="1:33" ht="15" customHeight="1">
      <c r="A124" s="33" t="s">
        <v>123</v>
      </c>
      <c r="B124" s="52">
        <f>'Расчет субсидий'!AT124</f>
        <v>-17.881818181818176</v>
      </c>
      <c r="C124" s="54">
        <f>'Расчет субсидий'!D124-1</f>
        <v>-4.2843040473840022E-2</v>
      </c>
      <c r="D124" s="54">
        <f>C124*'Расчет субсидий'!E124</f>
        <v>-0.42843040473840022</v>
      </c>
      <c r="E124" s="55">
        <f t="shared" si="41"/>
        <v>-0.990676410012437</v>
      </c>
      <c r="F124" s="27" t="s">
        <v>367</v>
      </c>
      <c r="G124" s="27" t="s">
        <v>367</v>
      </c>
      <c r="H124" s="27" t="s">
        <v>367</v>
      </c>
      <c r="I124" s="27" t="s">
        <v>367</v>
      </c>
      <c r="J124" s="27" t="s">
        <v>367</v>
      </c>
      <c r="K124" s="27" t="s">
        <v>367</v>
      </c>
      <c r="L124" s="54">
        <f>'Расчет субсидий'!P124-1</f>
        <v>-0.67831228164471913</v>
      </c>
      <c r="M124" s="54">
        <f>L124*'Расчет субсидий'!Q124</f>
        <v>-13.566245632894383</v>
      </c>
      <c r="N124" s="55">
        <f t="shared" si="42"/>
        <v>-31.36976127814512</v>
      </c>
      <c r="O124" s="54">
        <f>'Расчет субсидий'!T124-1</f>
        <v>0.10760233918128659</v>
      </c>
      <c r="P124" s="54">
        <f>O124*'Расчет субсидий'!U124</f>
        <v>3.2280701754385976</v>
      </c>
      <c r="Q124" s="55">
        <f t="shared" si="43"/>
        <v>7.4643931366738814</v>
      </c>
      <c r="R124" s="54">
        <f>'Расчет субсидий'!X124-1</f>
        <v>0.125</v>
      </c>
      <c r="S124" s="54">
        <f>R124*'Расчет субсидий'!Y124</f>
        <v>2.5</v>
      </c>
      <c r="T124" s="55">
        <f t="shared" si="44"/>
        <v>5.7808479455218897</v>
      </c>
      <c r="U124" s="60">
        <f>'Расчет субсидий'!AB124-1</f>
        <v>-0.17719298245614035</v>
      </c>
      <c r="V124" s="60">
        <f>U124*'Расчет субсидий'!AC124</f>
        <v>-0.88596491228070173</v>
      </c>
      <c r="W124" s="55">
        <f t="shared" si="38"/>
        <v>-2.0486513771849504</v>
      </c>
      <c r="X124" s="71">
        <f>'Расчет субсидий'!AF124-1</f>
        <v>7.0967741935483941E-2</v>
      </c>
      <c r="Y124" s="71">
        <f>X124*'Расчет субсидий'!AG124</f>
        <v>1.4193548387096788</v>
      </c>
      <c r="Z124" s="55">
        <f t="shared" si="39"/>
        <v>3.28202980132856</v>
      </c>
      <c r="AA124" s="27" t="s">
        <v>367</v>
      </c>
      <c r="AB124" s="27" t="s">
        <v>367</v>
      </c>
      <c r="AC124" s="27" t="s">
        <v>367</v>
      </c>
      <c r="AD124" s="27" t="s">
        <v>367</v>
      </c>
      <c r="AE124" s="27" t="s">
        <v>367</v>
      </c>
      <c r="AF124" s="27" t="s">
        <v>367</v>
      </c>
      <c r="AG124" s="54">
        <f t="shared" si="40"/>
        <v>-7.7332159357652079</v>
      </c>
    </row>
    <row r="125" spans="1:33" ht="15" customHeight="1">
      <c r="A125" s="33" t="s">
        <v>124</v>
      </c>
      <c r="B125" s="52">
        <f>'Расчет субсидий'!AT125</f>
        <v>-2.9545454545454675</v>
      </c>
      <c r="C125" s="54">
        <f>'Расчет субсидий'!D125-1</f>
        <v>0.26358313817330203</v>
      </c>
      <c r="D125" s="54">
        <f>C125*'Расчет субсидий'!E125</f>
        <v>2.6358313817330203</v>
      </c>
      <c r="E125" s="55">
        <f t="shared" si="41"/>
        <v>4.406581972217837</v>
      </c>
      <c r="F125" s="27" t="s">
        <v>367</v>
      </c>
      <c r="G125" s="27" t="s">
        <v>367</v>
      </c>
      <c r="H125" s="27" t="s">
        <v>367</v>
      </c>
      <c r="I125" s="27" t="s">
        <v>367</v>
      </c>
      <c r="J125" s="27" t="s">
        <v>367</v>
      </c>
      <c r="K125" s="27" t="s">
        <v>367</v>
      </c>
      <c r="L125" s="54">
        <f>'Расчет субсидий'!P125-1</f>
        <v>-0.34217279726261762</v>
      </c>
      <c r="M125" s="54">
        <f>L125*'Расчет субсидий'!Q125</f>
        <v>-6.8434559452523525</v>
      </c>
      <c r="N125" s="55">
        <f t="shared" si="42"/>
        <v>-11.440887230118911</v>
      </c>
      <c r="O125" s="54">
        <f>'Расчет субсидий'!T125-1</f>
        <v>8.5714285714285632E-2</v>
      </c>
      <c r="P125" s="54">
        <f>O125*'Расчет субсидий'!U125</f>
        <v>2.571428571428569</v>
      </c>
      <c r="Q125" s="55">
        <f t="shared" si="43"/>
        <v>4.2989133767171763</v>
      </c>
      <c r="R125" s="54">
        <f>'Расчет субсидий'!X125-1</f>
        <v>0.14285714285714279</v>
      </c>
      <c r="S125" s="54">
        <f>R125*'Расчет субсидий'!Y125</f>
        <v>2.8571428571428559</v>
      </c>
      <c r="T125" s="55">
        <f t="shared" si="44"/>
        <v>4.7765704185746429</v>
      </c>
      <c r="U125" s="60">
        <f>'Расчет субсидий'!AB125-1</f>
        <v>-0.50407900386431947</v>
      </c>
      <c r="V125" s="60">
        <f>U125*'Расчет субсидий'!AC125</f>
        <v>-2.5203950193215974</v>
      </c>
      <c r="W125" s="55">
        <f t="shared" si="38"/>
        <v>-4.2135955023450444</v>
      </c>
      <c r="X125" s="71">
        <f>'Расчет субсидий'!AF125-1</f>
        <v>-2.3391812865497075E-2</v>
      </c>
      <c r="Y125" s="71">
        <f>X125*'Расчет субсидий'!AG125</f>
        <v>-0.46783625730994149</v>
      </c>
      <c r="Z125" s="55">
        <f t="shared" si="39"/>
        <v>-0.78212848959116998</v>
      </c>
      <c r="AA125" s="27" t="s">
        <v>367</v>
      </c>
      <c r="AB125" s="27" t="s">
        <v>367</v>
      </c>
      <c r="AC125" s="27" t="s">
        <v>367</v>
      </c>
      <c r="AD125" s="27" t="s">
        <v>367</v>
      </c>
      <c r="AE125" s="27" t="s">
        <v>367</v>
      </c>
      <c r="AF125" s="27" t="s">
        <v>367</v>
      </c>
      <c r="AG125" s="54">
        <f t="shared" si="40"/>
        <v>-1.7672844115794457</v>
      </c>
    </row>
    <row r="126" spans="1:33" ht="15" customHeight="1">
      <c r="A126" s="33" t="s">
        <v>125</v>
      </c>
      <c r="B126" s="52">
        <f>'Расчет субсидий'!AT126</f>
        <v>-7.4818181818181984</v>
      </c>
      <c r="C126" s="54">
        <f>'Расчет субсидий'!D126-1</f>
        <v>-0.21746031746031746</v>
      </c>
      <c r="D126" s="54">
        <f>C126*'Расчет субсидий'!E126</f>
        <v>-2.1746031746031749</v>
      </c>
      <c r="E126" s="55">
        <f t="shared" si="41"/>
        <v>-5.4704466107033074</v>
      </c>
      <c r="F126" s="27" t="s">
        <v>367</v>
      </c>
      <c r="G126" s="27" t="s">
        <v>367</v>
      </c>
      <c r="H126" s="27" t="s">
        <v>367</v>
      </c>
      <c r="I126" s="27" t="s">
        <v>367</v>
      </c>
      <c r="J126" s="27" t="s">
        <v>367</v>
      </c>
      <c r="K126" s="27" t="s">
        <v>367</v>
      </c>
      <c r="L126" s="54">
        <f>'Расчет субсидий'!P126-1</f>
        <v>-0.25275301520713156</v>
      </c>
      <c r="M126" s="54">
        <f>L126*'Расчет субсидий'!Q126</f>
        <v>-5.0550603041426312</v>
      </c>
      <c r="N126" s="55">
        <f t="shared" si="42"/>
        <v>-12.71654425536472</v>
      </c>
      <c r="O126" s="54">
        <f>'Расчет субсидий'!T126-1</f>
        <v>6.7441860465116354E-2</v>
      </c>
      <c r="P126" s="54">
        <f>O126*'Расчет субсидий'!U126</f>
        <v>2.0232558139534906</v>
      </c>
      <c r="Q126" s="55">
        <f t="shared" si="43"/>
        <v>5.0897161557061379</v>
      </c>
      <c r="R126" s="54">
        <f>'Расчет субсидий'!X126-1</f>
        <v>0.125</v>
      </c>
      <c r="S126" s="54">
        <f>R126*'Расчет субсидий'!Y126</f>
        <v>2.5</v>
      </c>
      <c r="T126" s="55">
        <f t="shared" si="44"/>
        <v>6.2890170889472321</v>
      </c>
      <c r="U126" s="60">
        <f>'Расчет субсидий'!AB126-1</f>
        <v>-7.8947368421052655E-2</v>
      </c>
      <c r="V126" s="60">
        <f>U126*'Расчет субсидий'!AC126</f>
        <v>-0.39473684210526327</v>
      </c>
      <c r="W126" s="55">
        <f t="shared" si="38"/>
        <v>-0.99300269825482645</v>
      </c>
      <c r="X126" s="71">
        <f>'Расчет субсидий'!AF126-1</f>
        <v>6.3492063492063266E-3</v>
      </c>
      <c r="Y126" s="71">
        <f>X126*'Расчет субсидий'!AG126</f>
        <v>0.12698412698412653</v>
      </c>
      <c r="Z126" s="55">
        <f t="shared" si="39"/>
        <v>0.31944213785128689</v>
      </c>
      <c r="AA126" s="27" t="s">
        <v>367</v>
      </c>
      <c r="AB126" s="27" t="s">
        <v>367</v>
      </c>
      <c r="AC126" s="27" t="s">
        <v>367</v>
      </c>
      <c r="AD126" s="27" t="s">
        <v>367</v>
      </c>
      <c r="AE126" s="27" t="s">
        <v>367</v>
      </c>
      <c r="AF126" s="27" t="s">
        <v>367</v>
      </c>
      <c r="AG126" s="54">
        <f t="shared" si="40"/>
        <v>-2.9741603799134526</v>
      </c>
    </row>
    <row r="127" spans="1:33" ht="15" customHeight="1">
      <c r="A127" s="33" t="s">
        <v>126</v>
      </c>
      <c r="B127" s="52">
        <f>'Расчет субсидий'!AT127</f>
        <v>6.1181818181818244</v>
      </c>
      <c r="C127" s="54">
        <f>'Расчет субсидий'!D127-1</f>
        <v>-0.12136752136752138</v>
      </c>
      <c r="D127" s="54">
        <f>C127*'Расчет субсидий'!E127</f>
        <v>-1.2136752136752138</v>
      </c>
      <c r="E127" s="55">
        <f t="shared" si="41"/>
        <v>-2.1674843022792691</v>
      </c>
      <c r="F127" s="27" t="s">
        <v>367</v>
      </c>
      <c r="G127" s="27" t="s">
        <v>367</v>
      </c>
      <c r="H127" s="27" t="s">
        <v>367</v>
      </c>
      <c r="I127" s="27" t="s">
        <v>367</v>
      </c>
      <c r="J127" s="27" t="s">
        <v>367</v>
      </c>
      <c r="K127" s="27" t="s">
        <v>367</v>
      </c>
      <c r="L127" s="54">
        <f>'Расчет субсидий'!P127-1</f>
        <v>-0.24332344213649848</v>
      </c>
      <c r="M127" s="54">
        <f>L127*'Расчет субсидий'!Q127</f>
        <v>-4.8664688427299696</v>
      </c>
      <c r="N127" s="55">
        <f t="shared" si="42"/>
        <v>-8.6909534818687266</v>
      </c>
      <c r="O127" s="54">
        <f>'Расчет субсидий'!T127-1</f>
        <v>0.21839999999999993</v>
      </c>
      <c r="P127" s="54">
        <f>O127*'Расчет субсидий'!U127</f>
        <v>7.6439999999999975</v>
      </c>
      <c r="Q127" s="55">
        <f t="shared" si="43"/>
        <v>13.651304582921542</v>
      </c>
      <c r="R127" s="54">
        <f>'Расчет субсидий'!X127-1</f>
        <v>9.9999999999999867E-2</v>
      </c>
      <c r="S127" s="54">
        <f>R127*'Расчет субсидий'!Y127</f>
        <v>1.499999999999998</v>
      </c>
      <c r="T127" s="55">
        <f t="shared" si="44"/>
        <v>2.6788274299296559</v>
      </c>
      <c r="U127" s="60">
        <f>'Расчет субсидий'!AB127-1</f>
        <v>7.2399690505139835E-2</v>
      </c>
      <c r="V127" s="60">
        <f>U127*'Расчет субсидий'!AC127</f>
        <v>0.36199845252569918</v>
      </c>
      <c r="W127" s="55">
        <f t="shared" si="38"/>
        <v>0.64648758947862173</v>
      </c>
      <c r="X127" s="71">
        <f>'Расчет субсидий'!AF127-1</f>
        <v>0</v>
      </c>
      <c r="Y127" s="71">
        <f>X127*'Расчет субсидий'!AG127</f>
        <v>0</v>
      </c>
      <c r="Z127" s="55">
        <f t="shared" si="39"/>
        <v>0</v>
      </c>
      <c r="AA127" s="27" t="s">
        <v>367</v>
      </c>
      <c r="AB127" s="27" t="s">
        <v>367</v>
      </c>
      <c r="AC127" s="27" t="s">
        <v>367</v>
      </c>
      <c r="AD127" s="27" t="s">
        <v>367</v>
      </c>
      <c r="AE127" s="27" t="s">
        <v>367</v>
      </c>
      <c r="AF127" s="27" t="s">
        <v>367</v>
      </c>
      <c r="AG127" s="54">
        <f t="shared" si="40"/>
        <v>3.4258543961205117</v>
      </c>
    </row>
    <row r="128" spans="1:33" ht="15" customHeight="1">
      <c r="A128" s="32" t="s">
        <v>127</v>
      </c>
      <c r="B128" s="56"/>
      <c r="C128" s="57"/>
      <c r="D128" s="57"/>
      <c r="E128" s="58"/>
      <c r="F128" s="57"/>
      <c r="G128" s="57"/>
      <c r="H128" s="58"/>
      <c r="I128" s="58"/>
      <c r="J128" s="58"/>
      <c r="K128" s="58"/>
      <c r="L128" s="57"/>
      <c r="M128" s="57"/>
      <c r="N128" s="58"/>
      <c r="O128" s="57"/>
      <c r="P128" s="57"/>
      <c r="Q128" s="58"/>
      <c r="R128" s="57"/>
      <c r="S128" s="57"/>
      <c r="T128" s="58"/>
      <c r="U128" s="58"/>
      <c r="V128" s="58"/>
      <c r="W128" s="58"/>
      <c r="X128" s="73"/>
      <c r="Y128" s="73"/>
      <c r="Z128" s="58"/>
      <c r="AA128" s="58"/>
      <c r="AB128" s="58"/>
      <c r="AC128" s="58"/>
      <c r="AD128" s="58"/>
      <c r="AE128" s="58"/>
      <c r="AF128" s="58"/>
      <c r="AG128" s="58"/>
    </row>
    <row r="129" spans="1:33" ht="15" customHeight="1">
      <c r="A129" s="33" t="s">
        <v>128</v>
      </c>
      <c r="B129" s="52">
        <f>'Расчет субсидий'!AT129</f>
        <v>-40.827272727272714</v>
      </c>
      <c r="C129" s="54">
        <f>'Расчет субсидий'!D129-1</f>
        <v>-0.11489936917993393</v>
      </c>
      <c r="D129" s="54">
        <f>C129*'Расчет субсидий'!E129</f>
        <v>-1.1489936917993393</v>
      </c>
      <c r="E129" s="55">
        <f t="shared" ref="E129:E136" si="45">$B129*D129/$AG129</f>
        <v>-2.3285744462304803</v>
      </c>
      <c r="F129" s="27" t="s">
        <v>367</v>
      </c>
      <c r="G129" s="27" t="s">
        <v>367</v>
      </c>
      <c r="H129" s="27" t="s">
        <v>367</v>
      </c>
      <c r="I129" s="27" t="s">
        <v>367</v>
      </c>
      <c r="J129" s="27" t="s">
        <v>367</v>
      </c>
      <c r="K129" s="27" t="s">
        <v>367</v>
      </c>
      <c r="L129" s="54">
        <f>'Расчет субсидий'!P129-1</f>
        <v>-0.48420753106326475</v>
      </c>
      <c r="M129" s="54">
        <f>L129*'Расчет субсидий'!Q129</f>
        <v>-9.6841506212652959</v>
      </c>
      <c r="N129" s="55">
        <f t="shared" ref="N129:N136" si="46">$B129*M129/$AG129</f>
        <v>-19.626100500875147</v>
      </c>
      <c r="O129" s="54">
        <f>'Расчет субсидий'!T129-1</f>
        <v>-5.4087193460490512E-2</v>
      </c>
      <c r="P129" s="54">
        <f>O129*'Расчет субсидий'!U129</f>
        <v>-1.6226158038147154</v>
      </c>
      <c r="Q129" s="55">
        <f t="shared" ref="Q129:Q136" si="47">$B129*P129/$AG129</f>
        <v>-3.288426841487424</v>
      </c>
      <c r="R129" s="54">
        <f>'Расчет субсидий'!X129-1</f>
        <v>-0.39512195121951221</v>
      </c>
      <c r="S129" s="54">
        <f>R129*'Расчет субсидий'!Y129</f>
        <v>-7.9024390243902438</v>
      </c>
      <c r="T129" s="55">
        <f t="shared" ref="T129:T136" si="48">$B129*S129/$AG129</f>
        <v>-16.015246825483249</v>
      </c>
      <c r="U129" s="60">
        <f>'Расчет субсидий'!AB129-1</f>
        <v>3.8447181784247775E-2</v>
      </c>
      <c r="V129" s="60">
        <f>U129*'Расчет субсидий'!AC129</f>
        <v>0.19223590892123887</v>
      </c>
      <c r="W129" s="55">
        <f t="shared" si="38"/>
        <v>0.38958928004285515</v>
      </c>
      <c r="X129" s="71">
        <f>'Расчет субсидий'!AF129-1</f>
        <v>1.0235414534287557E-3</v>
      </c>
      <c r="Y129" s="71">
        <f>X129*'Расчет субсидий'!AG129</f>
        <v>2.0470829068575114E-2</v>
      </c>
      <c r="Z129" s="55">
        <f t="shared" si="39"/>
        <v>4.1486606760727844E-2</v>
      </c>
      <c r="AA129" s="27" t="s">
        <v>367</v>
      </c>
      <c r="AB129" s="27" t="s">
        <v>367</v>
      </c>
      <c r="AC129" s="27" t="s">
        <v>367</v>
      </c>
      <c r="AD129" s="27" t="s">
        <v>367</v>
      </c>
      <c r="AE129" s="27" t="s">
        <v>367</v>
      </c>
      <c r="AF129" s="27" t="s">
        <v>367</v>
      </c>
      <c r="AG129" s="54">
        <f t="shared" si="40"/>
        <v>-20.145492403279778</v>
      </c>
    </row>
    <row r="130" spans="1:33" ht="15" customHeight="1">
      <c r="A130" s="33" t="s">
        <v>129</v>
      </c>
      <c r="B130" s="52">
        <f>'Расчет субсидий'!AT130</f>
        <v>-43.481818181818198</v>
      </c>
      <c r="C130" s="54">
        <f>'Расчет субсидий'!D130-1</f>
        <v>-1</v>
      </c>
      <c r="D130" s="54">
        <f>C130*'Расчет субсидий'!E130</f>
        <v>0</v>
      </c>
      <c r="E130" s="55">
        <f t="shared" si="45"/>
        <v>0</v>
      </c>
      <c r="F130" s="27" t="s">
        <v>367</v>
      </c>
      <c r="G130" s="27" t="s">
        <v>367</v>
      </c>
      <c r="H130" s="27" t="s">
        <v>367</v>
      </c>
      <c r="I130" s="27" t="s">
        <v>367</v>
      </c>
      <c r="J130" s="27" t="s">
        <v>367</v>
      </c>
      <c r="K130" s="27" t="s">
        <v>367</v>
      </c>
      <c r="L130" s="54">
        <f>'Расчет субсидий'!P130-1</f>
        <v>-0.71160822249093103</v>
      </c>
      <c r="M130" s="54">
        <f>L130*'Расчет субсидий'!Q130</f>
        <v>-14.232164449818621</v>
      </c>
      <c r="N130" s="55">
        <f t="shared" si="46"/>
        <v>-52.503699197797786</v>
      </c>
      <c r="O130" s="54">
        <f>'Расчет субсидий'!T130-1</f>
        <v>4.6306818181818254E-2</v>
      </c>
      <c r="P130" s="54">
        <f>O130*'Расчет субсидий'!U130</f>
        <v>1.8522727272727302</v>
      </c>
      <c r="Q130" s="55">
        <f t="shared" si="47"/>
        <v>6.8331960643028795</v>
      </c>
      <c r="R130" s="54">
        <f>'Расчет субсидий'!X130-1</f>
        <v>2.1428571428571574E-2</v>
      </c>
      <c r="S130" s="54">
        <f>R130*'Расчет субсидий'!Y130</f>
        <v>0.21428571428571574</v>
      </c>
      <c r="T130" s="55">
        <f t="shared" si="48"/>
        <v>0.79051873837684927</v>
      </c>
      <c r="U130" s="60">
        <f>'Расчет субсидий'!AB130-1</f>
        <v>7.5800112296462663E-2</v>
      </c>
      <c r="V130" s="60">
        <f>U130*'Расчет субсидий'!AC130</f>
        <v>0.37900056148231331</v>
      </c>
      <c r="W130" s="55">
        <f t="shared" si="38"/>
        <v>1.398166213299864</v>
      </c>
      <c r="X130" s="71">
        <f>'Расчет субсидий'!AF130-1</f>
        <v>0</v>
      </c>
      <c r="Y130" s="71">
        <f>X130*'Расчет субсидий'!AG130</f>
        <v>0</v>
      </c>
      <c r="Z130" s="55">
        <f t="shared" si="39"/>
        <v>0</v>
      </c>
      <c r="AA130" s="27" t="s">
        <v>367</v>
      </c>
      <c r="AB130" s="27" t="s">
        <v>367</v>
      </c>
      <c r="AC130" s="27" t="s">
        <v>367</v>
      </c>
      <c r="AD130" s="27" t="s">
        <v>367</v>
      </c>
      <c r="AE130" s="27" t="s">
        <v>367</v>
      </c>
      <c r="AF130" s="27" t="s">
        <v>367</v>
      </c>
      <c r="AG130" s="54">
        <f t="shared" si="40"/>
        <v>-11.786605446777862</v>
      </c>
    </row>
    <row r="131" spans="1:33" ht="15" customHeight="1">
      <c r="A131" s="33" t="s">
        <v>130</v>
      </c>
      <c r="B131" s="52">
        <f>'Расчет субсидий'!AT131</f>
        <v>11.372727272727275</v>
      </c>
      <c r="C131" s="54">
        <f>'Расчет субсидий'!D131-1</f>
        <v>6.6031634446397147E-2</v>
      </c>
      <c r="D131" s="54">
        <f>C131*'Расчет субсидий'!E131</f>
        <v>0.66031634446397147</v>
      </c>
      <c r="E131" s="55">
        <f t="shared" si="45"/>
        <v>2.4610883340768446</v>
      </c>
      <c r="F131" s="27" t="s">
        <v>367</v>
      </c>
      <c r="G131" s="27" t="s">
        <v>367</v>
      </c>
      <c r="H131" s="27" t="s">
        <v>367</v>
      </c>
      <c r="I131" s="27" t="s">
        <v>367</v>
      </c>
      <c r="J131" s="27" t="s">
        <v>367</v>
      </c>
      <c r="K131" s="27" t="s">
        <v>367</v>
      </c>
      <c r="L131" s="54">
        <f>'Расчет субсидий'!P131-1</f>
        <v>-0.16855437827304831</v>
      </c>
      <c r="M131" s="54">
        <f>L131*'Расчет субсидий'!Q131</f>
        <v>-3.3710875654609662</v>
      </c>
      <c r="N131" s="55">
        <f t="shared" si="46"/>
        <v>-12.564499349538933</v>
      </c>
      <c r="O131" s="54">
        <f>'Расчет субсидий'!T131-1</f>
        <v>0.19336734693877555</v>
      </c>
      <c r="P131" s="54">
        <f>O131*'Расчет субсидий'!U131</f>
        <v>3.8673469387755111</v>
      </c>
      <c r="Q131" s="55">
        <f t="shared" si="47"/>
        <v>14.414125160834221</v>
      </c>
      <c r="R131" s="54">
        <f>'Расчет субсидий'!X131-1</f>
        <v>4.4444444444444509E-2</v>
      </c>
      <c r="S131" s="54">
        <f>R131*'Расчет субсидий'!Y131</f>
        <v>1.3333333333333353</v>
      </c>
      <c r="T131" s="55">
        <f t="shared" si="48"/>
        <v>4.9695136878162014</v>
      </c>
      <c r="U131" s="60">
        <f>'Расчет субсидий'!AB131-1</f>
        <v>1.3799750290232948E-2</v>
      </c>
      <c r="V131" s="60">
        <f>U131*'Расчет субсидий'!AC131</f>
        <v>6.8998751451164742E-2</v>
      </c>
      <c r="W131" s="55">
        <f t="shared" si="38"/>
        <v>0.25716767983409305</v>
      </c>
      <c r="X131" s="71">
        <f>'Расчет субсидий'!AF131-1</f>
        <v>2.4621212121212155E-2</v>
      </c>
      <c r="Y131" s="71">
        <f>X131*'Расчет субсидий'!AG131</f>
        <v>0.4924242424242431</v>
      </c>
      <c r="Z131" s="55">
        <f t="shared" si="39"/>
        <v>1.8353317597048471</v>
      </c>
      <c r="AA131" s="27" t="s">
        <v>367</v>
      </c>
      <c r="AB131" s="27" t="s">
        <v>367</v>
      </c>
      <c r="AC131" s="27" t="s">
        <v>367</v>
      </c>
      <c r="AD131" s="27" t="s">
        <v>367</v>
      </c>
      <c r="AE131" s="27" t="s">
        <v>367</v>
      </c>
      <c r="AF131" s="27" t="s">
        <v>367</v>
      </c>
      <c r="AG131" s="54">
        <f t="shared" si="40"/>
        <v>3.0513320449872596</v>
      </c>
    </row>
    <row r="132" spans="1:33" ht="15" customHeight="1">
      <c r="A132" s="33" t="s">
        <v>131</v>
      </c>
      <c r="B132" s="52">
        <f>'Расчет субсидий'!AT132</f>
        <v>-43.699999999999989</v>
      </c>
      <c r="C132" s="54">
        <f>'Расчет субсидий'!D132-1</f>
        <v>-1</v>
      </c>
      <c r="D132" s="54">
        <f>C132*'Расчет субсидий'!E132</f>
        <v>0</v>
      </c>
      <c r="E132" s="55">
        <f t="shared" si="45"/>
        <v>0</v>
      </c>
      <c r="F132" s="27" t="s">
        <v>367</v>
      </c>
      <c r="G132" s="27" t="s">
        <v>367</v>
      </c>
      <c r="H132" s="27" t="s">
        <v>367</v>
      </c>
      <c r="I132" s="27" t="s">
        <v>367</v>
      </c>
      <c r="J132" s="27" t="s">
        <v>367</v>
      </c>
      <c r="K132" s="27" t="s">
        <v>367</v>
      </c>
      <c r="L132" s="54">
        <f>'Расчет субсидий'!P132-1</f>
        <v>-0.37215136943340998</v>
      </c>
      <c r="M132" s="54">
        <f>L132*'Расчет субсидий'!Q132</f>
        <v>-7.4430273886681997</v>
      </c>
      <c r="N132" s="55">
        <f t="shared" si="46"/>
        <v>-32.774124271638577</v>
      </c>
      <c r="O132" s="54">
        <f>'Расчет субсидий'!T132-1</f>
        <v>-1.2558139534883717E-2</v>
      </c>
      <c r="P132" s="54">
        <f>O132*'Расчет субсидий'!U132</f>
        <v>-0.25116279069767433</v>
      </c>
      <c r="Q132" s="55">
        <f t="shared" si="47"/>
        <v>-1.105953274774935</v>
      </c>
      <c r="R132" s="54">
        <f>'Расчет субсидий'!X132-1</f>
        <v>-0.27083333333333337</v>
      </c>
      <c r="S132" s="54">
        <f>R132*'Расчет субсидий'!Y132</f>
        <v>-2.7083333333333339</v>
      </c>
      <c r="T132" s="55">
        <f t="shared" si="48"/>
        <v>-11.925692141188058</v>
      </c>
      <c r="U132" s="60">
        <f>'Расчет субсидий'!AB132-1</f>
        <v>9.5644364616075395E-2</v>
      </c>
      <c r="V132" s="60">
        <f>U132*'Расчет субсидий'!AC132</f>
        <v>0.47822182308037697</v>
      </c>
      <c r="W132" s="55">
        <f t="shared" si="38"/>
        <v>2.1057696876015788</v>
      </c>
      <c r="X132" s="71">
        <f>'Расчет субсидий'!AF132-1</f>
        <v>0</v>
      </c>
      <c r="Y132" s="71">
        <f>X132*'Расчет субсидий'!AG132</f>
        <v>0</v>
      </c>
      <c r="Z132" s="55">
        <f t="shared" si="39"/>
        <v>0</v>
      </c>
      <c r="AA132" s="27" t="s">
        <v>367</v>
      </c>
      <c r="AB132" s="27" t="s">
        <v>367</v>
      </c>
      <c r="AC132" s="27" t="s">
        <v>367</v>
      </c>
      <c r="AD132" s="27" t="s">
        <v>367</v>
      </c>
      <c r="AE132" s="27" t="s">
        <v>367</v>
      </c>
      <c r="AF132" s="27" t="s">
        <v>367</v>
      </c>
      <c r="AG132" s="54">
        <f t="shared" si="40"/>
        <v>-9.9243016896188312</v>
      </c>
    </row>
    <row r="133" spans="1:33" ht="15" customHeight="1">
      <c r="A133" s="33" t="s">
        <v>132</v>
      </c>
      <c r="B133" s="52">
        <f>'Расчет субсидий'!AT133</f>
        <v>-39.663636363636385</v>
      </c>
      <c r="C133" s="54">
        <f>'Расчет субсидий'!D133-1</f>
        <v>-1</v>
      </c>
      <c r="D133" s="54">
        <f>C133*'Расчет субсидий'!E133</f>
        <v>0</v>
      </c>
      <c r="E133" s="55">
        <f t="shared" si="45"/>
        <v>0</v>
      </c>
      <c r="F133" s="27" t="s">
        <v>367</v>
      </c>
      <c r="G133" s="27" t="s">
        <v>367</v>
      </c>
      <c r="H133" s="27" t="s">
        <v>367</v>
      </c>
      <c r="I133" s="27" t="s">
        <v>367</v>
      </c>
      <c r="J133" s="27" t="s">
        <v>367</v>
      </c>
      <c r="K133" s="27" t="s">
        <v>367</v>
      </c>
      <c r="L133" s="54">
        <f>'Расчет субсидий'!P133-1</f>
        <v>-0.74895977808599157</v>
      </c>
      <c r="M133" s="54">
        <f>L133*'Расчет субсидий'!Q133</f>
        <v>-14.97919556171983</v>
      </c>
      <c r="N133" s="55">
        <f t="shared" si="46"/>
        <v>-81.998983835518104</v>
      </c>
      <c r="O133" s="54">
        <f>'Расчет субсидий'!T133-1</f>
        <v>0.14292682926829281</v>
      </c>
      <c r="P133" s="54">
        <f>O133*'Расчет субсидий'!U133</f>
        <v>5.0024390243902488</v>
      </c>
      <c r="Q133" s="55">
        <f t="shared" si="47"/>
        <v>27.384308790748211</v>
      </c>
      <c r="R133" s="54">
        <f>'Расчет субсидий'!X133-1</f>
        <v>0.19090909090909092</v>
      </c>
      <c r="S133" s="54">
        <f>R133*'Расчет субсидий'!Y133</f>
        <v>2.8636363636363638</v>
      </c>
      <c r="T133" s="55">
        <f t="shared" si="48"/>
        <v>15.676093614312878</v>
      </c>
      <c r="U133" s="60">
        <f>'Расчет субсидий'!AB133-1</f>
        <v>0.2132920792079207</v>
      </c>
      <c r="V133" s="60">
        <f>U133*'Расчет субсидий'!AC133</f>
        <v>1.0664603960396035</v>
      </c>
      <c r="W133" s="55">
        <f t="shared" si="38"/>
        <v>5.8380083506988605</v>
      </c>
      <c r="X133" s="71">
        <f>'Расчет субсидий'!AF133-1</f>
        <v>-5.9945504087193457E-2</v>
      </c>
      <c r="Y133" s="71">
        <f>X133*'Расчет субсидий'!AG133</f>
        <v>-1.1989100817438691</v>
      </c>
      <c r="Z133" s="55">
        <f t="shared" si="39"/>
        <v>-6.5630632838782335</v>
      </c>
      <c r="AA133" s="27" t="s">
        <v>367</v>
      </c>
      <c r="AB133" s="27" t="s">
        <v>367</v>
      </c>
      <c r="AC133" s="27" t="s">
        <v>367</v>
      </c>
      <c r="AD133" s="27" t="s">
        <v>367</v>
      </c>
      <c r="AE133" s="27" t="s">
        <v>367</v>
      </c>
      <c r="AF133" s="27" t="s">
        <v>367</v>
      </c>
      <c r="AG133" s="54">
        <f t="shared" si="40"/>
        <v>-7.2455698593974835</v>
      </c>
    </row>
    <row r="134" spans="1:33" ht="15" customHeight="1">
      <c r="A134" s="33" t="s">
        <v>133</v>
      </c>
      <c r="B134" s="52">
        <f>'Расчет субсидий'!AT134</f>
        <v>-5.5636363636363626</v>
      </c>
      <c r="C134" s="54">
        <f>'Расчет субсидий'!D134-1</f>
        <v>-0.22764227642276424</v>
      </c>
      <c r="D134" s="54">
        <f>C134*'Расчет субсидий'!E134</f>
        <v>-2.2764227642276422</v>
      </c>
      <c r="E134" s="55">
        <f t="shared" si="45"/>
        <v>-3.6854467338678845</v>
      </c>
      <c r="F134" s="27" t="s">
        <v>367</v>
      </c>
      <c r="G134" s="27" t="s">
        <v>367</v>
      </c>
      <c r="H134" s="27" t="s">
        <v>367</v>
      </c>
      <c r="I134" s="27" t="s">
        <v>367</v>
      </c>
      <c r="J134" s="27" t="s">
        <v>367</v>
      </c>
      <c r="K134" s="27" t="s">
        <v>367</v>
      </c>
      <c r="L134" s="54">
        <f>'Расчет субсидий'!P134-1</f>
        <v>-0.43329253365973075</v>
      </c>
      <c r="M134" s="54">
        <f>L134*'Расчет субсидий'!Q134</f>
        <v>-8.6658506731946154</v>
      </c>
      <c r="N134" s="55">
        <f t="shared" si="46"/>
        <v>-14.029701144087731</v>
      </c>
      <c r="O134" s="54">
        <f>'Расчет субсидий'!T134-1</f>
        <v>7.2783825816485237E-2</v>
      </c>
      <c r="P134" s="54">
        <f>O134*'Расчет субсидий'!U134</f>
        <v>2.5474339035769833</v>
      </c>
      <c r="Q134" s="55">
        <f t="shared" si="47"/>
        <v>4.1242040394317838</v>
      </c>
      <c r="R134" s="54">
        <f>'Расчет субсидий'!X134-1</f>
        <v>0.2592592592592593</v>
      </c>
      <c r="S134" s="54">
        <f>R134*'Расчет субсидий'!Y134</f>
        <v>3.8888888888888893</v>
      </c>
      <c r="T134" s="55">
        <f t="shared" si="48"/>
        <v>6.2959715036909705</v>
      </c>
      <c r="U134" s="60">
        <f>'Расчет субсидий'!AB134-1</f>
        <v>0.17825853745753628</v>
      </c>
      <c r="V134" s="60">
        <f>U134*'Расчет субсидий'!AC134</f>
        <v>0.89129268728768141</v>
      </c>
      <c r="W134" s="55">
        <f t="shared" si="38"/>
        <v>1.4429708641572143</v>
      </c>
      <c r="X134" s="71">
        <f>'Расчет субсидий'!AF134-1</f>
        <v>8.9058524173029063E-3</v>
      </c>
      <c r="Y134" s="71">
        <f>X134*'Расчет субсидий'!AG134</f>
        <v>0.17811704834605813</v>
      </c>
      <c r="Z134" s="55">
        <f t="shared" si="39"/>
        <v>0.28836510703928453</v>
      </c>
      <c r="AA134" s="27" t="s">
        <v>367</v>
      </c>
      <c r="AB134" s="27" t="s">
        <v>367</v>
      </c>
      <c r="AC134" s="27" t="s">
        <v>367</v>
      </c>
      <c r="AD134" s="27" t="s">
        <v>367</v>
      </c>
      <c r="AE134" s="27" t="s">
        <v>367</v>
      </c>
      <c r="AF134" s="27" t="s">
        <v>367</v>
      </c>
      <c r="AG134" s="54">
        <f t="shared" si="40"/>
        <v>-3.436540909322646</v>
      </c>
    </row>
    <row r="135" spans="1:33" ht="15" customHeight="1">
      <c r="A135" s="33" t="s">
        <v>134</v>
      </c>
      <c r="B135" s="52">
        <f>'Расчет субсидий'!AT135</f>
        <v>15.127272727272725</v>
      </c>
      <c r="C135" s="54">
        <f>'Расчет субсидий'!D135-1</f>
        <v>-1</v>
      </c>
      <c r="D135" s="54">
        <f>C135*'Расчет субсидий'!E135</f>
        <v>0</v>
      </c>
      <c r="E135" s="55">
        <f t="shared" si="45"/>
        <v>0</v>
      </c>
      <c r="F135" s="27" t="s">
        <v>367</v>
      </c>
      <c r="G135" s="27" t="s">
        <v>367</v>
      </c>
      <c r="H135" s="27" t="s">
        <v>367</v>
      </c>
      <c r="I135" s="27" t="s">
        <v>367</v>
      </c>
      <c r="J135" s="27" t="s">
        <v>367</v>
      </c>
      <c r="K135" s="27" t="s">
        <v>367</v>
      </c>
      <c r="L135" s="54">
        <f>'Расчет субсидий'!P135-1</f>
        <v>-0.13930600649350655</v>
      </c>
      <c r="M135" s="54">
        <f>L135*'Расчет субсидий'!Q135</f>
        <v>-2.786120129870131</v>
      </c>
      <c r="N135" s="55">
        <f t="shared" si="46"/>
        <v>-9.661309638700935</v>
      </c>
      <c r="O135" s="54">
        <f>'Расчет субсидий'!T135-1</f>
        <v>0.13084384093113499</v>
      </c>
      <c r="P135" s="54">
        <f>O135*'Расчет субсидий'!U135</f>
        <v>4.5795344325897247</v>
      </c>
      <c r="Q135" s="55">
        <f t="shared" si="47"/>
        <v>15.880255729103924</v>
      </c>
      <c r="R135" s="54">
        <f>'Расчет субсидий'!X135-1</f>
        <v>1.08108108108107E-2</v>
      </c>
      <c r="S135" s="54">
        <f>R135*'Расчет субсидий'!Y135</f>
        <v>0.16216216216216051</v>
      </c>
      <c r="T135" s="55">
        <f t="shared" si="48"/>
        <v>0.56232279560856313</v>
      </c>
      <c r="U135" s="60">
        <f>'Расчет субсидий'!AB135-1</f>
        <v>0.21012084592145008</v>
      </c>
      <c r="V135" s="60">
        <f>U135*'Расчет субсидий'!AC135</f>
        <v>1.0506042296072504</v>
      </c>
      <c r="W135" s="55">
        <f t="shared" si="38"/>
        <v>3.6431353627374379</v>
      </c>
      <c r="X135" s="71">
        <f>'Расчет субсидий'!AF135-1</f>
        <v>6.781045751633985E-2</v>
      </c>
      <c r="Y135" s="71">
        <f>X135*'Расчет субсидий'!AG135</f>
        <v>1.356209150326797</v>
      </c>
      <c r="Z135" s="55">
        <f t="shared" si="39"/>
        <v>4.7028684785237322</v>
      </c>
      <c r="AA135" s="27" t="s">
        <v>367</v>
      </c>
      <c r="AB135" s="27" t="s">
        <v>367</v>
      </c>
      <c r="AC135" s="27" t="s">
        <v>367</v>
      </c>
      <c r="AD135" s="27" t="s">
        <v>367</v>
      </c>
      <c r="AE135" s="27" t="s">
        <v>367</v>
      </c>
      <c r="AF135" s="27" t="s">
        <v>367</v>
      </c>
      <c r="AG135" s="54">
        <f t="shared" si="40"/>
        <v>4.3623898448158016</v>
      </c>
    </row>
    <row r="136" spans="1:33" ht="15" customHeight="1">
      <c r="A136" s="33" t="s">
        <v>135</v>
      </c>
      <c r="B136" s="52">
        <f>'Расчет субсидий'!AT136</f>
        <v>-31.672727272727286</v>
      </c>
      <c r="C136" s="54">
        <f>'Расчет субсидий'!D136-1</f>
        <v>-1</v>
      </c>
      <c r="D136" s="54">
        <f>C136*'Расчет субсидий'!E136</f>
        <v>0</v>
      </c>
      <c r="E136" s="55">
        <f t="shared" si="45"/>
        <v>0</v>
      </c>
      <c r="F136" s="27" t="s">
        <v>367</v>
      </c>
      <c r="G136" s="27" t="s">
        <v>367</v>
      </c>
      <c r="H136" s="27" t="s">
        <v>367</v>
      </c>
      <c r="I136" s="27" t="s">
        <v>367</v>
      </c>
      <c r="J136" s="27" t="s">
        <v>367</v>
      </c>
      <c r="K136" s="27" t="s">
        <v>367</v>
      </c>
      <c r="L136" s="54">
        <f>'Расчет субсидий'!P136-1</f>
        <v>-0.23822463768115942</v>
      </c>
      <c r="M136" s="54">
        <f>L136*'Расчет субсидий'!Q136</f>
        <v>-4.7644927536231885</v>
      </c>
      <c r="N136" s="55">
        <f t="shared" si="46"/>
        <v>-9.3412455096049136</v>
      </c>
      <c r="O136" s="54">
        <f>'Расчет субсидий'!T136-1</f>
        <v>-0.59375</v>
      </c>
      <c r="P136" s="54">
        <f>O136*'Расчет субсидий'!U136</f>
        <v>-14.84375</v>
      </c>
      <c r="Q136" s="55">
        <f t="shared" si="47"/>
        <v>-29.102597108108466</v>
      </c>
      <c r="R136" s="54">
        <f>'Расчет субсидий'!X136-1</f>
        <v>0.10000000000000009</v>
      </c>
      <c r="S136" s="54">
        <f>R136*'Расчет субсидий'!Y136</f>
        <v>2.5000000000000022</v>
      </c>
      <c r="T136" s="55">
        <f t="shared" si="48"/>
        <v>4.901490039260378</v>
      </c>
      <c r="U136" s="60">
        <f>'Расчет субсидий'!AB136-1</f>
        <v>0.19072009641458276</v>
      </c>
      <c r="V136" s="60">
        <f>U136*'Расчет субсидий'!AC136</f>
        <v>0.95360048207291381</v>
      </c>
      <c r="W136" s="55">
        <f t="shared" si="38"/>
        <v>1.8696253057257108</v>
      </c>
      <c r="X136" s="71">
        <f>'Расчет субсидий'!AF136-1</f>
        <v>0</v>
      </c>
      <c r="Y136" s="71">
        <f>X136*'Расчет субсидий'!AG136</f>
        <v>0</v>
      </c>
      <c r="Z136" s="55">
        <f t="shared" si="39"/>
        <v>0</v>
      </c>
      <c r="AA136" s="27" t="s">
        <v>367</v>
      </c>
      <c r="AB136" s="27" t="s">
        <v>367</v>
      </c>
      <c r="AC136" s="27" t="s">
        <v>367</v>
      </c>
      <c r="AD136" s="27" t="s">
        <v>367</v>
      </c>
      <c r="AE136" s="27" t="s">
        <v>367</v>
      </c>
      <c r="AF136" s="27" t="s">
        <v>367</v>
      </c>
      <c r="AG136" s="54">
        <f t="shared" si="40"/>
        <v>-16.154642271550269</v>
      </c>
    </row>
    <row r="137" spans="1:33" ht="15" customHeight="1">
      <c r="A137" s="32" t="s">
        <v>136</v>
      </c>
      <c r="B137" s="56"/>
      <c r="C137" s="57"/>
      <c r="D137" s="57"/>
      <c r="E137" s="58"/>
      <c r="F137" s="57"/>
      <c r="G137" s="57"/>
      <c r="H137" s="58"/>
      <c r="I137" s="58"/>
      <c r="J137" s="58"/>
      <c r="K137" s="58"/>
      <c r="L137" s="57"/>
      <c r="M137" s="57"/>
      <c r="N137" s="58"/>
      <c r="O137" s="57"/>
      <c r="P137" s="57"/>
      <c r="Q137" s="58"/>
      <c r="R137" s="57"/>
      <c r="S137" s="57"/>
      <c r="T137" s="58"/>
      <c r="U137" s="58"/>
      <c r="V137" s="58"/>
      <c r="W137" s="58"/>
      <c r="X137" s="73"/>
      <c r="Y137" s="73"/>
      <c r="Z137" s="58"/>
      <c r="AA137" s="58"/>
      <c r="AB137" s="58"/>
      <c r="AC137" s="58"/>
      <c r="AD137" s="58"/>
      <c r="AE137" s="58"/>
      <c r="AF137" s="58"/>
      <c r="AG137" s="58"/>
    </row>
    <row r="138" spans="1:33" ht="15" customHeight="1">
      <c r="A138" s="33" t="s">
        <v>137</v>
      </c>
      <c r="B138" s="52">
        <f>'Расчет субсидий'!AT138</f>
        <v>4.9272727272727366</v>
      </c>
      <c r="C138" s="54">
        <f>'Расчет субсидий'!D138-1</f>
        <v>-1</v>
      </c>
      <c r="D138" s="54">
        <f>C138*'Расчет субсидий'!E138</f>
        <v>0</v>
      </c>
      <c r="E138" s="55">
        <f t="shared" ref="E138:E143" si="49">$B138*D138/$AG138</f>
        <v>0</v>
      </c>
      <c r="F138" s="27" t="s">
        <v>367</v>
      </c>
      <c r="G138" s="27" t="s">
        <v>367</v>
      </c>
      <c r="H138" s="27" t="s">
        <v>367</v>
      </c>
      <c r="I138" s="27" t="s">
        <v>367</v>
      </c>
      <c r="J138" s="27" t="s">
        <v>367</v>
      </c>
      <c r="K138" s="27" t="s">
        <v>367</v>
      </c>
      <c r="L138" s="54">
        <f>'Расчет субсидий'!P138-1</f>
        <v>0.30000000000000004</v>
      </c>
      <c r="M138" s="54">
        <f>L138*'Расчет субсидий'!Q138</f>
        <v>6.0000000000000009</v>
      </c>
      <c r="N138" s="55">
        <f t="shared" ref="N138:N143" si="50">$B138*M138/$AG138</f>
        <v>16.375557466141888</v>
      </c>
      <c r="O138" s="54">
        <f>'Расчет субсидий'!T138-1</f>
        <v>0</v>
      </c>
      <c r="P138" s="54">
        <f>O138*'Расчет субсидий'!U138</f>
        <v>0</v>
      </c>
      <c r="Q138" s="55">
        <f t="shared" ref="Q138:Q143" si="51">$B138*P138/$AG138</f>
        <v>0</v>
      </c>
      <c r="R138" s="54">
        <f>'Расчет субсидий'!X138-1</f>
        <v>4.7619047619047672E-2</v>
      </c>
      <c r="S138" s="54">
        <f>R138*'Расчет субсидий'!Y138</f>
        <v>0.95238095238095344</v>
      </c>
      <c r="T138" s="55">
        <f t="shared" ref="T138:T143" si="52">$B138*S138/$AG138</f>
        <v>2.5992948358955403</v>
      </c>
      <c r="U138" s="60">
        <f>'Расчет субсидий'!AB138-1</f>
        <v>-4.7587719298245568E-2</v>
      </c>
      <c r="V138" s="60">
        <f>U138*'Расчет субсидий'!AC138</f>
        <v>-0.23793859649122784</v>
      </c>
      <c r="W138" s="55">
        <f t="shared" si="38"/>
        <v>-0.64939619337587473</v>
      </c>
      <c r="X138" s="71">
        <f>'Расчет субсидий'!AF138-1</f>
        <v>-0.24545454545454548</v>
      </c>
      <c r="Y138" s="71">
        <f>X138*'Расчет субсидий'!AG138</f>
        <v>-4.9090909090909101</v>
      </c>
      <c r="Z138" s="55">
        <f t="shared" si="39"/>
        <v>-13.39818338138882</v>
      </c>
      <c r="AA138" s="27" t="s">
        <v>367</v>
      </c>
      <c r="AB138" s="27" t="s">
        <v>367</v>
      </c>
      <c r="AC138" s="27" t="s">
        <v>367</v>
      </c>
      <c r="AD138" s="27" t="s">
        <v>367</v>
      </c>
      <c r="AE138" s="27" t="s">
        <v>367</v>
      </c>
      <c r="AF138" s="27" t="s">
        <v>367</v>
      </c>
      <c r="AG138" s="54">
        <f t="shared" si="40"/>
        <v>1.8053514467988165</v>
      </c>
    </row>
    <row r="139" spans="1:33" ht="15" customHeight="1">
      <c r="A139" s="33" t="s">
        <v>138</v>
      </c>
      <c r="B139" s="52">
        <f>'Расчет субсидий'!AT139</f>
        <v>-38.981818181818198</v>
      </c>
      <c r="C139" s="54">
        <f>'Расчет субсидий'!D139-1</f>
        <v>-1</v>
      </c>
      <c r="D139" s="54">
        <f>C139*'Расчет субсидий'!E139</f>
        <v>0</v>
      </c>
      <c r="E139" s="55">
        <f t="shared" si="49"/>
        <v>0</v>
      </c>
      <c r="F139" s="27" t="s">
        <v>367</v>
      </c>
      <c r="G139" s="27" t="s">
        <v>367</v>
      </c>
      <c r="H139" s="27" t="s">
        <v>367</v>
      </c>
      <c r="I139" s="27" t="s">
        <v>367</v>
      </c>
      <c r="J139" s="27" t="s">
        <v>367</v>
      </c>
      <c r="K139" s="27" t="s">
        <v>367</v>
      </c>
      <c r="L139" s="54">
        <f>'Расчет субсидий'!P139-1</f>
        <v>-0.7248270561106841</v>
      </c>
      <c r="M139" s="54">
        <f>L139*'Расчет субсидий'!Q139</f>
        <v>-14.496541122213682</v>
      </c>
      <c r="N139" s="55">
        <f t="shared" si="50"/>
        <v>-45.233444451175984</v>
      </c>
      <c r="O139" s="54">
        <f>'Расчет субсидий'!T139-1</f>
        <v>0</v>
      </c>
      <c r="P139" s="54">
        <f>O139*'Расчет субсидий'!U139</f>
        <v>0</v>
      </c>
      <c r="Q139" s="55">
        <f t="shared" si="51"/>
        <v>0</v>
      </c>
      <c r="R139" s="54">
        <f>'Расчет субсидий'!X139-1</f>
        <v>0.14999999999999991</v>
      </c>
      <c r="S139" s="54">
        <f>R139*'Расчет субсидий'!Y139</f>
        <v>2.2499999999999987</v>
      </c>
      <c r="T139" s="55">
        <f t="shared" si="52"/>
        <v>7.0206574904403398</v>
      </c>
      <c r="U139" s="60">
        <f>'Расчет субсидий'!AB139-1</f>
        <v>-4.9292256452955874E-2</v>
      </c>
      <c r="V139" s="60">
        <f>U139*'Расчет субсидий'!AC139</f>
        <v>-0.24646128226477937</v>
      </c>
      <c r="W139" s="55">
        <f t="shared" si="38"/>
        <v>-0.76903122108255795</v>
      </c>
      <c r="X139" s="71">
        <f>'Расчет субсидий'!AF139-1</f>
        <v>0</v>
      </c>
      <c r="Y139" s="71">
        <f>X139*'Расчет субсидий'!AG139</f>
        <v>0</v>
      </c>
      <c r="Z139" s="55">
        <f t="shared" si="39"/>
        <v>0</v>
      </c>
      <c r="AA139" s="27" t="s">
        <v>367</v>
      </c>
      <c r="AB139" s="27" t="s">
        <v>367</v>
      </c>
      <c r="AC139" s="27" t="s">
        <v>367</v>
      </c>
      <c r="AD139" s="27" t="s">
        <v>367</v>
      </c>
      <c r="AE139" s="27" t="s">
        <v>367</v>
      </c>
      <c r="AF139" s="27" t="s">
        <v>367</v>
      </c>
      <c r="AG139" s="54">
        <f t="shared" si="40"/>
        <v>-12.493002404478462</v>
      </c>
    </row>
    <row r="140" spans="1:33" ht="15" customHeight="1">
      <c r="A140" s="33" t="s">
        <v>139</v>
      </c>
      <c r="B140" s="52">
        <f>'Расчет субсидий'!AT140</f>
        <v>-41.609090909090867</v>
      </c>
      <c r="C140" s="54">
        <f>'Расчет субсидий'!D140-1</f>
        <v>-1</v>
      </c>
      <c r="D140" s="54">
        <f>C140*'Расчет субсидий'!E140</f>
        <v>0</v>
      </c>
      <c r="E140" s="55">
        <f t="shared" si="49"/>
        <v>0</v>
      </c>
      <c r="F140" s="27" t="s">
        <v>367</v>
      </c>
      <c r="G140" s="27" t="s">
        <v>367</v>
      </c>
      <c r="H140" s="27" t="s">
        <v>367</v>
      </c>
      <c r="I140" s="27" t="s">
        <v>367</v>
      </c>
      <c r="J140" s="27" t="s">
        <v>367</v>
      </c>
      <c r="K140" s="27" t="s">
        <v>367</v>
      </c>
      <c r="L140" s="54">
        <f>'Расчет субсидий'!P140-1</f>
        <v>-0.57883251500272781</v>
      </c>
      <c r="M140" s="54">
        <f>L140*'Расчет субсидий'!Q140</f>
        <v>-11.576650300054556</v>
      </c>
      <c r="N140" s="55">
        <f t="shared" si="50"/>
        <v>-52.89691621437656</v>
      </c>
      <c r="O140" s="54">
        <f>'Расчет субсидий'!T140-1</f>
        <v>4.2372881355932313E-2</v>
      </c>
      <c r="P140" s="54">
        <f>O140*'Расчет субсидий'!U140</f>
        <v>1.2711864406779694</v>
      </c>
      <c r="Q140" s="55">
        <f t="shared" si="51"/>
        <v>5.808402335956993</v>
      </c>
      <c r="R140" s="54">
        <f>'Расчет субсидий'!X140-1</f>
        <v>0.15789473684210531</v>
      </c>
      <c r="S140" s="54">
        <f>R140*'Расчет субсидий'!Y140</f>
        <v>3.1578947368421062</v>
      </c>
      <c r="T140" s="55">
        <f t="shared" si="52"/>
        <v>14.42929422406155</v>
      </c>
      <c r="U140" s="60">
        <f>'Расчет субсидий'!AB140-1</f>
        <v>-0.40126509488211615</v>
      </c>
      <c r="V140" s="60">
        <f>U140*'Расчет субсидий'!AC140</f>
        <v>-2.0063254744105805</v>
      </c>
      <c r="W140" s="55">
        <f t="shared" si="38"/>
        <v>-9.1674558501750418</v>
      </c>
      <c r="X140" s="71">
        <f>'Расчет субсидий'!AF140-1</f>
        <v>2.3809523809523725E-3</v>
      </c>
      <c r="Y140" s="71">
        <f>X140*'Расчет субсидий'!AG140</f>
        <v>4.761904761904745E-2</v>
      </c>
      <c r="Z140" s="55">
        <f t="shared" si="39"/>
        <v>0.21758459544219716</v>
      </c>
      <c r="AA140" s="27" t="s">
        <v>367</v>
      </c>
      <c r="AB140" s="27" t="s">
        <v>367</v>
      </c>
      <c r="AC140" s="27" t="s">
        <v>367</v>
      </c>
      <c r="AD140" s="27" t="s">
        <v>367</v>
      </c>
      <c r="AE140" s="27" t="s">
        <v>367</v>
      </c>
      <c r="AF140" s="27" t="s">
        <v>367</v>
      </c>
      <c r="AG140" s="54">
        <f t="shared" si="40"/>
        <v>-9.1062755493260141</v>
      </c>
    </row>
    <row r="141" spans="1:33" ht="15" customHeight="1">
      <c r="A141" s="33" t="s">
        <v>140</v>
      </c>
      <c r="B141" s="52">
        <f>'Расчет субсидий'!AT141</f>
        <v>-23.345454545454572</v>
      </c>
      <c r="C141" s="54">
        <f>'Расчет субсидий'!D141-1</f>
        <v>5.057129335406696E-3</v>
      </c>
      <c r="D141" s="54">
        <f>C141*'Расчет субсидий'!E141</f>
        <v>5.057129335406696E-2</v>
      </c>
      <c r="E141" s="55">
        <f t="shared" si="49"/>
        <v>0.20860395188643455</v>
      </c>
      <c r="F141" s="27" t="s">
        <v>367</v>
      </c>
      <c r="G141" s="27" t="s">
        <v>367</v>
      </c>
      <c r="H141" s="27" t="s">
        <v>367</v>
      </c>
      <c r="I141" s="27" t="s">
        <v>367</v>
      </c>
      <c r="J141" s="27" t="s">
        <v>367</v>
      </c>
      <c r="K141" s="27" t="s">
        <v>367</v>
      </c>
      <c r="L141" s="54">
        <f>'Расчет субсидий'!P141-1</f>
        <v>-0.36835413777161352</v>
      </c>
      <c r="M141" s="54">
        <f>L141*'Расчет субсидий'!Q141</f>
        <v>-7.3670827554322704</v>
      </c>
      <c r="N141" s="55">
        <f t="shared" si="50"/>
        <v>-30.388832769173877</v>
      </c>
      <c r="O141" s="54">
        <f>'Расчет субсидий'!T141-1</f>
        <v>-0.13181818181818172</v>
      </c>
      <c r="P141" s="54">
        <f>O141*'Расчет субсидий'!U141</f>
        <v>-2.6363636363636345</v>
      </c>
      <c r="Q141" s="55">
        <f t="shared" si="51"/>
        <v>-10.874862727055756</v>
      </c>
      <c r="R141" s="54">
        <f>'Расчет субсидий'!X141-1</f>
        <v>0.21333333333333337</v>
      </c>
      <c r="S141" s="54">
        <f>R141*'Расчет субсидий'!Y141</f>
        <v>6.4000000000000012</v>
      </c>
      <c r="T141" s="55">
        <f t="shared" si="52"/>
        <v>26.399666758093996</v>
      </c>
      <c r="U141" s="60">
        <f>'Расчет субсидий'!AB141-1</f>
        <v>-8.8006761362087293E-2</v>
      </c>
      <c r="V141" s="60">
        <f>U141*'Расчет субсидий'!AC141</f>
        <v>-0.44003380681043647</v>
      </c>
      <c r="W141" s="55">
        <f t="shared" si="38"/>
        <v>-1.815116540951724</v>
      </c>
      <c r="X141" s="71">
        <f>'Расчет субсидий'!AF141-1</f>
        <v>-8.333333333333337E-2</v>
      </c>
      <c r="Y141" s="71">
        <f>X141*'Расчет субсидий'!AG141</f>
        <v>-1.6666666666666674</v>
      </c>
      <c r="Z141" s="55">
        <f t="shared" si="39"/>
        <v>-6.8749132182536465</v>
      </c>
      <c r="AA141" s="27" t="s">
        <v>367</v>
      </c>
      <c r="AB141" s="27" t="s">
        <v>367</v>
      </c>
      <c r="AC141" s="27" t="s">
        <v>367</v>
      </c>
      <c r="AD141" s="27" t="s">
        <v>367</v>
      </c>
      <c r="AE141" s="27" t="s">
        <v>367</v>
      </c>
      <c r="AF141" s="27" t="s">
        <v>367</v>
      </c>
      <c r="AG141" s="54">
        <f t="shared" si="40"/>
        <v>-5.6595755719189409</v>
      </c>
    </row>
    <row r="142" spans="1:33" ht="15" customHeight="1">
      <c r="A142" s="33" t="s">
        <v>141</v>
      </c>
      <c r="B142" s="52">
        <f>'Расчет субсидий'!AT142</f>
        <v>2.1181818181818173</v>
      </c>
      <c r="C142" s="54">
        <f>'Расчет субсидий'!D142-1</f>
        <v>2.4271844660195274E-3</v>
      </c>
      <c r="D142" s="54">
        <f>C142*'Расчет субсидий'!E142</f>
        <v>2.4271844660195274E-2</v>
      </c>
      <c r="E142" s="55">
        <f t="shared" si="49"/>
        <v>1.0258909768703703E-2</v>
      </c>
      <c r="F142" s="27" t="s">
        <v>367</v>
      </c>
      <c r="G142" s="27" t="s">
        <v>367</v>
      </c>
      <c r="H142" s="27" t="s">
        <v>367</v>
      </c>
      <c r="I142" s="27" t="s">
        <v>367</v>
      </c>
      <c r="J142" s="27" t="s">
        <v>367</v>
      </c>
      <c r="K142" s="27" t="s">
        <v>367</v>
      </c>
      <c r="L142" s="54">
        <f>'Расчет субсидий'!P142-1</f>
        <v>0.20600963644327641</v>
      </c>
      <c r="M142" s="54">
        <f>L142*'Расчет субсидий'!Q142</f>
        <v>4.1201927288655282</v>
      </c>
      <c r="N142" s="55">
        <f t="shared" si="50"/>
        <v>1.7414698399260633</v>
      </c>
      <c r="O142" s="54">
        <f>'Расчет субсидий'!T142-1</f>
        <v>0</v>
      </c>
      <c r="P142" s="54">
        <f>O142*'Расчет субсидий'!U142</f>
        <v>0</v>
      </c>
      <c r="Q142" s="55">
        <f t="shared" si="51"/>
        <v>0</v>
      </c>
      <c r="R142" s="54">
        <f>'Расчет субсидий'!X142-1</f>
        <v>4.0000000000000036E-2</v>
      </c>
      <c r="S142" s="54">
        <f>R142*'Расчет субсидий'!Y142</f>
        <v>0.80000000000000071</v>
      </c>
      <c r="T142" s="55">
        <f t="shared" si="52"/>
        <v>0.338133665976459</v>
      </c>
      <c r="U142" s="60">
        <f>'Расчет субсидий'!AB142-1</f>
        <v>1.3400335008375119E-2</v>
      </c>
      <c r="V142" s="60">
        <f>U142*'Расчет субсидий'!AC142</f>
        <v>6.7001675041875597E-2</v>
      </c>
      <c r="W142" s="55">
        <f t="shared" si="38"/>
        <v>2.8319402510590994E-2</v>
      </c>
      <c r="X142" s="71">
        <f>'Расчет субсидий'!AF142-1</f>
        <v>0</v>
      </c>
      <c r="Y142" s="71">
        <f>X142*'Расчет субсидий'!AG142</f>
        <v>0</v>
      </c>
      <c r="Z142" s="55">
        <f t="shared" si="39"/>
        <v>0</v>
      </c>
      <c r="AA142" s="27" t="s">
        <v>367</v>
      </c>
      <c r="AB142" s="27" t="s">
        <v>367</v>
      </c>
      <c r="AC142" s="27" t="s">
        <v>367</v>
      </c>
      <c r="AD142" s="27" t="s">
        <v>367</v>
      </c>
      <c r="AE142" s="27" t="s">
        <v>367</v>
      </c>
      <c r="AF142" s="27" t="s">
        <v>367</v>
      </c>
      <c r="AG142" s="54">
        <f t="shared" si="40"/>
        <v>5.0114662485676007</v>
      </c>
    </row>
    <row r="143" spans="1:33" ht="15" customHeight="1">
      <c r="A143" s="33" t="s">
        <v>142</v>
      </c>
      <c r="B143" s="52">
        <f>'Расчет субсидий'!AT143</f>
        <v>-9.0636363636363626</v>
      </c>
      <c r="C143" s="54">
        <f>'Расчет субсидий'!D143-1</f>
        <v>-1</v>
      </c>
      <c r="D143" s="54">
        <f>C143*'Расчет субсидий'!E143</f>
        <v>0</v>
      </c>
      <c r="E143" s="55">
        <f t="shared" si="49"/>
        <v>0</v>
      </c>
      <c r="F143" s="27" t="s">
        <v>367</v>
      </c>
      <c r="G143" s="27" t="s">
        <v>367</v>
      </c>
      <c r="H143" s="27" t="s">
        <v>367</v>
      </c>
      <c r="I143" s="27" t="s">
        <v>367</v>
      </c>
      <c r="J143" s="27" t="s">
        <v>367</v>
      </c>
      <c r="K143" s="27" t="s">
        <v>367</v>
      </c>
      <c r="L143" s="54">
        <f>'Расчет субсидий'!P143-1</f>
        <v>-5.5970149253732338E-3</v>
      </c>
      <c r="M143" s="54">
        <f>L143*'Расчет субсидий'!Q143</f>
        <v>-0.11194029850746468</v>
      </c>
      <c r="N143" s="55">
        <f t="shared" si="50"/>
        <v>-0.31517026946655263</v>
      </c>
      <c r="O143" s="54">
        <f>'Расчет субсидий'!T143-1</f>
        <v>0</v>
      </c>
      <c r="P143" s="54">
        <f>O143*'Расчет субсидий'!U143</f>
        <v>0</v>
      </c>
      <c r="Q143" s="55">
        <f t="shared" si="51"/>
        <v>0</v>
      </c>
      <c r="R143" s="54">
        <f>'Расчет субсидий'!X143-1</f>
        <v>9.5238095238095122E-2</v>
      </c>
      <c r="S143" s="54">
        <f>R143*'Расчет субсидий'!Y143</f>
        <v>1.4285714285714268</v>
      </c>
      <c r="T143" s="55">
        <f t="shared" si="52"/>
        <v>4.0221729627159286</v>
      </c>
      <c r="U143" s="60">
        <f>'Расчет субсидий'!AB143-1</f>
        <v>3.4016572176188475E-2</v>
      </c>
      <c r="V143" s="60">
        <f>U143*'Расчет субсидий'!AC143</f>
        <v>0.17008286088094238</v>
      </c>
      <c r="W143" s="55">
        <f t="shared" si="38"/>
        <v>0.47887187911969137</v>
      </c>
      <c r="X143" s="71">
        <f>'Расчет субсидий'!AF143-1</f>
        <v>-0.23529411764705888</v>
      </c>
      <c r="Y143" s="71">
        <f>X143*'Расчет субсидий'!AG143</f>
        <v>-4.7058823529411775</v>
      </c>
      <c r="Z143" s="55">
        <f t="shared" si="39"/>
        <v>-13.24951093600543</v>
      </c>
      <c r="AA143" s="27" t="s">
        <v>367</v>
      </c>
      <c r="AB143" s="27" t="s">
        <v>367</v>
      </c>
      <c r="AC143" s="27" t="s">
        <v>367</v>
      </c>
      <c r="AD143" s="27" t="s">
        <v>367</v>
      </c>
      <c r="AE143" s="27" t="s">
        <v>367</v>
      </c>
      <c r="AF143" s="27" t="s">
        <v>367</v>
      </c>
      <c r="AG143" s="54">
        <f t="shared" si="40"/>
        <v>-3.2191683619962728</v>
      </c>
    </row>
    <row r="144" spans="1:33" ht="15" customHeight="1">
      <c r="A144" s="32" t="s">
        <v>143</v>
      </c>
      <c r="B144" s="56"/>
      <c r="C144" s="57"/>
      <c r="D144" s="57"/>
      <c r="E144" s="58"/>
      <c r="F144" s="57"/>
      <c r="G144" s="57"/>
      <c r="H144" s="58"/>
      <c r="I144" s="58"/>
      <c r="J144" s="58"/>
      <c r="K144" s="58"/>
      <c r="L144" s="57"/>
      <c r="M144" s="57"/>
      <c r="N144" s="58"/>
      <c r="O144" s="57"/>
      <c r="P144" s="57"/>
      <c r="Q144" s="58"/>
      <c r="R144" s="57"/>
      <c r="S144" s="57"/>
      <c r="T144" s="58"/>
      <c r="U144" s="58"/>
      <c r="V144" s="58"/>
      <c r="W144" s="58"/>
      <c r="X144" s="73"/>
      <c r="Y144" s="73"/>
      <c r="Z144" s="58"/>
      <c r="AA144" s="58"/>
      <c r="AB144" s="58"/>
      <c r="AC144" s="58"/>
      <c r="AD144" s="58"/>
      <c r="AE144" s="58"/>
      <c r="AF144" s="58"/>
      <c r="AG144" s="58"/>
    </row>
    <row r="145" spans="1:33" ht="15" customHeight="1">
      <c r="A145" s="33" t="s">
        <v>144</v>
      </c>
      <c r="B145" s="52">
        <f>'Расчет субсидий'!AT145</f>
        <v>26.081818181818164</v>
      </c>
      <c r="C145" s="54">
        <f>'Расчет субсидий'!D145-1</f>
        <v>0.12617765814266479</v>
      </c>
      <c r="D145" s="54">
        <f>C145*'Расчет субсидий'!E145</f>
        <v>1.2617765814266479</v>
      </c>
      <c r="E145" s="55">
        <f t="shared" ref="E145:E156" si="53">$B145*D145/$AG145</f>
        <v>3.8663924713380875</v>
      </c>
      <c r="F145" s="27" t="s">
        <v>367</v>
      </c>
      <c r="G145" s="27" t="s">
        <v>367</v>
      </c>
      <c r="H145" s="27" t="s">
        <v>367</v>
      </c>
      <c r="I145" s="27" t="s">
        <v>367</v>
      </c>
      <c r="J145" s="27" t="s">
        <v>367</v>
      </c>
      <c r="K145" s="27" t="s">
        <v>367</v>
      </c>
      <c r="L145" s="54">
        <f>'Расчет субсидий'!P145-1</f>
        <v>-0.33176761433868973</v>
      </c>
      <c r="M145" s="54">
        <f>L145*'Расчет субсидий'!Q145</f>
        <v>-6.6353522867737951</v>
      </c>
      <c r="N145" s="55">
        <f t="shared" ref="N145:N156" si="54">$B145*M145/$AG145</f>
        <v>-20.332344492597148</v>
      </c>
      <c r="O145" s="54">
        <f>'Расчет субсидий'!T145-1</f>
        <v>7.1428571428571397E-2</v>
      </c>
      <c r="P145" s="54">
        <f>O145*'Расчет субсидий'!U145</f>
        <v>1.4285714285714279</v>
      </c>
      <c r="Q145" s="55">
        <f t="shared" ref="Q145:Q156" si="55">$B145*P145/$AG145</f>
        <v>4.3774927332635425</v>
      </c>
      <c r="R145" s="54">
        <f>'Расчет субсидий'!X145-1</f>
        <v>0.19999999999999996</v>
      </c>
      <c r="S145" s="54">
        <f>R145*'Расчет субсидий'!Y145</f>
        <v>5.9999999999999982</v>
      </c>
      <c r="T145" s="55">
        <f t="shared" ref="T145:T156" si="56">$B145*S145/$AG145</f>
        <v>18.385469479706881</v>
      </c>
      <c r="U145" s="60">
        <f>'Расчет субсидий'!AB145-1</f>
        <v>9.1333333333333266E-2</v>
      </c>
      <c r="V145" s="60">
        <f>U145*'Расчет субсидий'!AC145</f>
        <v>0.45666666666666633</v>
      </c>
      <c r="W145" s="55">
        <f t="shared" si="38"/>
        <v>1.3993385103999121</v>
      </c>
      <c r="X145" s="71">
        <f>'Расчет субсидий'!AF145-1</f>
        <v>0.30000000000000004</v>
      </c>
      <c r="Y145" s="71">
        <f>X145*'Расчет субсидий'!AG145</f>
        <v>6.0000000000000009</v>
      </c>
      <c r="Z145" s="55">
        <f t="shared" si="39"/>
        <v>18.385469479706888</v>
      </c>
      <c r="AA145" s="27" t="s">
        <v>367</v>
      </c>
      <c r="AB145" s="27" t="s">
        <v>367</v>
      </c>
      <c r="AC145" s="27" t="s">
        <v>367</v>
      </c>
      <c r="AD145" s="27" t="s">
        <v>367</v>
      </c>
      <c r="AE145" s="27" t="s">
        <v>367</v>
      </c>
      <c r="AF145" s="27" t="s">
        <v>367</v>
      </c>
      <c r="AG145" s="54">
        <f t="shared" si="40"/>
        <v>8.5116623898909474</v>
      </c>
    </row>
    <row r="146" spans="1:33" ht="15" customHeight="1">
      <c r="A146" s="33" t="s">
        <v>145</v>
      </c>
      <c r="B146" s="52">
        <f>'Расчет субсидий'!AT146</f>
        <v>10.199999999999989</v>
      </c>
      <c r="C146" s="54">
        <f>'Расчет субсидий'!D146-1</f>
        <v>1.3194444444444509E-2</v>
      </c>
      <c r="D146" s="54">
        <f>C146*'Расчет субсидий'!E146</f>
        <v>0.13194444444444509</v>
      </c>
      <c r="E146" s="55">
        <f t="shared" si="53"/>
        <v>0.20445716849420714</v>
      </c>
      <c r="F146" s="27" t="s">
        <v>367</v>
      </c>
      <c r="G146" s="27" t="s">
        <v>367</v>
      </c>
      <c r="H146" s="27" t="s">
        <v>367</v>
      </c>
      <c r="I146" s="27" t="s">
        <v>367</v>
      </c>
      <c r="J146" s="27" t="s">
        <v>367</v>
      </c>
      <c r="K146" s="27" t="s">
        <v>367</v>
      </c>
      <c r="L146" s="54">
        <f>'Расчет субсидий'!P146-1</f>
        <v>0.30000000000000004</v>
      </c>
      <c r="M146" s="54">
        <f>L146*'Расчет субсидий'!Q146</f>
        <v>6.0000000000000009</v>
      </c>
      <c r="N146" s="55">
        <f t="shared" si="54"/>
        <v>9.2974207146839021</v>
      </c>
      <c r="O146" s="54">
        <f>'Расчет субсидий'!T146-1</f>
        <v>0</v>
      </c>
      <c r="P146" s="54">
        <f>O146*'Расчет субсидий'!U146</f>
        <v>0</v>
      </c>
      <c r="Q146" s="55">
        <f t="shared" si="55"/>
        <v>0</v>
      </c>
      <c r="R146" s="54">
        <f>'Расчет субсидий'!X146-1</f>
        <v>0</v>
      </c>
      <c r="S146" s="54">
        <f>R146*'Расчет субсидий'!Y146</f>
        <v>0</v>
      </c>
      <c r="T146" s="55">
        <f t="shared" si="56"/>
        <v>0</v>
      </c>
      <c r="U146" s="60">
        <f>'Расчет субсидий'!AB146-1</f>
        <v>9.0105263157894688E-2</v>
      </c>
      <c r="V146" s="60">
        <f>U146*'Расчет субсидий'!AC146</f>
        <v>0.45052631578947344</v>
      </c>
      <c r="W146" s="55">
        <f t="shared" si="38"/>
        <v>0.69812211682187841</v>
      </c>
      <c r="X146" s="71">
        <f>'Расчет субсидий'!AF146-1</f>
        <v>0</v>
      </c>
      <c r="Y146" s="71">
        <f>X146*'Расчет субсидий'!AG146</f>
        <v>0</v>
      </c>
      <c r="Z146" s="55">
        <f t="shared" si="39"/>
        <v>0</v>
      </c>
      <c r="AA146" s="27" t="s">
        <v>367</v>
      </c>
      <c r="AB146" s="27" t="s">
        <v>367</v>
      </c>
      <c r="AC146" s="27" t="s">
        <v>367</v>
      </c>
      <c r="AD146" s="27" t="s">
        <v>367</v>
      </c>
      <c r="AE146" s="27" t="s">
        <v>367</v>
      </c>
      <c r="AF146" s="27" t="s">
        <v>367</v>
      </c>
      <c r="AG146" s="54">
        <f t="shared" si="40"/>
        <v>6.5824707602339201</v>
      </c>
    </row>
    <row r="147" spans="1:33" ht="15" customHeight="1">
      <c r="A147" s="33" t="s">
        <v>146</v>
      </c>
      <c r="B147" s="52">
        <f>'Расчет субсидий'!AT147</f>
        <v>54.790909090909167</v>
      </c>
      <c r="C147" s="54">
        <f>'Расчет субсидий'!D147-1</f>
        <v>2.4798896805332094E-2</v>
      </c>
      <c r="D147" s="54">
        <f>C147*'Расчет субсидий'!E147</f>
        <v>0.24798896805332094</v>
      </c>
      <c r="E147" s="55">
        <f t="shared" si="53"/>
        <v>1.2383215955799798</v>
      </c>
      <c r="F147" s="27" t="s">
        <v>367</v>
      </c>
      <c r="G147" s="27" t="s">
        <v>367</v>
      </c>
      <c r="H147" s="27" t="s">
        <v>367</v>
      </c>
      <c r="I147" s="27" t="s">
        <v>367</v>
      </c>
      <c r="J147" s="27" t="s">
        <v>367</v>
      </c>
      <c r="K147" s="27" t="s">
        <v>367</v>
      </c>
      <c r="L147" s="54">
        <f>'Расчет субсидий'!P147-1</f>
        <v>-0.28523306627822287</v>
      </c>
      <c r="M147" s="54">
        <f>L147*'Расчет субсидий'!Q147</f>
        <v>-5.7046613255644569</v>
      </c>
      <c r="N147" s="55">
        <f t="shared" si="54"/>
        <v>-28.485966010381087</v>
      </c>
      <c r="O147" s="54">
        <f>'Расчет субсидий'!T147-1</f>
        <v>0.23243478260869566</v>
      </c>
      <c r="P147" s="54">
        <f>O147*'Расчет субсидий'!U147</f>
        <v>2.3243478260869566</v>
      </c>
      <c r="Q147" s="55">
        <f t="shared" si="55"/>
        <v>11.60652480340975</v>
      </c>
      <c r="R147" s="54">
        <f>'Расчет субсидий'!X147-1</f>
        <v>0.30000000000000004</v>
      </c>
      <c r="S147" s="54">
        <f>R147*'Расчет субсидий'!Y147</f>
        <v>12.000000000000002</v>
      </c>
      <c r="T147" s="55">
        <f t="shared" si="56"/>
        <v>59.921452408176052</v>
      </c>
      <c r="U147" s="60">
        <f>'Расчет субсидий'!AB147-1</f>
        <v>7.9888888888888898E-2</v>
      </c>
      <c r="V147" s="60">
        <f>U147*'Расчет субсидий'!AC147</f>
        <v>0.39944444444444449</v>
      </c>
      <c r="W147" s="55">
        <f t="shared" si="38"/>
        <v>1.9946076056240083</v>
      </c>
      <c r="X147" s="71">
        <f>'Расчет субсидий'!AF147-1</f>
        <v>8.5271317829457294E-2</v>
      </c>
      <c r="Y147" s="71">
        <f>X147*'Расчет субсидий'!AG147</f>
        <v>1.7054263565891459</v>
      </c>
      <c r="Z147" s="55">
        <f t="shared" si="39"/>
        <v>8.5159686885004646</v>
      </c>
      <c r="AA147" s="27" t="s">
        <v>367</v>
      </c>
      <c r="AB147" s="27" t="s">
        <v>367</v>
      </c>
      <c r="AC147" s="27" t="s">
        <v>367</v>
      </c>
      <c r="AD147" s="27" t="s">
        <v>367</v>
      </c>
      <c r="AE147" s="27" t="s">
        <v>367</v>
      </c>
      <c r="AF147" s="27" t="s">
        <v>367</v>
      </c>
      <c r="AG147" s="54">
        <f t="shared" si="40"/>
        <v>10.972546269609413</v>
      </c>
    </row>
    <row r="148" spans="1:33" ht="15" customHeight="1">
      <c r="A148" s="33" t="s">
        <v>147</v>
      </c>
      <c r="B148" s="52">
        <f>'Расчет субсидий'!AT148</f>
        <v>106.11818181818171</v>
      </c>
      <c r="C148" s="54">
        <f>'Расчет субсидий'!D148-1</f>
        <v>0.1056119693205142</v>
      </c>
      <c r="D148" s="54">
        <f>C148*'Расчет субсидий'!E148</f>
        <v>1.056119693205142</v>
      </c>
      <c r="E148" s="55">
        <f t="shared" si="53"/>
        <v>11.635255142454408</v>
      </c>
      <c r="F148" s="27" t="s">
        <v>367</v>
      </c>
      <c r="G148" s="27" t="s">
        <v>367</v>
      </c>
      <c r="H148" s="27" t="s">
        <v>367</v>
      </c>
      <c r="I148" s="27" t="s">
        <v>367</v>
      </c>
      <c r="J148" s="27" t="s">
        <v>367</v>
      </c>
      <c r="K148" s="27" t="s">
        <v>367</v>
      </c>
      <c r="L148" s="54">
        <f>'Расчет субсидий'!P148-1</f>
        <v>0.22328458942632157</v>
      </c>
      <c r="M148" s="54">
        <f>L148*'Расчет субсидий'!Q148</f>
        <v>4.4656917885264313</v>
      </c>
      <c r="N148" s="55">
        <f t="shared" si="54"/>
        <v>49.198460819701729</v>
      </c>
      <c r="O148" s="54">
        <f>'Расчет субсидий'!T148-1</f>
        <v>0</v>
      </c>
      <c r="P148" s="54">
        <f>O148*'Расчет субсидий'!U148</f>
        <v>0</v>
      </c>
      <c r="Q148" s="55">
        <f t="shared" si="55"/>
        <v>0</v>
      </c>
      <c r="R148" s="54">
        <f>'Расчет субсидий'!X148-1</f>
        <v>0</v>
      </c>
      <c r="S148" s="54">
        <f>R148*'Расчет субсидий'!Y148</f>
        <v>0</v>
      </c>
      <c r="T148" s="55">
        <f t="shared" si="56"/>
        <v>0</v>
      </c>
      <c r="U148" s="60">
        <f>'Расчет субсидий'!AB148-1</f>
        <v>5.4743589743588839E-3</v>
      </c>
      <c r="V148" s="60">
        <f>U148*'Расчет субсидий'!AC148</f>
        <v>2.7371794871794419E-2</v>
      </c>
      <c r="W148" s="55">
        <f t="shared" si="38"/>
        <v>0.30155466192825903</v>
      </c>
      <c r="X148" s="71">
        <f>'Расчет субсидий'!AF148-1</f>
        <v>0.20415254237288138</v>
      </c>
      <c r="Y148" s="71">
        <f>X148*'Расчет субсидий'!AG148</f>
        <v>4.0830508474576277</v>
      </c>
      <c r="Z148" s="55">
        <f t="shared" si="39"/>
        <v>44.982911194097305</v>
      </c>
      <c r="AA148" s="27" t="s">
        <v>367</v>
      </c>
      <c r="AB148" s="27" t="s">
        <v>367</v>
      </c>
      <c r="AC148" s="27" t="s">
        <v>367</v>
      </c>
      <c r="AD148" s="27" t="s">
        <v>367</v>
      </c>
      <c r="AE148" s="27" t="s">
        <v>367</v>
      </c>
      <c r="AF148" s="27" t="s">
        <v>367</v>
      </c>
      <c r="AG148" s="54">
        <f t="shared" si="40"/>
        <v>9.6322341240609965</v>
      </c>
    </row>
    <row r="149" spans="1:33" ht="15" customHeight="1">
      <c r="A149" s="33" t="s">
        <v>148</v>
      </c>
      <c r="B149" s="52">
        <f>'Расчет субсидий'!AT149</f>
        <v>11.145454545454584</v>
      </c>
      <c r="C149" s="54">
        <f>'Расчет субсидий'!D149-1</f>
        <v>7.551487414187763E-3</v>
      </c>
      <c r="D149" s="54">
        <f>C149*'Расчет субсидий'!E149</f>
        <v>7.551487414187763E-2</v>
      </c>
      <c r="E149" s="55">
        <f t="shared" si="53"/>
        <v>0.30801917668201684</v>
      </c>
      <c r="F149" s="27" t="s">
        <v>367</v>
      </c>
      <c r="G149" s="27" t="s">
        <v>367</v>
      </c>
      <c r="H149" s="27" t="s">
        <v>367</v>
      </c>
      <c r="I149" s="27" t="s">
        <v>367</v>
      </c>
      <c r="J149" s="27" t="s">
        <v>367</v>
      </c>
      <c r="K149" s="27" t="s">
        <v>367</v>
      </c>
      <c r="L149" s="54">
        <f>'Расчет субсидий'!P149-1</f>
        <v>-0.14594253543001356</v>
      </c>
      <c r="M149" s="54">
        <f>L149*'Расчет субсидий'!Q149</f>
        <v>-2.9188507086002713</v>
      </c>
      <c r="N149" s="55">
        <f t="shared" si="54"/>
        <v>-11.905760319902221</v>
      </c>
      <c r="O149" s="54">
        <f>'Расчет субсидий'!T149-1</f>
        <v>7.8888054094665705E-2</v>
      </c>
      <c r="P149" s="54">
        <f>O149*'Расчет субсидий'!U149</f>
        <v>2.7610818933132997</v>
      </c>
      <c r="Q149" s="55">
        <f t="shared" si="55"/>
        <v>11.262233847230252</v>
      </c>
      <c r="R149" s="54">
        <f>'Расчет субсидий'!X149-1</f>
        <v>0.10000000000000009</v>
      </c>
      <c r="S149" s="54">
        <f>R149*'Расчет субсидий'!Y149</f>
        <v>1.5000000000000013</v>
      </c>
      <c r="T149" s="55">
        <f t="shared" si="56"/>
        <v>6.1183809186381515</v>
      </c>
      <c r="U149" s="60">
        <f>'Расчет субсидий'!AB149-1</f>
        <v>3.2941176470588251E-2</v>
      </c>
      <c r="V149" s="60">
        <f>U149*'Расчет субсидий'!AC149</f>
        <v>0.16470588235294126</v>
      </c>
      <c r="W149" s="55">
        <f t="shared" si="38"/>
        <v>0.6718222185171302</v>
      </c>
      <c r="X149" s="71">
        <f>'Расчет субсидий'!AF149-1</f>
        <v>5.7500000000000107E-2</v>
      </c>
      <c r="Y149" s="71">
        <f>X149*'Расчет субсидий'!AG149</f>
        <v>1.1500000000000021</v>
      </c>
      <c r="Z149" s="55">
        <f t="shared" si="39"/>
        <v>4.6907587042892551</v>
      </c>
      <c r="AA149" s="27" t="s">
        <v>367</v>
      </c>
      <c r="AB149" s="27" t="s">
        <v>367</v>
      </c>
      <c r="AC149" s="27" t="s">
        <v>367</v>
      </c>
      <c r="AD149" s="27" t="s">
        <v>367</v>
      </c>
      <c r="AE149" s="27" t="s">
        <v>367</v>
      </c>
      <c r="AF149" s="27" t="s">
        <v>367</v>
      </c>
      <c r="AG149" s="54">
        <f t="shared" si="40"/>
        <v>2.7324519412078505</v>
      </c>
    </row>
    <row r="150" spans="1:33" ht="15" customHeight="1">
      <c r="A150" s="33" t="s">
        <v>149</v>
      </c>
      <c r="B150" s="52">
        <f>'Расчет субсидий'!AT150</f>
        <v>46.918181818181836</v>
      </c>
      <c r="C150" s="54">
        <f>'Расчет субсидий'!D150-1</f>
        <v>-1</v>
      </c>
      <c r="D150" s="54">
        <f>C150*'Расчет субсидий'!E150</f>
        <v>0</v>
      </c>
      <c r="E150" s="55">
        <f t="shared" si="53"/>
        <v>0</v>
      </c>
      <c r="F150" s="27" t="s">
        <v>367</v>
      </c>
      <c r="G150" s="27" t="s">
        <v>367</v>
      </c>
      <c r="H150" s="27" t="s">
        <v>367</v>
      </c>
      <c r="I150" s="27" t="s">
        <v>367</v>
      </c>
      <c r="J150" s="27" t="s">
        <v>367</v>
      </c>
      <c r="K150" s="27" t="s">
        <v>367</v>
      </c>
      <c r="L150" s="54">
        <f>'Расчет субсидий'!P150-1</f>
        <v>0.23109310502981195</v>
      </c>
      <c r="M150" s="54">
        <f>L150*'Расчет субсидий'!Q150</f>
        <v>4.621862100596239</v>
      </c>
      <c r="N150" s="55">
        <f t="shared" si="54"/>
        <v>10.910546816190235</v>
      </c>
      <c r="O150" s="54">
        <f>'Расчет субсидий'!T150-1</f>
        <v>0.23166666666666669</v>
      </c>
      <c r="P150" s="54">
        <f>O150*'Расчет субсидий'!U150</f>
        <v>1.1583333333333334</v>
      </c>
      <c r="Q150" s="55">
        <f t="shared" si="55"/>
        <v>2.7344065632024512</v>
      </c>
      <c r="R150" s="54">
        <f>'Расчет субсидий'!X150-1</f>
        <v>0.20437499999999997</v>
      </c>
      <c r="S150" s="54">
        <f>R150*'Расчет субсидий'!Y150</f>
        <v>9.1968749999999986</v>
      </c>
      <c r="T150" s="55">
        <f t="shared" si="56"/>
        <v>21.710499592189244</v>
      </c>
      <c r="U150" s="60">
        <f>'Расчет субсидий'!AB150-1</f>
        <v>2.8977777777777769E-2</v>
      </c>
      <c r="V150" s="60">
        <f>U150*'Расчет субсидий'!AC150</f>
        <v>0.14488888888888884</v>
      </c>
      <c r="W150" s="55">
        <f t="shared" si="38"/>
        <v>0.34203032694637842</v>
      </c>
      <c r="X150" s="71">
        <f>'Расчет субсидий'!AF150-1</f>
        <v>0.23766233766233769</v>
      </c>
      <c r="Y150" s="71">
        <f>X150*'Расчет субсидий'!AG150</f>
        <v>4.7532467532467537</v>
      </c>
      <c r="Z150" s="55">
        <f t="shared" si="39"/>
        <v>11.220698519653524</v>
      </c>
      <c r="AA150" s="27" t="s">
        <v>367</v>
      </c>
      <c r="AB150" s="27" t="s">
        <v>367</v>
      </c>
      <c r="AC150" s="27" t="s">
        <v>367</v>
      </c>
      <c r="AD150" s="27" t="s">
        <v>367</v>
      </c>
      <c r="AE150" s="27" t="s">
        <v>367</v>
      </c>
      <c r="AF150" s="27" t="s">
        <v>367</v>
      </c>
      <c r="AG150" s="54">
        <f t="shared" si="40"/>
        <v>19.875206076065215</v>
      </c>
    </row>
    <row r="151" spans="1:33" ht="15" customHeight="1">
      <c r="A151" s="33" t="s">
        <v>150</v>
      </c>
      <c r="B151" s="52">
        <f>'Расчет субсидий'!AT151</f>
        <v>93.572727272727207</v>
      </c>
      <c r="C151" s="54">
        <f>'Расчет субсидий'!D151-1</f>
        <v>4.7548042287265169E-2</v>
      </c>
      <c r="D151" s="54">
        <f>C151*'Расчет субсидий'!E151</f>
        <v>0.47548042287265169</v>
      </c>
      <c r="E151" s="55">
        <f t="shared" si="53"/>
        <v>2.9470832610828324</v>
      </c>
      <c r="F151" s="27" t="s">
        <v>367</v>
      </c>
      <c r="G151" s="27" t="s">
        <v>367</v>
      </c>
      <c r="H151" s="27" t="s">
        <v>367</v>
      </c>
      <c r="I151" s="27" t="s">
        <v>367</v>
      </c>
      <c r="J151" s="27" t="s">
        <v>367</v>
      </c>
      <c r="K151" s="27" t="s">
        <v>367</v>
      </c>
      <c r="L151" s="54">
        <f>'Расчет субсидий'!P151-1</f>
        <v>0.11118558860494354</v>
      </c>
      <c r="M151" s="54">
        <f>L151*'Расчет субсидий'!Q151</f>
        <v>2.2237117720988708</v>
      </c>
      <c r="N151" s="55">
        <f t="shared" si="54"/>
        <v>13.782825592339151</v>
      </c>
      <c r="O151" s="54">
        <f>'Расчет субсидий'!T151-1</f>
        <v>0</v>
      </c>
      <c r="P151" s="54">
        <f>O151*'Расчет субсидий'!U151</f>
        <v>0</v>
      </c>
      <c r="Q151" s="55">
        <f t="shared" si="55"/>
        <v>0</v>
      </c>
      <c r="R151" s="54">
        <f>'Расчет субсидий'!X151-1</f>
        <v>0.24225806451612897</v>
      </c>
      <c r="S151" s="54">
        <f>R151*'Расчет субсидий'!Y151</f>
        <v>8.4790322580645139</v>
      </c>
      <c r="T151" s="55">
        <f t="shared" si="56"/>
        <v>52.554033427819945</v>
      </c>
      <c r="U151" s="60">
        <f>'Расчет субсидий'!AB151-1</f>
        <v>-6.7681338269573565E-2</v>
      </c>
      <c r="V151" s="60">
        <f>U151*'Расчет субсидий'!AC151</f>
        <v>-0.33840669134786783</v>
      </c>
      <c r="W151" s="55">
        <f t="shared" si="38"/>
        <v>-2.0974842444287911</v>
      </c>
      <c r="X151" s="71">
        <f>'Расчет субсидий'!AF151-1</f>
        <v>0.21285714285714286</v>
      </c>
      <c r="Y151" s="71">
        <f>X151*'Расчет субсидий'!AG151</f>
        <v>4.2571428571428571</v>
      </c>
      <c r="Z151" s="55">
        <f t="shared" si="39"/>
        <v>26.386269235914064</v>
      </c>
      <c r="AA151" s="27" t="s">
        <v>367</v>
      </c>
      <c r="AB151" s="27" t="s">
        <v>367</v>
      </c>
      <c r="AC151" s="27" t="s">
        <v>367</v>
      </c>
      <c r="AD151" s="27" t="s">
        <v>367</v>
      </c>
      <c r="AE151" s="27" t="s">
        <v>367</v>
      </c>
      <c r="AF151" s="27" t="s">
        <v>367</v>
      </c>
      <c r="AG151" s="54">
        <f t="shared" si="40"/>
        <v>15.096960618831027</v>
      </c>
    </row>
    <row r="152" spans="1:33" ht="15" customHeight="1">
      <c r="A152" s="33" t="s">
        <v>151</v>
      </c>
      <c r="B152" s="52">
        <f>'Расчет субсидий'!AT152</f>
        <v>84.81818181818187</v>
      </c>
      <c r="C152" s="54">
        <f>'Расчет субсидий'!D152-1</f>
        <v>2.3931623931623847E-2</v>
      </c>
      <c r="D152" s="54">
        <f>C152*'Расчет субсидий'!E152</f>
        <v>0.23931623931623847</v>
      </c>
      <c r="E152" s="55">
        <f t="shared" si="53"/>
        <v>1.2357929947486452</v>
      </c>
      <c r="F152" s="27" t="s">
        <v>367</v>
      </c>
      <c r="G152" s="27" t="s">
        <v>367</v>
      </c>
      <c r="H152" s="27" t="s">
        <v>367</v>
      </c>
      <c r="I152" s="27" t="s">
        <v>367</v>
      </c>
      <c r="J152" s="27" t="s">
        <v>367</v>
      </c>
      <c r="K152" s="27" t="s">
        <v>367</v>
      </c>
      <c r="L152" s="54">
        <f>'Расчет субсидий'!P152-1</f>
        <v>0.24350148367952529</v>
      </c>
      <c r="M152" s="54">
        <f>L152*'Расчет субсидий'!Q152</f>
        <v>4.8700296735905058</v>
      </c>
      <c r="N152" s="55">
        <f t="shared" si="54"/>
        <v>25.148099318443581</v>
      </c>
      <c r="O152" s="54">
        <f>'Расчет субсидий'!T152-1</f>
        <v>0.20774496644295293</v>
      </c>
      <c r="P152" s="54">
        <f>O152*'Расчет субсидий'!U152</f>
        <v>7.2710738255033522</v>
      </c>
      <c r="Q152" s="55">
        <f t="shared" si="55"/>
        <v>37.546729480332317</v>
      </c>
      <c r="R152" s="54">
        <f>'Расчет субсидий'!X152-1</f>
        <v>0.23681818181818182</v>
      </c>
      <c r="S152" s="54">
        <f>R152*'Расчет субсидий'!Y152</f>
        <v>3.5522727272727272</v>
      </c>
      <c r="T152" s="55">
        <f t="shared" si="56"/>
        <v>18.343401034308464</v>
      </c>
      <c r="U152" s="60">
        <f>'Расчет субсидий'!AB152-1</f>
        <v>7.9025110782865671E-2</v>
      </c>
      <c r="V152" s="60">
        <f>U152*'Расчет субсидий'!AC152</f>
        <v>0.39512555391432835</v>
      </c>
      <c r="W152" s="55">
        <f t="shared" si="38"/>
        <v>2.0403688147892964</v>
      </c>
      <c r="X152" s="71">
        <f>'Расчет субсидий'!AF152-1</f>
        <v>4.8780487804878092E-3</v>
      </c>
      <c r="Y152" s="71">
        <f>X152*'Расчет субсидий'!AG152</f>
        <v>9.7560975609756184E-2</v>
      </c>
      <c r="Z152" s="55">
        <f t="shared" si="39"/>
        <v>0.50379017555955452</v>
      </c>
      <c r="AA152" s="27" t="s">
        <v>367</v>
      </c>
      <c r="AB152" s="27" t="s">
        <v>367</v>
      </c>
      <c r="AC152" s="27" t="s">
        <v>367</v>
      </c>
      <c r="AD152" s="27" t="s">
        <v>367</v>
      </c>
      <c r="AE152" s="27" t="s">
        <v>367</v>
      </c>
      <c r="AF152" s="27" t="s">
        <v>367</v>
      </c>
      <c r="AG152" s="54">
        <f t="shared" si="40"/>
        <v>16.425378995206909</v>
      </c>
    </row>
    <row r="153" spans="1:33" ht="15" customHeight="1">
      <c r="A153" s="33" t="s">
        <v>152</v>
      </c>
      <c r="B153" s="52">
        <f>'Расчет субсидий'!AT153</f>
        <v>89.399999999999977</v>
      </c>
      <c r="C153" s="54">
        <f>'Расчет субсидий'!D153-1</f>
        <v>0.20953428676200958</v>
      </c>
      <c r="D153" s="54">
        <f>C153*'Расчет субсидий'!E153</f>
        <v>2.0953428676200958</v>
      </c>
      <c r="E153" s="55">
        <f t="shared" si="53"/>
        <v>15.443630455029966</v>
      </c>
      <c r="F153" s="27" t="s">
        <v>367</v>
      </c>
      <c r="G153" s="27" t="s">
        <v>367</v>
      </c>
      <c r="H153" s="27" t="s">
        <v>367</v>
      </c>
      <c r="I153" s="27" t="s">
        <v>367</v>
      </c>
      <c r="J153" s="27" t="s">
        <v>367</v>
      </c>
      <c r="K153" s="27" t="s">
        <v>367</v>
      </c>
      <c r="L153" s="54">
        <f>'Расчет субсидий'!P153-1</f>
        <v>4.7413793103448176E-2</v>
      </c>
      <c r="M153" s="54">
        <f>L153*'Расчет субсидий'!Q153</f>
        <v>0.94827586206896353</v>
      </c>
      <c r="N153" s="55">
        <f t="shared" si="54"/>
        <v>6.9892246321728377</v>
      </c>
      <c r="O153" s="54">
        <f>'Расчет субсидий'!T153-1</f>
        <v>4.31034482758621E-2</v>
      </c>
      <c r="P153" s="54">
        <f>O153*'Расчет субсидий'!U153</f>
        <v>0.86206896551724199</v>
      </c>
      <c r="Q153" s="55">
        <f t="shared" si="55"/>
        <v>6.3538405747025966</v>
      </c>
      <c r="R153" s="54">
        <f>'Расчет субсидий'!X153-1</f>
        <v>0.14999999999999991</v>
      </c>
      <c r="S153" s="54">
        <f>R153*'Расчет субсидий'!Y153</f>
        <v>4.4999999999999973</v>
      </c>
      <c r="T153" s="55">
        <f t="shared" si="56"/>
        <v>33.167047799947511</v>
      </c>
      <c r="U153" s="60">
        <f>'Расчет субсидий'!AB153-1</f>
        <v>-0.1223622047244094</v>
      </c>
      <c r="V153" s="60">
        <f>U153*'Расчет субсидий'!AC153</f>
        <v>-0.61181102362204698</v>
      </c>
      <c r="W153" s="55">
        <f t="shared" si="38"/>
        <v>-4.5093256588905026</v>
      </c>
      <c r="X153" s="71">
        <f>'Расчет субсидий'!AF153-1</f>
        <v>0.21678160919540224</v>
      </c>
      <c r="Y153" s="71">
        <f>X153*'Расчет субсидий'!AG153</f>
        <v>4.3356321839080447</v>
      </c>
      <c r="Z153" s="55">
        <f t="shared" si="39"/>
        <v>31.955582197037565</v>
      </c>
      <c r="AA153" s="27" t="s">
        <v>367</v>
      </c>
      <c r="AB153" s="27" t="s">
        <v>367</v>
      </c>
      <c r="AC153" s="27" t="s">
        <v>367</v>
      </c>
      <c r="AD153" s="27" t="s">
        <v>367</v>
      </c>
      <c r="AE153" s="27" t="s">
        <v>367</v>
      </c>
      <c r="AF153" s="27" t="s">
        <v>367</v>
      </c>
      <c r="AG153" s="54">
        <f t="shared" si="40"/>
        <v>12.129508855492297</v>
      </c>
    </row>
    <row r="154" spans="1:33" ht="15" customHeight="1">
      <c r="A154" s="33" t="s">
        <v>153</v>
      </c>
      <c r="B154" s="52">
        <f>'Расчет субсидий'!AT154</f>
        <v>43.209090909090833</v>
      </c>
      <c r="C154" s="54">
        <f>'Расчет субсидий'!D154-1</f>
        <v>0</v>
      </c>
      <c r="D154" s="54">
        <f>C154*'Расчет субсидий'!E154</f>
        <v>0</v>
      </c>
      <c r="E154" s="55">
        <f t="shared" si="53"/>
        <v>0</v>
      </c>
      <c r="F154" s="27" t="s">
        <v>367</v>
      </c>
      <c r="G154" s="27" t="s">
        <v>367</v>
      </c>
      <c r="H154" s="27" t="s">
        <v>367</v>
      </c>
      <c r="I154" s="27" t="s">
        <v>367</v>
      </c>
      <c r="J154" s="27" t="s">
        <v>367</v>
      </c>
      <c r="K154" s="27" t="s">
        <v>367</v>
      </c>
      <c r="L154" s="54">
        <f>'Расчет субсидий'!P154-1</f>
        <v>0.20279000372995148</v>
      </c>
      <c r="M154" s="54">
        <f>L154*'Расчет субсидий'!Q154</f>
        <v>4.0558000745990297</v>
      </c>
      <c r="N154" s="55">
        <f t="shared" si="54"/>
        <v>19.634911411205831</v>
      </c>
      <c r="O154" s="54">
        <f>'Расчет субсидий'!T154-1</f>
        <v>3.6666666666666625E-2</v>
      </c>
      <c r="P154" s="54">
        <f>O154*'Расчет субсидий'!U154</f>
        <v>1.0999999999999988</v>
      </c>
      <c r="Q154" s="55">
        <f t="shared" si="55"/>
        <v>5.325312430362259</v>
      </c>
      <c r="R154" s="54">
        <f>'Расчет субсидий'!X154-1</f>
        <v>0.18181818181818166</v>
      </c>
      <c r="S154" s="54">
        <f>R154*'Расчет субсидий'!Y154</f>
        <v>3.6363636363636331</v>
      </c>
      <c r="T154" s="55">
        <f t="shared" si="56"/>
        <v>17.604338612767805</v>
      </c>
      <c r="U154" s="60">
        <f>'Расчет субсидий'!AB154-1</f>
        <v>-2.4640657084188389E-3</v>
      </c>
      <c r="V154" s="60">
        <f>U154*'Расчет субсидий'!AC154</f>
        <v>-1.2320328542094194E-2</v>
      </c>
      <c r="W154" s="55">
        <f t="shared" si="38"/>
        <v>-5.9645089755782935E-2</v>
      </c>
      <c r="X154" s="71">
        <f>'Расчет субсидий'!AF154-1</f>
        <v>7.2727272727273196E-3</v>
      </c>
      <c r="Y154" s="71">
        <f>X154*'Расчет субсидий'!AG154</f>
        <v>0.14545454545454639</v>
      </c>
      <c r="Z154" s="55">
        <f t="shared" si="39"/>
        <v>0.70417354451071734</v>
      </c>
      <c r="AA154" s="27" t="s">
        <v>367</v>
      </c>
      <c r="AB154" s="27" t="s">
        <v>367</v>
      </c>
      <c r="AC154" s="27" t="s">
        <v>367</v>
      </c>
      <c r="AD154" s="27" t="s">
        <v>367</v>
      </c>
      <c r="AE154" s="27" t="s">
        <v>367</v>
      </c>
      <c r="AF154" s="27" t="s">
        <v>367</v>
      </c>
      <c r="AG154" s="54">
        <f t="shared" si="40"/>
        <v>8.9252979278751141</v>
      </c>
    </row>
    <row r="155" spans="1:33" ht="15" customHeight="1">
      <c r="A155" s="33" t="s">
        <v>154</v>
      </c>
      <c r="B155" s="52">
        <f>'Расчет субсидий'!AT155</f>
        <v>54.427272727272737</v>
      </c>
      <c r="C155" s="54">
        <f>'Расчет субсидий'!D155-1</f>
        <v>8.7656529516994652E-2</v>
      </c>
      <c r="D155" s="54">
        <f>C155*'Расчет субсидий'!E155</f>
        <v>0.87656529516994652</v>
      </c>
      <c r="E155" s="55">
        <f t="shared" si="53"/>
        <v>3.0348884460238983</v>
      </c>
      <c r="F155" s="27" t="s">
        <v>367</v>
      </c>
      <c r="G155" s="27" t="s">
        <v>367</v>
      </c>
      <c r="H155" s="27" t="s">
        <v>367</v>
      </c>
      <c r="I155" s="27" t="s">
        <v>367</v>
      </c>
      <c r="J155" s="27" t="s">
        <v>367</v>
      </c>
      <c r="K155" s="27" t="s">
        <v>367</v>
      </c>
      <c r="L155" s="54">
        <f>'Расчет субсидий'!P155-1</f>
        <v>0.30000000000000004</v>
      </c>
      <c r="M155" s="54">
        <f>L155*'Расчет субсидий'!Q155</f>
        <v>6.0000000000000009</v>
      </c>
      <c r="N155" s="55">
        <f t="shared" si="54"/>
        <v>20.773501730539092</v>
      </c>
      <c r="O155" s="54">
        <f>'Расчет субсидий'!T155-1</f>
        <v>9.0909090909090828E-2</v>
      </c>
      <c r="P155" s="54">
        <f>O155*'Расчет субсидий'!U155</f>
        <v>1.3636363636363624</v>
      </c>
      <c r="Q155" s="55">
        <f t="shared" si="55"/>
        <v>4.7212503933043335</v>
      </c>
      <c r="R155" s="54">
        <f>'Расчет субсидий'!X155-1</f>
        <v>8.3333333333333481E-2</v>
      </c>
      <c r="S155" s="54">
        <f>R155*'Расчет субсидий'!Y155</f>
        <v>2.9166666666666718</v>
      </c>
      <c r="T155" s="55">
        <f t="shared" si="56"/>
        <v>10.098230007900963</v>
      </c>
      <c r="U155" s="60">
        <f>'Расчет субсидий'!AB155-1</f>
        <v>2.6000000000000023E-2</v>
      </c>
      <c r="V155" s="60">
        <f>U155*'Расчет субсидий'!AC155</f>
        <v>0.13000000000000012</v>
      </c>
      <c r="W155" s="55">
        <f t="shared" si="38"/>
        <v>0.45009253749501393</v>
      </c>
      <c r="X155" s="71">
        <f>'Расчет субсидий'!AF155-1</f>
        <v>0.22166666666666668</v>
      </c>
      <c r="Y155" s="71">
        <f>X155*'Расчет субсидий'!AG155</f>
        <v>4.4333333333333336</v>
      </c>
      <c r="Z155" s="55">
        <f t="shared" si="39"/>
        <v>15.349309612009437</v>
      </c>
      <c r="AA155" s="27" t="s">
        <v>367</v>
      </c>
      <c r="AB155" s="27" t="s">
        <v>367</v>
      </c>
      <c r="AC155" s="27" t="s">
        <v>367</v>
      </c>
      <c r="AD155" s="27" t="s">
        <v>367</v>
      </c>
      <c r="AE155" s="27" t="s">
        <v>367</v>
      </c>
      <c r="AF155" s="27" t="s">
        <v>367</v>
      </c>
      <c r="AG155" s="54">
        <f t="shared" si="40"/>
        <v>15.720201658806316</v>
      </c>
    </row>
    <row r="156" spans="1:33" ht="15" customHeight="1">
      <c r="A156" s="33" t="s">
        <v>155</v>
      </c>
      <c r="B156" s="52">
        <f>'Расчет субсидий'!AT156</f>
        <v>47.327272727272771</v>
      </c>
      <c r="C156" s="54">
        <f>'Расчет субсидий'!D156-1</f>
        <v>-1.2168959662810841E-2</v>
      </c>
      <c r="D156" s="54">
        <f>C156*'Расчет субсидий'!E156</f>
        <v>-0.12168959662810841</v>
      </c>
      <c r="E156" s="55">
        <f t="shared" si="53"/>
        <v>-0.48752895596216933</v>
      </c>
      <c r="F156" s="27" t="s">
        <v>367</v>
      </c>
      <c r="G156" s="27" t="s">
        <v>367</v>
      </c>
      <c r="H156" s="27" t="s">
        <v>367</v>
      </c>
      <c r="I156" s="27" t="s">
        <v>367</v>
      </c>
      <c r="J156" s="27" t="s">
        <v>367</v>
      </c>
      <c r="K156" s="27" t="s">
        <v>367</v>
      </c>
      <c r="L156" s="54">
        <f>'Расчет субсидий'!P156-1</f>
        <v>0.14877688971090119</v>
      </c>
      <c r="M156" s="54">
        <f>L156*'Расчет субсидий'!Q156</f>
        <v>2.9755377942180239</v>
      </c>
      <c r="N156" s="55">
        <f t="shared" si="54"/>
        <v>11.920993038331837</v>
      </c>
      <c r="O156" s="54">
        <f>'Расчет субсидий'!T156-1</f>
        <v>0.11111111111111116</v>
      </c>
      <c r="P156" s="54">
        <f>O156*'Расчет субсидий'!U156</f>
        <v>2.2222222222222232</v>
      </c>
      <c r="Q156" s="55">
        <f t="shared" si="55"/>
        <v>8.9029605647134211</v>
      </c>
      <c r="R156" s="54">
        <f>'Расчет субсидий'!X156-1</f>
        <v>0.18127659574468069</v>
      </c>
      <c r="S156" s="54">
        <f>R156*'Расчет субсидий'!Y156</f>
        <v>5.4382978723404207</v>
      </c>
      <c r="T156" s="55">
        <f t="shared" si="56"/>
        <v>21.787628173475238</v>
      </c>
      <c r="U156" s="60">
        <f>'Расчет субсидий'!AB156-1</f>
        <v>1.6759140702802711E-2</v>
      </c>
      <c r="V156" s="60">
        <f>U156*'Расчет субсидий'!AC156</f>
        <v>8.3795703514013553E-2</v>
      </c>
      <c r="W156" s="55">
        <f t="shared" si="38"/>
        <v>0.33571342974495605</v>
      </c>
      <c r="X156" s="71">
        <f>'Расчет субсидий'!AF156-1</f>
        <v>6.0747663551401931E-2</v>
      </c>
      <c r="Y156" s="71">
        <f>X156*'Расчет субсидий'!AG156</f>
        <v>1.2149532710280386</v>
      </c>
      <c r="Z156" s="55">
        <f t="shared" si="39"/>
        <v>4.8675064769694893</v>
      </c>
      <c r="AA156" s="27" t="s">
        <v>367</v>
      </c>
      <c r="AB156" s="27" t="s">
        <v>367</v>
      </c>
      <c r="AC156" s="27" t="s">
        <v>367</v>
      </c>
      <c r="AD156" s="27" t="s">
        <v>367</v>
      </c>
      <c r="AE156" s="27" t="s">
        <v>367</v>
      </c>
      <c r="AF156" s="27" t="s">
        <v>367</v>
      </c>
      <c r="AG156" s="54">
        <f t="shared" si="40"/>
        <v>11.813117266694611</v>
      </c>
    </row>
    <row r="157" spans="1:33" ht="15" customHeight="1">
      <c r="A157" s="32" t="s">
        <v>156</v>
      </c>
      <c r="B157" s="56"/>
      <c r="C157" s="57"/>
      <c r="D157" s="57"/>
      <c r="E157" s="58"/>
      <c r="F157" s="57"/>
      <c r="G157" s="57"/>
      <c r="H157" s="58"/>
      <c r="I157" s="58"/>
      <c r="J157" s="58"/>
      <c r="K157" s="58"/>
      <c r="L157" s="57"/>
      <c r="M157" s="57"/>
      <c r="N157" s="58"/>
      <c r="O157" s="57"/>
      <c r="P157" s="57"/>
      <c r="Q157" s="58"/>
      <c r="R157" s="57"/>
      <c r="S157" s="57"/>
      <c r="T157" s="58"/>
      <c r="U157" s="58"/>
      <c r="V157" s="58"/>
      <c r="W157" s="58"/>
      <c r="X157" s="73"/>
      <c r="Y157" s="73"/>
      <c r="Z157" s="58"/>
      <c r="AA157" s="58"/>
      <c r="AB157" s="58"/>
      <c r="AC157" s="58"/>
      <c r="AD157" s="58"/>
      <c r="AE157" s="58"/>
      <c r="AF157" s="58"/>
      <c r="AG157" s="58"/>
    </row>
    <row r="158" spans="1:33" ht="15" customHeight="1">
      <c r="A158" s="33" t="s">
        <v>71</v>
      </c>
      <c r="B158" s="52">
        <f>'Расчет субсидий'!AT158</f>
        <v>17.927272727272793</v>
      </c>
      <c r="C158" s="54">
        <f>'Расчет субсидий'!D158-1</f>
        <v>-1</v>
      </c>
      <c r="D158" s="54">
        <f>C158*'Расчет субсидий'!E158</f>
        <v>0</v>
      </c>
      <c r="E158" s="55">
        <f t="shared" ref="E158:E170" si="57">$B158*D158/$AG158</f>
        <v>0</v>
      </c>
      <c r="F158" s="27" t="s">
        <v>367</v>
      </c>
      <c r="G158" s="27" t="s">
        <v>367</v>
      </c>
      <c r="H158" s="27" t="s">
        <v>367</v>
      </c>
      <c r="I158" s="27" t="s">
        <v>367</v>
      </c>
      <c r="J158" s="27" t="s">
        <v>367</v>
      </c>
      <c r="K158" s="27" t="s">
        <v>367</v>
      </c>
      <c r="L158" s="54">
        <f>'Расчет субсидий'!P158-1</f>
        <v>0.16539050535987743</v>
      </c>
      <c r="M158" s="54">
        <f>L158*'Расчет субсидий'!Q158</f>
        <v>3.3078101071975485</v>
      </c>
      <c r="N158" s="55">
        <f t="shared" ref="N158:N170" si="58">$B158*M158/$AG158</f>
        <v>17.952687276414807</v>
      </c>
      <c r="O158" s="54">
        <f>'Расчет субсидий'!T158-1</f>
        <v>0</v>
      </c>
      <c r="P158" s="54">
        <f>O158*'Расчет субсидий'!U158</f>
        <v>0</v>
      </c>
      <c r="Q158" s="55">
        <f t="shared" ref="Q158:Q170" si="59">$B158*P158/$AG158</f>
        <v>0</v>
      </c>
      <c r="R158" s="54">
        <f>'Расчет субсидий'!X158-1</f>
        <v>0</v>
      </c>
      <c r="S158" s="54">
        <f>R158*'Расчет субсидий'!Y158</f>
        <v>0</v>
      </c>
      <c r="T158" s="55">
        <f t="shared" ref="T158:T170" si="60">$B158*S158/$AG158</f>
        <v>0</v>
      </c>
      <c r="U158" s="60">
        <f>'Расчет субсидий'!AB158-1</f>
        <v>-0.13085106382978728</v>
      </c>
      <c r="V158" s="60">
        <f>U158*'Расчет субсидий'!AC158</f>
        <v>-0.65425531914893642</v>
      </c>
      <c r="W158" s="55">
        <f t="shared" si="38"/>
        <v>-3.5508813272122786</v>
      </c>
      <c r="X158" s="71">
        <f>'Расчет субсидий'!AF158-1</f>
        <v>3.2478632478632585E-2</v>
      </c>
      <c r="Y158" s="71">
        <f>X158*'Расчет субсидий'!AG158</f>
        <v>0.64957264957265171</v>
      </c>
      <c r="Z158" s="55">
        <f t="shared" si="39"/>
        <v>3.5254667780702653</v>
      </c>
      <c r="AA158" s="27" t="s">
        <v>367</v>
      </c>
      <c r="AB158" s="27" t="s">
        <v>367</v>
      </c>
      <c r="AC158" s="27" t="s">
        <v>367</v>
      </c>
      <c r="AD158" s="27" t="s">
        <v>367</v>
      </c>
      <c r="AE158" s="27" t="s">
        <v>367</v>
      </c>
      <c r="AF158" s="27" t="s">
        <v>367</v>
      </c>
      <c r="AG158" s="54">
        <f t="shared" si="40"/>
        <v>3.3031274376212636</v>
      </c>
    </row>
    <row r="159" spans="1:33" ht="15" customHeight="1">
      <c r="A159" s="33" t="s">
        <v>157</v>
      </c>
      <c r="B159" s="52">
        <f>'Расчет субсидий'!AT159</f>
        <v>-40.75454545454545</v>
      </c>
      <c r="C159" s="54">
        <f>'Расчет субсидий'!D159-1</f>
        <v>-1</v>
      </c>
      <c r="D159" s="54">
        <f>C159*'Расчет субсидий'!E159</f>
        <v>0</v>
      </c>
      <c r="E159" s="55">
        <f t="shared" si="57"/>
        <v>0</v>
      </c>
      <c r="F159" s="27" t="s">
        <v>367</v>
      </c>
      <c r="G159" s="27" t="s">
        <v>367</v>
      </c>
      <c r="H159" s="27" t="s">
        <v>367</v>
      </c>
      <c r="I159" s="27" t="s">
        <v>367</v>
      </c>
      <c r="J159" s="27" t="s">
        <v>367</v>
      </c>
      <c r="K159" s="27" t="s">
        <v>367</v>
      </c>
      <c r="L159" s="54">
        <f>'Расчет субсидий'!P159-1</f>
        <v>-0.45323510570147341</v>
      </c>
      <c r="M159" s="54">
        <f>L159*'Расчет субсидий'!Q159</f>
        <v>-9.064702114029469</v>
      </c>
      <c r="N159" s="55">
        <f t="shared" si="58"/>
        <v>-37.428386036619052</v>
      </c>
      <c r="O159" s="54">
        <f>'Расчет субсидий'!T159-1</f>
        <v>0</v>
      </c>
      <c r="P159" s="54">
        <f>O159*'Расчет субсидий'!U159</f>
        <v>0</v>
      </c>
      <c r="Q159" s="55">
        <f t="shared" si="59"/>
        <v>0</v>
      </c>
      <c r="R159" s="54">
        <f>'Расчет субсидий'!X159-1</f>
        <v>0</v>
      </c>
      <c r="S159" s="54">
        <f>R159*'Расчет субсидий'!Y159</f>
        <v>0</v>
      </c>
      <c r="T159" s="55">
        <f t="shared" si="60"/>
        <v>0</v>
      </c>
      <c r="U159" s="60">
        <f>'Расчет субсидий'!AB159-1</f>
        <v>-0.16111111111111109</v>
      </c>
      <c r="V159" s="60">
        <f>U159*'Расчет субсидий'!AC159</f>
        <v>-0.80555555555555547</v>
      </c>
      <c r="W159" s="55">
        <f t="shared" si="38"/>
        <v>-3.3261594179263989</v>
      </c>
      <c r="X159" s="71">
        <f>'Расчет субсидий'!AF159-1</f>
        <v>0</v>
      </c>
      <c r="Y159" s="71">
        <f>X159*'Расчет субсидий'!AG159</f>
        <v>0</v>
      </c>
      <c r="Z159" s="55">
        <f t="shared" si="39"/>
        <v>0</v>
      </c>
      <c r="AA159" s="27" t="s">
        <v>367</v>
      </c>
      <c r="AB159" s="27" t="s">
        <v>367</v>
      </c>
      <c r="AC159" s="27" t="s">
        <v>367</v>
      </c>
      <c r="AD159" s="27" t="s">
        <v>367</v>
      </c>
      <c r="AE159" s="27" t="s">
        <v>367</v>
      </c>
      <c r="AF159" s="27" t="s">
        <v>367</v>
      </c>
      <c r="AG159" s="54">
        <f t="shared" si="40"/>
        <v>-9.8702576695850244</v>
      </c>
    </row>
    <row r="160" spans="1:33" ht="15" customHeight="1">
      <c r="A160" s="33" t="s">
        <v>158</v>
      </c>
      <c r="B160" s="52">
        <f>'Расчет субсидий'!AT160</f>
        <v>78.399999999999977</v>
      </c>
      <c r="C160" s="54">
        <f>'Расчет субсидий'!D160-1</f>
        <v>-1</v>
      </c>
      <c r="D160" s="54">
        <f>C160*'Расчет субсидий'!E160</f>
        <v>0</v>
      </c>
      <c r="E160" s="55">
        <f t="shared" si="57"/>
        <v>0</v>
      </c>
      <c r="F160" s="27" t="s">
        <v>367</v>
      </c>
      <c r="G160" s="27" t="s">
        <v>367</v>
      </c>
      <c r="H160" s="27" t="s">
        <v>367</v>
      </c>
      <c r="I160" s="27" t="s">
        <v>367</v>
      </c>
      <c r="J160" s="27" t="s">
        <v>367</v>
      </c>
      <c r="K160" s="27" t="s">
        <v>367</v>
      </c>
      <c r="L160" s="54">
        <f>'Расчет субсидий'!P160-1</f>
        <v>0.25131594906003629</v>
      </c>
      <c r="M160" s="54">
        <f>L160*'Расчет субсидий'!Q160</f>
        <v>5.0263189812007258</v>
      </c>
      <c r="N160" s="55">
        <f t="shared" si="58"/>
        <v>30.801025914435268</v>
      </c>
      <c r="O160" s="54">
        <f>'Расчет субсидий'!T160-1</f>
        <v>0</v>
      </c>
      <c r="P160" s="54">
        <f>O160*'Расчет субсидий'!U160</f>
        <v>0</v>
      </c>
      <c r="Q160" s="55">
        <f t="shared" si="59"/>
        <v>0</v>
      </c>
      <c r="R160" s="54">
        <f>'Расчет субсидий'!X160-1</f>
        <v>0.28000000000000003</v>
      </c>
      <c r="S160" s="54">
        <f>R160*'Расчет субсидий'!Y160</f>
        <v>8.4</v>
      </c>
      <c r="T160" s="55">
        <f t="shared" si="60"/>
        <v>51.474770831088236</v>
      </c>
      <c r="U160" s="60">
        <f>'Расчет субсидий'!AB160-1</f>
        <v>-0.12649572649572649</v>
      </c>
      <c r="V160" s="60">
        <f>U160*'Расчет субсидий'!AC160</f>
        <v>-0.63247863247863245</v>
      </c>
      <c r="W160" s="55">
        <f t="shared" si="38"/>
        <v>-3.8757967455235338</v>
      </c>
      <c r="X160" s="71">
        <f>'Расчет субсидий'!AF160-1</f>
        <v>0</v>
      </c>
      <c r="Y160" s="71">
        <f>X160*'Расчет субсидий'!AG160</f>
        <v>0</v>
      </c>
      <c r="Z160" s="55">
        <f t="shared" si="39"/>
        <v>0</v>
      </c>
      <c r="AA160" s="27" t="s">
        <v>367</v>
      </c>
      <c r="AB160" s="27" t="s">
        <v>367</v>
      </c>
      <c r="AC160" s="27" t="s">
        <v>367</v>
      </c>
      <c r="AD160" s="27" t="s">
        <v>367</v>
      </c>
      <c r="AE160" s="27" t="s">
        <v>367</v>
      </c>
      <c r="AF160" s="27" t="s">
        <v>367</v>
      </c>
      <c r="AG160" s="54">
        <f t="shared" si="40"/>
        <v>12.793840348722094</v>
      </c>
    </row>
    <row r="161" spans="1:33" ht="15" customHeight="1">
      <c r="A161" s="33" t="s">
        <v>159</v>
      </c>
      <c r="B161" s="52">
        <f>'Расчет субсидий'!AT161</f>
        <v>96.127272727272725</v>
      </c>
      <c r="C161" s="54">
        <f>'Расчет субсидий'!D161-1</f>
        <v>-1</v>
      </c>
      <c r="D161" s="54">
        <f>C161*'Расчет субсидий'!E161</f>
        <v>0</v>
      </c>
      <c r="E161" s="55">
        <f t="shared" si="57"/>
        <v>0</v>
      </c>
      <c r="F161" s="27" t="s">
        <v>367</v>
      </c>
      <c r="G161" s="27" t="s">
        <v>367</v>
      </c>
      <c r="H161" s="27" t="s">
        <v>367</v>
      </c>
      <c r="I161" s="27" t="s">
        <v>367</v>
      </c>
      <c r="J161" s="27" t="s">
        <v>367</v>
      </c>
      <c r="K161" s="27" t="s">
        <v>367</v>
      </c>
      <c r="L161" s="54">
        <f>'Расчет субсидий'!P161-1</f>
        <v>0.23343557060346543</v>
      </c>
      <c r="M161" s="54">
        <f>L161*'Расчет субсидий'!Q161</f>
        <v>4.6687114120693085</v>
      </c>
      <c r="N161" s="55">
        <f t="shared" si="58"/>
        <v>29.203455886154408</v>
      </c>
      <c r="O161" s="54">
        <f>'Расчет субсидий'!T161-1</f>
        <v>0</v>
      </c>
      <c r="P161" s="54">
        <f>O161*'Расчет субсидий'!U161</f>
        <v>0</v>
      </c>
      <c r="Q161" s="55">
        <f t="shared" si="59"/>
        <v>0</v>
      </c>
      <c r="R161" s="54">
        <f>'Расчет субсидий'!X161-1</f>
        <v>0.30000000000000004</v>
      </c>
      <c r="S161" s="54">
        <f>R161*'Расчет субсидий'!Y161</f>
        <v>7.5000000000000009</v>
      </c>
      <c r="T161" s="55">
        <f t="shared" si="60"/>
        <v>46.913569894241853</v>
      </c>
      <c r="U161" s="60">
        <f>'Расчет субсидий'!AB161-1</f>
        <v>-0.14115092290988052</v>
      </c>
      <c r="V161" s="60">
        <f>U161*'Расчет субсидий'!AC161</f>
        <v>-0.70575461454940258</v>
      </c>
      <c r="W161" s="55">
        <f t="shared" si="38"/>
        <v>-4.4145957917129488</v>
      </c>
      <c r="X161" s="71">
        <f>'Расчет субсидий'!AF161-1</f>
        <v>0.19523809523809521</v>
      </c>
      <c r="Y161" s="71">
        <f>X161*'Расчет субсидий'!AG161</f>
        <v>3.9047619047619042</v>
      </c>
      <c r="Z161" s="55">
        <f t="shared" si="39"/>
        <v>24.424842738589401</v>
      </c>
      <c r="AA161" s="27" t="s">
        <v>367</v>
      </c>
      <c r="AB161" s="27" t="s">
        <v>367</v>
      </c>
      <c r="AC161" s="27" t="s">
        <v>367</v>
      </c>
      <c r="AD161" s="27" t="s">
        <v>367</v>
      </c>
      <c r="AE161" s="27" t="s">
        <v>367</v>
      </c>
      <c r="AF161" s="27" t="s">
        <v>367</v>
      </c>
      <c r="AG161" s="54">
        <f t="shared" si="40"/>
        <v>15.367718702281813</v>
      </c>
    </row>
    <row r="162" spans="1:33" ht="15" customHeight="1">
      <c r="A162" s="33" t="s">
        <v>160</v>
      </c>
      <c r="B162" s="52">
        <f>'Расчет субсидий'!AT162</f>
        <v>73.290909090909167</v>
      </c>
      <c r="C162" s="54">
        <f>'Расчет субсидий'!D162-1</f>
        <v>0.19973305503680105</v>
      </c>
      <c r="D162" s="54">
        <f>C162*'Расчет субсидий'!E162</f>
        <v>1.9973305503680105</v>
      </c>
      <c r="E162" s="55">
        <f t="shared" si="57"/>
        <v>16.301185413124454</v>
      </c>
      <c r="F162" s="27" t="s">
        <v>367</v>
      </c>
      <c r="G162" s="27" t="s">
        <v>367</v>
      </c>
      <c r="H162" s="27" t="s">
        <v>367</v>
      </c>
      <c r="I162" s="27" t="s">
        <v>367</v>
      </c>
      <c r="J162" s="27" t="s">
        <v>367</v>
      </c>
      <c r="K162" s="27" t="s">
        <v>367</v>
      </c>
      <c r="L162" s="54">
        <f>'Расчет субсидий'!P162-1</f>
        <v>5.2455321204315064E-2</v>
      </c>
      <c r="M162" s="54">
        <f>L162*'Расчет субсидий'!Q162</f>
        <v>1.0491064240863013</v>
      </c>
      <c r="N162" s="55">
        <f t="shared" si="58"/>
        <v>8.5622674393979334</v>
      </c>
      <c r="O162" s="54">
        <f>'Расчет субсидий'!T162-1</f>
        <v>7.943925233644844E-3</v>
      </c>
      <c r="P162" s="54">
        <f>O162*'Расчет субсидий'!U162</f>
        <v>0.1985981308411211</v>
      </c>
      <c r="Q162" s="55">
        <f t="shared" si="59"/>
        <v>1.620855873327814</v>
      </c>
      <c r="R162" s="54">
        <f>'Расчет субсидий'!X162-1</f>
        <v>0.24857142857142844</v>
      </c>
      <c r="S162" s="54">
        <f>R162*'Расчет субсидий'!Y162</f>
        <v>6.2142857142857109</v>
      </c>
      <c r="T162" s="55">
        <f t="shared" si="60"/>
        <v>50.717806133810562</v>
      </c>
      <c r="U162" s="60">
        <f>'Расчет субсидий'!AB162-1</f>
        <v>-0.10988051948051947</v>
      </c>
      <c r="V162" s="60">
        <f>U162*'Расчет субсидий'!AC162</f>
        <v>-0.54940259740259734</v>
      </c>
      <c r="W162" s="55">
        <f t="shared" si="38"/>
        <v>-4.4839416315250222</v>
      </c>
      <c r="X162" s="71">
        <f>'Расчет субсидий'!AF162-1</f>
        <v>3.5087719298245723E-3</v>
      </c>
      <c r="Y162" s="71">
        <f>X162*'Расчет субсидий'!AG162</f>
        <v>7.0175438596491446E-2</v>
      </c>
      <c r="Z162" s="55">
        <f t="shared" si="39"/>
        <v>0.57273586277342248</v>
      </c>
      <c r="AA162" s="27" t="s">
        <v>367</v>
      </c>
      <c r="AB162" s="27" t="s">
        <v>367</v>
      </c>
      <c r="AC162" s="27" t="s">
        <v>367</v>
      </c>
      <c r="AD162" s="27" t="s">
        <v>367</v>
      </c>
      <c r="AE162" s="27" t="s">
        <v>367</v>
      </c>
      <c r="AF162" s="27" t="s">
        <v>367</v>
      </c>
      <c r="AG162" s="54">
        <f t="shared" si="40"/>
        <v>8.9800936607750383</v>
      </c>
    </row>
    <row r="163" spans="1:33" ht="15" customHeight="1">
      <c r="A163" s="33" t="s">
        <v>161</v>
      </c>
      <c r="B163" s="52">
        <f>'Расчет субсидий'!AT163</f>
        <v>21.990909090909099</v>
      </c>
      <c r="C163" s="54">
        <f>'Расчет субсидий'!D163-1</f>
        <v>-1</v>
      </c>
      <c r="D163" s="54">
        <f>C163*'Расчет субсидий'!E163</f>
        <v>0</v>
      </c>
      <c r="E163" s="55">
        <f t="shared" si="57"/>
        <v>0</v>
      </c>
      <c r="F163" s="27" t="s">
        <v>367</v>
      </c>
      <c r="G163" s="27" t="s">
        <v>367</v>
      </c>
      <c r="H163" s="27" t="s">
        <v>367</v>
      </c>
      <c r="I163" s="27" t="s">
        <v>367</v>
      </c>
      <c r="J163" s="27" t="s">
        <v>367</v>
      </c>
      <c r="K163" s="27" t="s">
        <v>367</v>
      </c>
      <c r="L163" s="54">
        <f>'Расчет субсидий'!P163-1</f>
        <v>0.27686635944700466</v>
      </c>
      <c r="M163" s="54">
        <f>L163*'Расчет субсидий'!Q163</f>
        <v>5.5373271889400932</v>
      </c>
      <c r="N163" s="55">
        <f t="shared" si="58"/>
        <v>24.091089970530405</v>
      </c>
      <c r="O163" s="54">
        <f>'Расчет субсидий'!T163-1</f>
        <v>0</v>
      </c>
      <c r="P163" s="54">
        <f>O163*'Расчет субсидий'!U163</f>
        <v>0</v>
      </c>
      <c r="Q163" s="55">
        <f t="shared" si="59"/>
        <v>0</v>
      </c>
      <c r="R163" s="54">
        <f>'Расчет субсидий'!X163-1</f>
        <v>0</v>
      </c>
      <c r="S163" s="54">
        <f>R163*'Расчет субсидий'!Y163</f>
        <v>0</v>
      </c>
      <c r="T163" s="55">
        <f t="shared" si="60"/>
        <v>0</v>
      </c>
      <c r="U163" s="60">
        <f>'Расчет субсидий'!AB163-1</f>
        <v>-0.15171755725190839</v>
      </c>
      <c r="V163" s="60">
        <f>U163*'Расчет субсидий'!AC163</f>
        <v>-0.75858778625954193</v>
      </c>
      <c r="W163" s="55">
        <f t="shared" si="38"/>
        <v>-3.3003660404654886</v>
      </c>
      <c r="X163" s="71">
        <f>'Расчет субсидий'!AF163-1</f>
        <v>1.379310344827589E-2</v>
      </c>
      <c r="Y163" s="71">
        <f>X163*'Расчет субсидий'!AG163</f>
        <v>0.27586206896551779</v>
      </c>
      <c r="Z163" s="55">
        <f t="shared" si="39"/>
        <v>1.2001851608441862</v>
      </c>
      <c r="AA163" s="27" t="s">
        <v>367</v>
      </c>
      <c r="AB163" s="27" t="s">
        <v>367</v>
      </c>
      <c r="AC163" s="27" t="s">
        <v>367</v>
      </c>
      <c r="AD163" s="27" t="s">
        <v>367</v>
      </c>
      <c r="AE163" s="27" t="s">
        <v>367</v>
      </c>
      <c r="AF163" s="27" t="s">
        <v>367</v>
      </c>
      <c r="AG163" s="54">
        <f t="shared" si="40"/>
        <v>5.0546014716460688</v>
      </c>
    </row>
    <row r="164" spans="1:33" ht="15" customHeight="1">
      <c r="A164" s="33" t="s">
        <v>162</v>
      </c>
      <c r="B164" s="52">
        <f>'Расчет субсидий'!AT164</f>
        <v>34.363636363636374</v>
      </c>
      <c r="C164" s="54">
        <f>'Расчет субсидий'!D164-1</f>
        <v>2.0485576923076954E-2</v>
      </c>
      <c r="D164" s="54">
        <f>C164*'Расчет субсидий'!E164</f>
        <v>0.20485576923076954</v>
      </c>
      <c r="E164" s="55">
        <f t="shared" si="57"/>
        <v>1.3443354615946399</v>
      </c>
      <c r="F164" s="27" t="s">
        <v>367</v>
      </c>
      <c r="G164" s="27" t="s">
        <v>367</v>
      </c>
      <c r="H164" s="27" t="s">
        <v>367</v>
      </c>
      <c r="I164" s="27" t="s">
        <v>367</v>
      </c>
      <c r="J164" s="27" t="s">
        <v>367</v>
      </c>
      <c r="K164" s="27" t="s">
        <v>367</v>
      </c>
      <c r="L164" s="54">
        <f>'Расчет субсидий'!P164-1</f>
        <v>0.19472085961224028</v>
      </c>
      <c r="M164" s="54">
        <f>L164*'Расчет субсидий'!Q164</f>
        <v>3.8944171922448056</v>
      </c>
      <c r="N164" s="55">
        <f t="shared" si="58"/>
        <v>25.556532546959186</v>
      </c>
      <c r="O164" s="54">
        <f>'Расчет субсидий'!T164-1</f>
        <v>0</v>
      </c>
      <c r="P164" s="54">
        <f>O164*'Расчет субсидий'!U164</f>
        <v>0</v>
      </c>
      <c r="Q164" s="55">
        <f t="shared" si="59"/>
        <v>0</v>
      </c>
      <c r="R164" s="54">
        <f>'Расчет субсидий'!X164-1</f>
        <v>0</v>
      </c>
      <c r="S164" s="54">
        <f>R164*'Расчет субсидий'!Y164</f>
        <v>0</v>
      </c>
      <c r="T164" s="55">
        <f t="shared" si="60"/>
        <v>0</v>
      </c>
      <c r="U164" s="60">
        <f>'Расчет субсидий'!AB164-1</f>
        <v>0.22744191396365299</v>
      </c>
      <c r="V164" s="60">
        <f>U164*'Расчет субсидий'!AC164</f>
        <v>1.1372095698182649</v>
      </c>
      <c r="W164" s="55">
        <f t="shared" si="38"/>
        <v>7.4627683550825434</v>
      </c>
      <c r="X164" s="71">
        <f>'Расчет субсидий'!AF164-1</f>
        <v>0</v>
      </c>
      <c r="Y164" s="71">
        <f>X164*'Расчет субсидий'!AG164</f>
        <v>0</v>
      </c>
      <c r="Z164" s="55">
        <f t="shared" si="39"/>
        <v>0</v>
      </c>
      <c r="AA164" s="27" t="s">
        <v>367</v>
      </c>
      <c r="AB164" s="27" t="s">
        <v>367</v>
      </c>
      <c r="AC164" s="27" t="s">
        <v>367</v>
      </c>
      <c r="AD164" s="27" t="s">
        <v>367</v>
      </c>
      <c r="AE164" s="27" t="s">
        <v>367</v>
      </c>
      <c r="AF164" s="27" t="s">
        <v>367</v>
      </c>
      <c r="AG164" s="54">
        <f t="shared" si="40"/>
        <v>5.2364825312938406</v>
      </c>
    </row>
    <row r="165" spans="1:33" ht="15" customHeight="1">
      <c r="A165" s="33" t="s">
        <v>163</v>
      </c>
      <c r="B165" s="52">
        <f>'Расчет субсидий'!AT165</f>
        <v>21.28181818181821</v>
      </c>
      <c r="C165" s="54">
        <f>'Расчет субсидий'!D165-1</f>
        <v>-1</v>
      </c>
      <c r="D165" s="54">
        <f>C165*'Расчет субсидий'!E165</f>
        <v>0</v>
      </c>
      <c r="E165" s="55">
        <f t="shared" si="57"/>
        <v>0</v>
      </c>
      <c r="F165" s="27" t="s">
        <v>367</v>
      </c>
      <c r="G165" s="27" t="s">
        <v>367</v>
      </c>
      <c r="H165" s="27" t="s">
        <v>367</v>
      </c>
      <c r="I165" s="27" t="s">
        <v>367</v>
      </c>
      <c r="J165" s="27" t="s">
        <v>367</v>
      </c>
      <c r="K165" s="27" t="s">
        <v>367</v>
      </c>
      <c r="L165" s="54">
        <f>'Расчет субсидий'!P165-1</f>
        <v>0.28497896213183727</v>
      </c>
      <c r="M165" s="54">
        <f>L165*'Расчет субсидий'!Q165</f>
        <v>5.6995792426367453</v>
      </c>
      <c r="N165" s="55">
        <f t="shared" si="58"/>
        <v>17.891193589695998</v>
      </c>
      <c r="O165" s="54">
        <f>'Расчет субсидий'!T165-1</f>
        <v>0</v>
      </c>
      <c r="P165" s="54">
        <f>O165*'Расчет субсидий'!U165</f>
        <v>0</v>
      </c>
      <c r="Q165" s="55">
        <f t="shared" si="59"/>
        <v>0</v>
      </c>
      <c r="R165" s="54">
        <f>'Расчет субсидий'!X165-1</f>
        <v>0</v>
      </c>
      <c r="S165" s="54">
        <f>R165*'Расчет субсидий'!Y165</f>
        <v>0</v>
      </c>
      <c r="T165" s="55">
        <f t="shared" si="60"/>
        <v>0</v>
      </c>
      <c r="U165" s="60">
        <f>'Расчет субсидий'!AB165-1</f>
        <v>0.1938073394495412</v>
      </c>
      <c r="V165" s="60">
        <f>U165*'Расчет субсидий'!AC165</f>
        <v>0.96903669724770602</v>
      </c>
      <c r="W165" s="55">
        <f t="shared" si="38"/>
        <v>3.0418426357307342</v>
      </c>
      <c r="X165" s="71">
        <f>'Расчет субсидий'!AF165-1</f>
        <v>5.5555555555555358E-3</v>
      </c>
      <c r="Y165" s="71">
        <f>X165*'Расчет субсидий'!AG165</f>
        <v>0.11111111111111072</v>
      </c>
      <c r="Z165" s="55">
        <f t="shared" si="39"/>
        <v>0.34878195639147824</v>
      </c>
      <c r="AA165" s="27" t="s">
        <v>367</v>
      </c>
      <c r="AB165" s="27" t="s">
        <v>367</v>
      </c>
      <c r="AC165" s="27" t="s">
        <v>367</v>
      </c>
      <c r="AD165" s="27" t="s">
        <v>367</v>
      </c>
      <c r="AE165" s="27" t="s">
        <v>367</v>
      </c>
      <c r="AF165" s="27" t="s">
        <v>367</v>
      </c>
      <c r="AG165" s="54">
        <f t="shared" si="40"/>
        <v>6.7797270509955618</v>
      </c>
    </row>
    <row r="166" spans="1:33" ht="15" customHeight="1">
      <c r="A166" s="33" t="s">
        <v>164</v>
      </c>
      <c r="B166" s="52">
        <f>'Расчет субсидий'!AT166</f>
        <v>20.690909090909145</v>
      </c>
      <c r="C166" s="54">
        <f>'Расчет субсидий'!D166-1</f>
        <v>-1</v>
      </c>
      <c r="D166" s="54">
        <f>C166*'Расчет субсидий'!E166</f>
        <v>0</v>
      </c>
      <c r="E166" s="55">
        <f t="shared" si="57"/>
        <v>0</v>
      </c>
      <c r="F166" s="27" t="s">
        <v>367</v>
      </c>
      <c r="G166" s="27" t="s">
        <v>367</v>
      </c>
      <c r="H166" s="27" t="s">
        <v>367</v>
      </c>
      <c r="I166" s="27" t="s">
        <v>367</v>
      </c>
      <c r="J166" s="27" t="s">
        <v>367</v>
      </c>
      <c r="K166" s="27" t="s">
        <v>367</v>
      </c>
      <c r="L166" s="54">
        <f>'Расчет субсидий'!P166-1</f>
        <v>0.24723476778866638</v>
      </c>
      <c r="M166" s="54">
        <f>L166*'Расчет субсидий'!Q166</f>
        <v>4.9446953557733275</v>
      </c>
      <c r="N166" s="55">
        <f t="shared" si="58"/>
        <v>24.818420667937168</v>
      </c>
      <c r="O166" s="54">
        <f>'Расчет субсидий'!T166-1</f>
        <v>0</v>
      </c>
      <c r="P166" s="54">
        <f>O166*'Расчет субсидий'!U166</f>
        <v>0</v>
      </c>
      <c r="Q166" s="55">
        <f t="shared" si="59"/>
        <v>0</v>
      </c>
      <c r="R166" s="54">
        <f>'Расчет субсидий'!X166-1</f>
        <v>0</v>
      </c>
      <c r="S166" s="54">
        <f>R166*'Расчет субсидий'!Y166</f>
        <v>0</v>
      </c>
      <c r="T166" s="55">
        <f t="shared" si="60"/>
        <v>0</v>
      </c>
      <c r="U166" s="60">
        <f>'Расчет субсидий'!AB166-1</f>
        <v>-0.16446886446886444</v>
      </c>
      <c r="V166" s="60">
        <f>U166*'Расчет субсидий'!AC166</f>
        <v>-0.8223443223443222</v>
      </c>
      <c r="W166" s="55">
        <f t="shared" si="38"/>
        <v>-4.1275115770280237</v>
      </c>
      <c r="X166" s="71">
        <f>'Расчет субсидий'!AF166-1</f>
        <v>0</v>
      </c>
      <c r="Y166" s="71">
        <f>X166*'Расчет субсидий'!AG166</f>
        <v>0</v>
      </c>
      <c r="Z166" s="55">
        <f t="shared" si="39"/>
        <v>0</v>
      </c>
      <c r="AA166" s="27" t="s">
        <v>367</v>
      </c>
      <c r="AB166" s="27" t="s">
        <v>367</v>
      </c>
      <c r="AC166" s="27" t="s">
        <v>367</v>
      </c>
      <c r="AD166" s="27" t="s">
        <v>367</v>
      </c>
      <c r="AE166" s="27" t="s">
        <v>367</v>
      </c>
      <c r="AF166" s="27" t="s">
        <v>367</v>
      </c>
      <c r="AG166" s="54">
        <f t="shared" si="40"/>
        <v>4.1223510334290054</v>
      </c>
    </row>
    <row r="167" spans="1:33" ht="15" customHeight="1">
      <c r="A167" s="33" t="s">
        <v>99</v>
      </c>
      <c r="B167" s="52">
        <f>'Расчет субсидий'!AT167</f>
        <v>21.75454545454545</v>
      </c>
      <c r="C167" s="54">
        <f>'Расчет субсидий'!D167-1</f>
        <v>-8.4056122448978865E-3</v>
      </c>
      <c r="D167" s="54">
        <f>C167*'Расчет субсидий'!E167</f>
        <v>-8.4056122448978865E-2</v>
      </c>
      <c r="E167" s="55">
        <f t="shared" si="57"/>
        <v>-0.35591174890619137</v>
      </c>
      <c r="F167" s="27" t="s">
        <v>367</v>
      </c>
      <c r="G167" s="27" t="s">
        <v>367</v>
      </c>
      <c r="H167" s="27" t="s">
        <v>367</v>
      </c>
      <c r="I167" s="27" t="s">
        <v>367</v>
      </c>
      <c r="J167" s="27" t="s">
        <v>367</v>
      </c>
      <c r="K167" s="27" t="s">
        <v>367</v>
      </c>
      <c r="L167" s="54">
        <f>'Расчет субсидий'!P167-1</f>
        <v>0.30000000000000004</v>
      </c>
      <c r="M167" s="54">
        <f>L167*'Расчет субсидий'!Q167</f>
        <v>6.0000000000000009</v>
      </c>
      <c r="N167" s="55">
        <f t="shared" si="58"/>
        <v>25.405293882469483</v>
      </c>
      <c r="O167" s="54">
        <f>'Расчет субсидий'!T167-1</f>
        <v>0</v>
      </c>
      <c r="P167" s="54">
        <f>O167*'Расчет субсидий'!U167</f>
        <v>0</v>
      </c>
      <c r="Q167" s="55">
        <f t="shared" si="59"/>
        <v>0</v>
      </c>
      <c r="R167" s="54">
        <f>'Расчет субсидий'!X167-1</f>
        <v>0</v>
      </c>
      <c r="S167" s="54">
        <f>R167*'Расчет субсидий'!Y167</f>
        <v>0</v>
      </c>
      <c r="T167" s="55">
        <f t="shared" si="60"/>
        <v>0</v>
      </c>
      <c r="U167" s="60">
        <f>'Расчет субсидий'!AB167-1</f>
        <v>-0.1556291390728477</v>
      </c>
      <c r="V167" s="60">
        <f>U167*'Расчет субсидий'!AC167</f>
        <v>-0.7781456953642385</v>
      </c>
      <c r="W167" s="55">
        <f t="shared" si="38"/>
        <v>-3.2948366790178407</v>
      </c>
      <c r="X167" s="71">
        <f>'Расчет субсидий'!AF167-1</f>
        <v>0</v>
      </c>
      <c r="Y167" s="71">
        <f>X167*'Расчет субсидий'!AG167</f>
        <v>0</v>
      </c>
      <c r="Z167" s="55">
        <f t="shared" si="39"/>
        <v>0</v>
      </c>
      <c r="AA167" s="27" t="s">
        <v>367</v>
      </c>
      <c r="AB167" s="27" t="s">
        <v>367</v>
      </c>
      <c r="AC167" s="27" t="s">
        <v>367</v>
      </c>
      <c r="AD167" s="27" t="s">
        <v>367</v>
      </c>
      <c r="AE167" s="27" t="s">
        <v>367</v>
      </c>
      <c r="AF167" s="27" t="s">
        <v>367</v>
      </c>
      <c r="AG167" s="54">
        <f t="shared" si="40"/>
        <v>5.137798182186784</v>
      </c>
    </row>
    <row r="168" spans="1:33" ht="15" customHeight="1">
      <c r="A168" s="33" t="s">
        <v>165</v>
      </c>
      <c r="B168" s="52">
        <f>'Расчет субсидий'!AT168</f>
        <v>83.072727272727207</v>
      </c>
      <c r="C168" s="54">
        <f>'Расчет субсидий'!D168-1</f>
        <v>0.20873561894102721</v>
      </c>
      <c r="D168" s="54">
        <f>C168*'Расчет субсидий'!E168</f>
        <v>2.0873561894102721</v>
      </c>
      <c r="E168" s="55">
        <f t="shared" si="57"/>
        <v>10.189167376325665</v>
      </c>
      <c r="F168" s="27" t="s">
        <v>367</v>
      </c>
      <c r="G168" s="27" t="s">
        <v>367</v>
      </c>
      <c r="H168" s="27" t="s">
        <v>367</v>
      </c>
      <c r="I168" s="27" t="s">
        <v>367</v>
      </c>
      <c r="J168" s="27" t="s">
        <v>367</v>
      </c>
      <c r="K168" s="27" t="s">
        <v>367</v>
      </c>
      <c r="L168" s="54">
        <f>'Расчет субсидий'!P168-1</f>
        <v>0.25873088416241874</v>
      </c>
      <c r="M168" s="54">
        <f>L168*'Расчет субсидий'!Q168</f>
        <v>5.1746176832483748</v>
      </c>
      <c r="N168" s="55">
        <f t="shared" si="58"/>
        <v>25.259247056444316</v>
      </c>
      <c r="O168" s="54">
        <f>'Расчет субсидий'!T168-1</f>
        <v>7.1065989847716171E-3</v>
      </c>
      <c r="P168" s="54">
        <f>O168*'Расчет субсидий'!U168</f>
        <v>3.5532994923858086E-2</v>
      </c>
      <c r="Q168" s="55">
        <f t="shared" si="59"/>
        <v>0.17344985704792842</v>
      </c>
      <c r="R168" s="54">
        <f>'Расчет субсидий'!X168-1</f>
        <v>0.22961470588235278</v>
      </c>
      <c r="S168" s="54">
        <f>R168*'Расчет субсидий'!Y168</f>
        <v>10.332661764705875</v>
      </c>
      <c r="T168" s="55">
        <f t="shared" si="60"/>
        <v>50.43759215493219</v>
      </c>
      <c r="U168" s="60">
        <f>'Расчет субсидий'!AB168-1</f>
        <v>-0.12237246465888141</v>
      </c>
      <c r="V168" s="60">
        <f>U168*'Расчет субсидий'!AC168</f>
        <v>-0.61186232329440704</v>
      </c>
      <c r="W168" s="55">
        <f t="shared" si="38"/>
        <v>-2.9867291720228915</v>
      </c>
      <c r="X168" s="71">
        <f>'Расчет субсидий'!AF168-1</f>
        <v>0</v>
      </c>
      <c r="Y168" s="71">
        <f>X168*'Расчет субсидий'!AG168</f>
        <v>0</v>
      </c>
      <c r="Z168" s="55">
        <f t="shared" si="39"/>
        <v>0</v>
      </c>
      <c r="AA168" s="27" t="s">
        <v>367</v>
      </c>
      <c r="AB168" s="27" t="s">
        <v>367</v>
      </c>
      <c r="AC168" s="27" t="s">
        <v>367</v>
      </c>
      <c r="AD168" s="27" t="s">
        <v>367</v>
      </c>
      <c r="AE168" s="27" t="s">
        <v>367</v>
      </c>
      <c r="AF168" s="27" t="s">
        <v>367</v>
      </c>
      <c r="AG168" s="54">
        <f t="shared" si="40"/>
        <v>17.018306308993974</v>
      </c>
    </row>
    <row r="169" spans="1:33" ht="15" customHeight="1">
      <c r="A169" s="33" t="s">
        <v>166</v>
      </c>
      <c r="B169" s="52">
        <f>'Расчет субсидий'!AT169</f>
        <v>41.172727272727229</v>
      </c>
      <c r="C169" s="54">
        <f>'Расчет субсидий'!D169-1</f>
        <v>0.2157397660818714</v>
      </c>
      <c r="D169" s="54">
        <f>C169*'Расчет субсидий'!E169</f>
        <v>2.157397660818714</v>
      </c>
      <c r="E169" s="55">
        <f t="shared" si="57"/>
        <v>17.613188829283878</v>
      </c>
      <c r="F169" s="27" t="s">
        <v>367</v>
      </c>
      <c r="G169" s="27" t="s">
        <v>367</v>
      </c>
      <c r="H169" s="27" t="s">
        <v>367</v>
      </c>
      <c r="I169" s="27" t="s">
        <v>367</v>
      </c>
      <c r="J169" s="27" t="s">
        <v>367</v>
      </c>
      <c r="K169" s="27" t="s">
        <v>367</v>
      </c>
      <c r="L169" s="54">
        <f>'Расчет субсидий'!P169-1</f>
        <v>0.10417061611374412</v>
      </c>
      <c r="M169" s="54">
        <f>L169*'Расчет субсидий'!Q169</f>
        <v>2.0834123222748824</v>
      </c>
      <c r="N169" s="55">
        <f t="shared" si="58"/>
        <v>17.009165861225</v>
      </c>
      <c r="O169" s="54">
        <f>'Расчет субсидий'!T169-1</f>
        <v>1.0624999999999885E-2</v>
      </c>
      <c r="P169" s="54">
        <f>O169*'Расчет субсидий'!U169</f>
        <v>0.4781249999999948</v>
      </c>
      <c r="Q169" s="55">
        <f t="shared" si="59"/>
        <v>3.9034555668357629</v>
      </c>
      <c r="R169" s="54">
        <f>'Расчет субсидий'!X169-1</f>
        <v>0</v>
      </c>
      <c r="S169" s="54">
        <f>R169*'Расчет субсидий'!Y169</f>
        <v>0</v>
      </c>
      <c r="T169" s="55">
        <f t="shared" si="60"/>
        <v>0</v>
      </c>
      <c r="U169" s="60">
        <f>'Расчет субсидий'!AB169-1</f>
        <v>-3.2718060079623634E-2</v>
      </c>
      <c r="V169" s="60">
        <f>U169*'Расчет субсидий'!AC169</f>
        <v>-0.16359030039811817</v>
      </c>
      <c r="W169" s="55">
        <f t="shared" si="38"/>
        <v>-1.3355659477529433</v>
      </c>
      <c r="X169" s="71">
        <f>'Расчет субсидий'!AF169-1</f>
        <v>2.4390243902439046E-2</v>
      </c>
      <c r="Y169" s="71">
        <f>X169*'Расчет субсидий'!AG169</f>
        <v>0.48780487804878092</v>
      </c>
      <c r="Z169" s="55">
        <f t="shared" si="39"/>
        <v>3.9824829631355301</v>
      </c>
      <c r="AA169" s="27" t="s">
        <v>367</v>
      </c>
      <c r="AB169" s="27" t="s">
        <v>367</v>
      </c>
      <c r="AC169" s="27" t="s">
        <v>367</v>
      </c>
      <c r="AD169" s="27" t="s">
        <v>367</v>
      </c>
      <c r="AE169" s="27" t="s">
        <v>367</v>
      </c>
      <c r="AF169" s="27" t="s">
        <v>367</v>
      </c>
      <c r="AG169" s="54">
        <f t="shared" si="40"/>
        <v>5.0431495607442542</v>
      </c>
    </row>
    <row r="170" spans="1:33" ht="15" customHeight="1">
      <c r="A170" s="33" t="s">
        <v>167</v>
      </c>
      <c r="B170" s="52">
        <f>'Расчет субсидий'!AT170</f>
        <v>4.4727272727272975</v>
      </c>
      <c r="C170" s="54">
        <f>'Расчет субсидий'!D170-1</f>
        <v>2.1263482280431401E-3</v>
      </c>
      <c r="D170" s="54">
        <f>C170*'Расчет субсидий'!E170</f>
        <v>2.1263482280431401E-2</v>
      </c>
      <c r="E170" s="55">
        <f t="shared" si="57"/>
        <v>0.11432050446900494</v>
      </c>
      <c r="F170" s="27" t="s">
        <v>367</v>
      </c>
      <c r="G170" s="27" t="s">
        <v>367</v>
      </c>
      <c r="H170" s="27" t="s">
        <v>367</v>
      </c>
      <c r="I170" s="27" t="s">
        <v>367</v>
      </c>
      <c r="J170" s="27" t="s">
        <v>367</v>
      </c>
      <c r="K170" s="27" t="s">
        <v>367</v>
      </c>
      <c r="L170" s="54">
        <f>'Расчет субсидий'!P170-1</f>
        <v>5.8906426155580505E-2</v>
      </c>
      <c r="M170" s="54">
        <f>L170*'Расчет субсидий'!Q170</f>
        <v>1.1781285231116101</v>
      </c>
      <c r="N170" s="55">
        <f t="shared" si="58"/>
        <v>6.3340635045178733</v>
      </c>
      <c r="O170" s="54">
        <f>'Расчет субсидий'!T170-1</f>
        <v>0</v>
      </c>
      <c r="P170" s="54">
        <f>O170*'Расчет субсидий'!U170</f>
        <v>0</v>
      </c>
      <c r="Q170" s="55">
        <f t="shared" si="59"/>
        <v>0</v>
      </c>
      <c r="R170" s="54">
        <f>'Расчет субсидий'!X170-1</f>
        <v>0</v>
      </c>
      <c r="S170" s="54">
        <f>R170*'Расчет субсидий'!Y170</f>
        <v>0</v>
      </c>
      <c r="T170" s="55">
        <f t="shared" si="60"/>
        <v>0</v>
      </c>
      <c r="U170" s="60">
        <f>'Расчет субсидий'!AB170-1</f>
        <v>-7.3493975903614506E-2</v>
      </c>
      <c r="V170" s="60">
        <f>U170*'Расчет субсидий'!AC170</f>
        <v>-0.36746987951807253</v>
      </c>
      <c r="W170" s="55">
        <f t="shared" si="38"/>
        <v>-1.97565673625958</v>
      </c>
      <c r="X170" s="71">
        <f>'Расчет субсидий'!AF170-1</f>
        <v>0</v>
      </c>
      <c r="Y170" s="71">
        <f>X170*'Расчет субсидий'!AG170</f>
        <v>0</v>
      </c>
      <c r="Z170" s="55">
        <f t="shared" si="39"/>
        <v>0</v>
      </c>
      <c r="AA170" s="27" t="s">
        <v>367</v>
      </c>
      <c r="AB170" s="27" t="s">
        <v>367</v>
      </c>
      <c r="AC170" s="27" t="s">
        <v>367</v>
      </c>
      <c r="AD170" s="27" t="s">
        <v>367</v>
      </c>
      <c r="AE170" s="27" t="s">
        <v>367</v>
      </c>
      <c r="AF170" s="27" t="s">
        <v>367</v>
      </c>
      <c r="AG170" s="54">
        <f t="shared" si="40"/>
        <v>0.83192212587396897</v>
      </c>
    </row>
    <row r="171" spans="1:33" ht="15" customHeight="1">
      <c r="A171" s="32" t="s">
        <v>168</v>
      </c>
      <c r="B171" s="56"/>
      <c r="C171" s="57"/>
      <c r="D171" s="57"/>
      <c r="E171" s="58"/>
      <c r="F171" s="57"/>
      <c r="G171" s="57"/>
      <c r="H171" s="58"/>
      <c r="I171" s="58"/>
      <c r="J171" s="58"/>
      <c r="K171" s="58"/>
      <c r="L171" s="57"/>
      <c r="M171" s="57"/>
      <c r="N171" s="58"/>
      <c r="O171" s="57"/>
      <c r="P171" s="57"/>
      <c r="Q171" s="58"/>
      <c r="R171" s="57"/>
      <c r="S171" s="57"/>
      <c r="T171" s="58"/>
      <c r="U171" s="58"/>
      <c r="V171" s="58"/>
      <c r="W171" s="58"/>
      <c r="X171" s="73"/>
      <c r="Y171" s="73"/>
      <c r="Z171" s="58"/>
      <c r="AA171" s="58"/>
      <c r="AB171" s="58"/>
      <c r="AC171" s="58"/>
      <c r="AD171" s="58"/>
      <c r="AE171" s="58"/>
      <c r="AF171" s="58"/>
      <c r="AG171" s="58"/>
    </row>
    <row r="172" spans="1:33" ht="15" customHeight="1">
      <c r="A172" s="33" t="s">
        <v>169</v>
      </c>
      <c r="B172" s="52">
        <f>'Расчет субсидий'!AT172</f>
        <v>-28.372727272727275</v>
      </c>
      <c r="C172" s="54">
        <f>'Расчет субсидий'!D172-1</f>
        <v>-1</v>
      </c>
      <c r="D172" s="54">
        <f>C172*'Расчет субсидий'!E172</f>
        <v>0</v>
      </c>
      <c r="E172" s="55">
        <f t="shared" ref="E172:E177" si="61">$B172*D172/$AG172</f>
        <v>0</v>
      </c>
      <c r="F172" s="27" t="s">
        <v>367</v>
      </c>
      <c r="G172" s="27" t="s">
        <v>367</v>
      </c>
      <c r="H172" s="27" t="s">
        <v>367</v>
      </c>
      <c r="I172" s="27" t="s">
        <v>367</v>
      </c>
      <c r="J172" s="27" t="s">
        <v>367</v>
      </c>
      <c r="K172" s="27" t="s">
        <v>367</v>
      </c>
      <c r="L172" s="54">
        <f>'Расчет субсидий'!P172-1</f>
        <v>-0.23392282958199362</v>
      </c>
      <c r="M172" s="54">
        <f>L172*'Расчет субсидий'!Q172</f>
        <v>-4.6784565916398719</v>
      </c>
      <c r="N172" s="55">
        <f t="shared" ref="N172:N177" si="62">$B172*M172/$AG172</f>
        <v>-15.960885664870782</v>
      </c>
      <c r="O172" s="54">
        <f>'Расчет субсидий'!T172-1</f>
        <v>-0.21291390728476822</v>
      </c>
      <c r="P172" s="54">
        <f>O172*'Расчет субсидий'!U172</f>
        <v>-7.4519867549668879</v>
      </c>
      <c r="Q172" s="55">
        <f t="shared" ref="Q172:Q177" si="63">$B172*P172/$AG172</f>
        <v>-25.422980045320354</v>
      </c>
      <c r="R172" s="54">
        <f>'Расчет субсидий'!X172-1</f>
        <v>0.30000000000000004</v>
      </c>
      <c r="S172" s="54">
        <f>R172*'Расчет субсидий'!Y172</f>
        <v>4.5000000000000009</v>
      </c>
      <c r="T172" s="55">
        <f t="shared" ref="T172:T177" si="64">$B172*S172/$AG172</f>
        <v>15.352068376623135</v>
      </c>
      <c r="U172" s="60">
        <f>'Расчет субсидий'!AB172-1</f>
        <v>-9.1951710261569453E-2</v>
      </c>
      <c r="V172" s="60">
        <f>U172*'Расчет субсидий'!AC172</f>
        <v>-0.45975855130784726</v>
      </c>
      <c r="W172" s="55">
        <f t="shared" si="38"/>
        <v>-1.568498825870059</v>
      </c>
      <c r="X172" s="71">
        <f>'Расчет субсидий'!AF172-1</f>
        <v>-1.132075471698113E-2</v>
      </c>
      <c r="Y172" s="71">
        <f>X172*'Расчет субсидий'!AG172</f>
        <v>-0.22641509433962259</v>
      </c>
      <c r="Z172" s="55">
        <f t="shared" si="39"/>
        <v>-0.77243111328921399</v>
      </c>
      <c r="AA172" s="27" t="s">
        <v>367</v>
      </c>
      <c r="AB172" s="27" t="s">
        <v>367</v>
      </c>
      <c r="AC172" s="27" t="s">
        <v>367</v>
      </c>
      <c r="AD172" s="27" t="s">
        <v>367</v>
      </c>
      <c r="AE172" s="27" t="s">
        <v>367</v>
      </c>
      <c r="AF172" s="27" t="s">
        <v>367</v>
      </c>
      <c r="AG172" s="54">
        <f t="shared" si="40"/>
        <v>-8.3166169922542288</v>
      </c>
    </row>
    <row r="173" spans="1:33" ht="15" customHeight="1">
      <c r="A173" s="33" t="s">
        <v>170</v>
      </c>
      <c r="B173" s="52">
        <f>'Расчет субсидий'!AT173</f>
        <v>-18.263636363636351</v>
      </c>
      <c r="C173" s="54">
        <f>'Расчет субсидий'!D173-1</f>
        <v>3.7139330350253186E-3</v>
      </c>
      <c r="D173" s="54">
        <f>C173*'Расчет субсидий'!E173</f>
        <v>3.7139330350253186E-2</v>
      </c>
      <c r="E173" s="55">
        <f t="shared" si="61"/>
        <v>0.2061574978079799</v>
      </c>
      <c r="F173" s="27" t="s">
        <v>367</v>
      </c>
      <c r="G173" s="27" t="s">
        <v>367</v>
      </c>
      <c r="H173" s="27" t="s">
        <v>367</v>
      </c>
      <c r="I173" s="27" t="s">
        <v>367</v>
      </c>
      <c r="J173" s="27" t="s">
        <v>367</v>
      </c>
      <c r="K173" s="27" t="s">
        <v>367</v>
      </c>
      <c r="L173" s="54">
        <f>'Расчет субсидий'!P173-1</f>
        <v>-0.33496519057761387</v>
      </c>
      <c r="M173" s="54">
        <f>L173*'Расчет субсидий'!Q173</f>
        <v>-6.6993038115522774</v>
      </c>
      <c r="N173" s="55">
        <f t="shared" si="62"/>
        <v>-37.1873078437362</v>
      </c>
      <c r="O173" s="54">
        <f>'Расчет субсидий'!T173-1</f>
        <v>0.20570006222775361</v>
      </c>
      <c r="P173" s="54">
        <f>O173*'Расчет субсидий'!U173</f>
        <v>5.1425015556938405</v>
      </c>
      <c r="Q173" s="55">
        <f t="shared" si="63"/>
        <v>28.545621129872064</v>
      </c>
      <c r="R173" s="54">
        <f>'Расчет субсидий'!X173-1</f>
        <v>5.555555555555558E-2</v>
      </c>
      <c r="S173" s="54">
        <f>R173*'Расчет субсидий'!Y173</f>
        <v>1.3888888888888895</v>
      </c>
      <c r="T173" s="55">
        <f t="shared" si="64"/>
        <v>7.709612838097037</v>
      </c>
      <c r="U173" s="60">
        <f>'Расчет субсидий'!AB173-1</f>
        <v>-4.5346561382196171E-2</v>
      </c>
      <c r="V173" s="60">
        <f>U173*'Расчет субсидий'!AC173</f>
        <v>-0.22673280691098086</v>
      </c>
      <c r="W173" s="55">
        <f t="shared" si="38"/>
        <v>-1.2585759544646453</v>
      </c>
      <c r="X173" s="71">
        <f>'Расчет субсидий'!AF173-1</f>
        <v>-0.14663461538461542</v>
      </c>
      <c r="Y173" s="71">
        <f>X173*'Расчет субсидий'!AG173</f>
        <v>-2.9326923076923084</v>
      </c>
      <c r="Z173" s="55">
        <f t="shared" si="39"/>
        <v>-16.279144031212589</v>
      </c>
      <c r="AA173" s="27" t="s">
        <v>367</v>
      </c>
      <c r="AB173" s="27" t="s">
        <v>367</v>
      </c>
      <c r="AC173" s="27" t="s">
        <v>367</v>
      </c>
      <c r="AD173" s="27" t="s">
        <v>367</v>
      </c>
      <c r="AE173" s="27" t="s">
        <v>367</v>
      </c>
      <c r="AF173" s="27" t="s">
        <v>367</v>
      </c>
      <c r="AG173" s="54">
        <f t="shared" si="40"/>
        <v>-3.2901991512225841</v>
      </c>
    </row>
    <row r="174" spans="1:33" ht="15" customHeight="1">
      <c r="A174" s="33" t="s">
        <v>171</v>
      </c>
      <c r="B174" s="52">
        <f>'Расчет субсидий'!AT174</f>
        <v>-25.463636363636397</v>
      </c>
      <c r="C174" s="54">
        <f>'Расчет субсидий'!D174-1</f>
        <v>-1</v>
      </c>
      <c r="D174" s="54">
        <f>C174*'Расчет субсидий'!E174</f>
        <v>0</v>
      </c>
      <c r="E174" s="55">
        <f t="shared" si="61"/>
        <v>0</v>
      </c>
      <c r="F174" s="27" t="s">
        <v>367</v>
      </c>
      <c r="G174" s="27" t="s">
        <v>367</v>
      </c>
      <c r="H174" s="27" t="s">
        <v>367</v>
      </c>
      <c r="I174" s="27" t="s">
        <v>367</v>
      </c>
      <c r="J174" s="27" t="s">
        <v>367</v>
      </c>
      <c r="K174" s="27" t="s">
        <v>367</v>
      </c>
      <c r="L174" s="54">
        <f>'Расчет субсидий'!P174-1</f>
        <v>-0.37526652452025588</v>
      </c>
      <c r="M174" s="54">
        <f>L174*'Расчет субсидий'!Q174</f>
        <v>-7.5053304904051181</v>
      </c>
      <c r="N174" s="55">
        <f t="shared" si="62"/>
        <v>-23.339696403013612</v>
      </c>
      <c r="O174" s="54">
        <f>'Расчет субсидий'!T174-1</f>
        <v>0</v>
      </c>
      <c r="P174" s="54">
        <f>O174*'Расчет субсидий'!U174</f>
        <v>0</v>
      </c>
      <c r="Q174" s="55">
        <f t="shared" si="63"/>
        <v>0</v>
      </c>
      <c r="R174" s="54">
        <f>'Расчет субсидий'!X174-1</f>
        <v>0</v>
      </c>
      <c r="S174" s="54">
        <f>R174*'Расчет субсидий'!Y174</f>
        <v>0</v>
      </c>
      <c r="T174" s="55">
        <f t="shared" si="64"/>
        <v>0</v>
      </c>
      <c r="U174" s="60">
        <f>'Расчет субсидий'!AB174-1</f>
        <v>2.5316455696202667E-3</v>
      </c>
      <c r="V174" s="60">
        <f>U174*'Расчет субсидий'!AC174</f>
        <v>1.2658227848101333E-2</v>
      </c>
      <c r="W174" s="55">
        <f t="shared" si="38"/>
        <v>3.9363915466820484E-2</v>
      </c>
      <c r="X174" s="71">
        <f>'Расчет субсидий'!AF174-1</f>
        <v>-3.4782608695652195E-2</v>
      </c>
      <c r="Y174" s="71">
        <f>X174*'Расчет субсидий'!AG174</f>
        <v>-0.6956521739130439</v>
      </c>
      <c r="Z174" s="55">
        <f t="shared" si="39"/>
        <v>-2.1633038760896026</v>
      </c>
      <c r="AA174" s="27" t="s">
        <v>367</v>
      </c>
      <c r="AB174" s="27" t="s">
        <v>367</v>
      </c>
      <c r="AC174" s="27" t="s">
        <v>367</v>
      </c>
      <c r="AD174" s="27" t="s">
        <v>367</v>
      </c>
      <c r="AE174" s="27" t="s">
        <v>367</v>
      </c>
      <c r="AF174" s="27" t="s">
        <v>367</v>
      </c>
      <c r="AG174" s="54">
        <f t="shared" si="40"/>
        <v>-8.1883244364700616</v>
      </c>
    </row>
    <row r="175" spans="1:33" ht="15" customHeight="1">
      <c r="A175" s="33" t="s">
        <v>172</v>
      </c>
      <c r="B175" s="52">
        <f>'Расчет субсидий'!AT175</f>
        <v>-34.790909090909096</v>
      </c>
      <c r="C175" s="54">
        <f>'Расчет субсидий'!D175-1</f>
        <v>-1</v>
      </c>
      <c r="D175" s="54">
        <f>C175*'Расчет субсидий'!E175</f>
        <v>0</v>
      </c>
      <c r="E175" s="55">
        <f t="shared" si="61"/>
        <v>0</v>
      </c>
      <c r="F175" s="27" t="s">
        <v>367</v>
      </c>
      <c r="G175" s="27" t="s">
        <v>367</v>
      </c>
      <c r="H175" s="27" t="s">
        <v>367</v>
      </c>
      <c r="I175" s="27" t="s">
        <v>367</v>
      </c>
      <c r="J175" s="27" t="s">
        <v>367</v>
      </c>
      <c r="K175" s="27" t="s">
        <v>367</v>
      </c>
      <c r="L175" s="54">
        <f>'Расчет субсидий'!P175-1</f>
        <v>-0.48414695520885753</v>
      </c>
      <c r="M175" s="54">
        <f>L175*'Расчет субсидий'!Q175</f>
        <v>-9.6829391041771515</v>
      </c>
      <c r="N175" s="55">
        <f t="shared" si="62"/>
        <v>-16.321121373566832</v>
      </c>
      <c r="O175" s="54">
        <f>'Расчет субсидий'!T175-1</f>
        <v>-0.37777777777777777</v>
      </c>
      <c r="P175" s="54">
        <f>O175*'Расчет субсидий'!U175</f>
        <v>-13.222222222222221</v>
      </c>
      <c r="Q175" s="55">
        <f t="shared" si="63"/>
        <v>-22.286775884407472</v>
      </c>
      <c r="R175" s="54">
        <f>'Расчет субсидий'!X175-1</f>
        <v>-5.0000000000000044E-2</v>
      </c>
      <c r="S175" s="54">
        <f>R175*'Расчет субсидий'!Y175</f>
        <v>-0.75000000000000067</v>
      </c>
      <c r="T175" s="55">
        <f t="shared" si="64"/>
        <v>-1.2641658589895006</v>
      </c>
      <c r="U175" s="60">
        <f>'Расчет субсидий'!AB175-1</f>
        <v>-0.20481335952848723</v>
      </c>
      <c r="V175" s="60">
        <f>U175*'Расчет субсидий'!AC175</f>
        <v>-1.024066797642436</v>
      </c>
      <c r="W175" s="55">
        <f t="shared" ref="W175:W237" si="65">$B175*V175/$AG175</f>
        <v>-1.7261203772057014</v>
      </c>
      <c r="X175" s="71">
        <f>'Расчет субсидий'!AF175-1</f>
        <v>0.2019298245614034</v>
      </c>
      <c r="Y175" s="71">
        <f>X175*'Расчет субсидий'!AG175</f>
        <v>4.0385964912280681</v>
      </c>
      <c r="Z175" s="55">
        <f t="shared" si="39"/>
        <v>6.8072744032604122</v>
      </c>
      <c r="AA175" s="27" t="s">
        <v>367</v>
      </c>
      <c r="AB175" s="27" t="s">
        <v>367</v>
      </c>
      <c r="AC175" s="27" t="s">
        <v>367</v>
      </c>
      <c r="AD175" s="27" t="s">
        <v>367</v>
      </c>
      <c r="AE175" s="27" t="s">
        <v>367</v>
      </c>
      <c r="AF175" s="27" t="s">
        <v>367</v>
      </c>
      <c r="AG175" s="54">
        <f t="shared" si="40"/>
        <v>-20.640631632813744</v>
      </c>
    </row>
    <row r="176" spans="1:33" ht="15" customHeight="1">
      <c r="A176" s="33" t="s">
        <v>173</v>
      </c>
      <c r="B176" s="52">
        <f>'Расчет субсидий'!AT176</f>
        <v>-11.963636363636368</v>
      </c>
      <c r="C176" s="54">
        <f>'Расчет субсидий'!D176-1</f>
        <v>-1</v>
      </c>
      <c r="D176" s="54">
        <f>C176*'Расчет субсидий'!E176</f>
        <v>0</v>
      </c>
      <c r="E176" s="55">
        <f t="shared" si="61"/>
        <v>0</v>
      </c>
      <c r="F176" s="27" t="s">
        <v>367</v>
      </c>
      <c r="G176" s="27" t="s">
        <v>367</v>
      </c>
      <c r="H176" s="27" t="s">
        <v>367</v>
      </c>
      <c r="I176" s="27" t="s">
        <v>367</v>
      </c>
      <c r="J176" s="27" t="s">
        <v>367</v>
      </c>
      <c r="K176" s="27" t="s">
        <v>367</v>
      </c>
      <c r="L176" s="54">
        <f>'Расчет субсидий'!P176-1</f>
        <v>-0.33148558758314861</v>
      </c>
      <c r="M176" s="54">
        <f>L176*'Расчет субсидий'!Q176</f>
        <v>-6.6297117516629722</v>
      </c>
      <c r="N176" s="55">
        <f t="shared" si="62"/>
        <v>-13.104374462805589</v>
      </c>
      <c r="O176" s="54">
        <f>'Расчет субсидий'!T176-1</f>
        <v>0</v>
      </c>
      <c r="P176" s="54">
        <f>O176*'Расчет субсидий'!U176</f>
        <v>0</v>
      </c>
      <c r="Q176" s="55">
        <f t="shared" si="63"/>
        <v>0</v>
      </c>
      <c r="R176" s="54">
        <f>'Расчет субсидий'!X176-1</f>
        <v>8.3333333333333481E-2</v>
      </c>
      <c r="S176" s="54">
        <f>R176*'Расчет субсидий'!Y176</f>
        <v>2.5000000000000044</v>
      </c>
      <c r="T176" s="55">
        <f t="shared" si="64"/>
        <v>4.9415325106399086</v>
      </c>
      <c r="U176" s="60">
        <f>'Расчет субсидий'!AB176-1</f>
        <v>-0.32743362831858402</v>
      </c>
      <c r="V176" s="60">
        <f>U176*'Расчет субсидий'!AC176</f>
        <v>-1.63716814159292</v>
      </c>
      <c r="W176" s="55">
        <f t="shared" si="65"/>
        <v>-3.2360478388261287</v>
      </c>
      <c r="X176" s="71">
        <f>'Расчет субсидий'!AF176-1</f>
        <v>-1.4285714285714235E-2</v>
      </c>
      <c r="Y176" s="71">
        <f>X176*'Расчет субсидий'!AG176</f>
        <v>-0.2857142857142847</v>
      </c>
      <c r="Z176" s="55">
        <f t="shared" ref="Z176:Z239" si="66">$B176*Y176/$AG176</f>
        <v>-0.56474657264455796</v>
      </c>
      <c r="AA176" s="27" t="s">
        <v>367</v>
      </c>
      <c r="AB176" s="27" t="s">
        <v>367</v>
      </c>
      <c r="AC176" s="27" t="s">
        <v>367</v>
      </c>
      <c r="AD176" s="27" t="s">
        <v>367</v>
      </c>
      <c r="AE176" s="27" t="s">
        <v>367</v>
      </c>
      <c r="AF176" s="27" t="s">
        <v>367</v>
      </c>
      <c r="AG176" s="54">
        <f t="shared" ref="AG176:AG239" si="67">D176+M176+P176+S176+V176+Y176</f>
        <v>-6.0525941789701729</v>
      </c>
    </row>
    <row r="177" spans="1:33" ht="15" customHeight="1">
      <c r="A177" s="33" t="s">
        <v>174</v>
      </c>
      <c r="B177" s="52">
        <f>'Расчет субсидий'!AT177</f>
        <v>-80.981818181818198</v>
      </c>
      <c r="C177" s="54">
        <f>'Расчет субсидий'!D177-1</f>
        <v>-1</v>
      </c>
      <c r="D177" s="54">
        <f>C177*'Расчет субсидий'!E177</f>
        <v>0</v>
      </c>
      <c r="E177" s="55">
        <f t="shared" si="61"/>
        <v>0</v>
      </c>
      <c r="F177" s="27" t="s">
        <v>367</v>
      </c>
      <c r="G177" s="27" t="s">
        <v>367</v>
      </c>
      <c r="H177" s="27" t="s">
        <v>367</v>
      </c>
      <c r="I177" s="27" t="s">
        <v>367</v>
      </c>
      <c r="J177" s="27" t="s">
        <v>367</v>
      </c>
      <c r="K177" s="27" t="s">
        <v>367</v>
      </c>
      <c r="L177" s="54">
        <f>'Расчет субсидий'!P177-1</f>
        <v>-0.64841460165201181</v>
      </c>
      <c r="M177" s="54">
        <f>L177*'Расчет субсидий'!Q177</f>
        <v>-12.968292033040235</v>
      </c>
      <c r="N177" s="55">
        <f t="shared" si="62"/>
        <v>-51.917927926085426</v>
      </c>
      <c r="O177" s="54">
        <f>'Расчет субсидий'!T177-1</f>
        <v>0.26367816091954022</v>
      </c>
      <c r="P177" s="54">
        <f>O177*'Расчет субсидий'!U177</f>
        <v>5.2735632183908043</v>
      </c>
      <c r="Q177" s="55">
        <f t="shared" si="63"/>
        <v>21.112454468831238</v>
      </c>
      <c r="R177" s="54">
        <f>'Расчет субсидий'!X177-1</f>
        <v>-0.37575757575757573</v>
      </c>
      <c r="S177" s="54">
        <f>R177*'Расчет субсидий'!Y177</f>
        <v>-11.272727272727272</v>
      </c>
      <c r="T177" s="55">
        <f t="shared" si="64"/>
        <v>-45.129816677845639</v>
      </c>
      <c r="U177" s="60">
        <f>'Расчет субсидий'!AB177-1</f>
        <v>-0.25210886519178732</v>
      </c>
      <c r="V177" s="60">
        <f>U177*'Расчет субсидий'!AC177</f>
        <v>-1.2605443259589366</v>
      </c>
      <c r="W177" s="55">
        <f t="shared" si="65"/>
        <v>-5.0465280467183744</v>
      </c>
      <c r="X177" s="71">
        <f>'Расчет субсидий'!AF177-1</f>
        <v>0</v>
      </c>
      <c r="Y177" s="71">
        <f>X177*'Расчет субсидий'!AG177</f>
        <v>0</v>
      </c>
      <c r="Z177" s="55">
        <f t="shared" si="66"/>
        <v>0</v>
      </c>
      <c r="AA177" s="27" t="s">
        <v>367</v>
      </c>
      <c r="AB177" s="27" t="s">
        <v>367</v>
      </c>
      <c r="AC177" s="27" t="s">
        <v>367</v>
      </c>
      <c r="AD177" s="27" t="s">
        <v>367</v>
      </c>
      <c r="AE177" s="27" t="s">
        <v>367</v>
      </c>
      <c r="AF177" s="27" t="s">
        <v>367</v>
      </c>
      <c r="AG177" s="54">
        <f t="shared" si="67"/>
        <v>-20.228000413335639</v>
      </c>
    </row>
    <row r="178" spans="1:33" ht="15" customHeight="1">
      <c r="A178" s="32" t="s">
        <v>175</v>
      </c>
      <c r="B178" s="56"/>
      <c r="C178" s="57"/>
      <c r="D178" s="57"/>
      <c r="E178" s="58"/>
      <c r="F178" s="57"/>
      <c r="G178" s="57"/>
      <c r="H178" s="58"/>
      <c r="I178" s="58"/>
      <c r="J178" s="58"/>
      <c r="K178" s="58"/>
      <c r="L178" s="57"/>
      <c r="M178" s="57"/>
      <c r="N178" s="58"/>
      <c r="O178" s="57"/>
      <c r="P178" s="57"/>
      <c r="Q178" s="58"/>
      <c r="R178" s="57"/>
      <c r="S178" s="57"/>
      <c r="T178" s="58"/>
      <c r="U178" s="58"/>
      <c r="V178" s="58"/>
      <c r="W178" s="58"/>
      <c r="X178" s="73"/>
      <c r="Y178" s="73"/>
      <c r="Z178" s="58"/>
      <c r="AA178" s="58"/>
      <c r="AB178" s="58"/>
      <c r="AC178" s="58"/>
      <c r="AD178" s="58"/>
      <c r="AE178" s="58"/>
      <c r="AF178" s="58"/>
      <c r="AG178" s="58"/>
    </row>
    <row r="179" spans="1:33" ht="15" customHeight="1">
      <c r="A179" s="33" t="s">
        <v>176</v>
      </c>
      <c r="B179" s="52">
        <f>'Расчет субсидий'!AT179</f>
        <v>1.3000000000000114</v>
      </c>
      <c r="C179" s="54">
        <f>'Расчет субсидий'!D179-1</f>
        <v>-1</v>
      </c>
      <c r="D179" s="54">
        <f>C179*'Расчет субсидий'!E179</f>
        <v>0</v>
      </c>
      <c r="E179" s="55">
        <f t="shared" ref="E179:E191" si="68">$B179*D179/$AG179</f>
        <v>0</v>
      </c>
      <c r="F179" s="27" t="s">
        <v>367</v>
      </c>
      <c r="G179" s="27" t="s">
        <v>367</v>
      </c>
      <c r="H179" s="27" t="s">
        <v>367</v>
      </c>
      <c r="I179" s="27" t="s">
        <v>367</v>
      </c>
      <c r="J179" s="27" t="s">
        <v>367</v>
      </c>
      <c r="K179" s="27" t="s">
        <v>367</v>
      </c>
      <c r="L179" s="54">
        <f>'Расчет субсидий'!P179-1</f>
        <v>-0.40332640332640335</v>
      </c>
      <c r="M179" s="54">
        <f>L179*'Расчет субсидий'!Q179</f>
        <v>-8.0665280665280665</v>
      </c>
      <c r="N179" s="55">
        <f t="shared" ref="N179:N191" si="69">$B179*M179/$AG179</f>
        <v>-24.148004454446038</v>
      </c>
      <c r="O179" s="54">
        <f>'Расчет субсидий'!T179-1</f>
        <v>0.20166666666666666</v>
      </c>
      <c r="P179" s="54">
        <f>O179*'Расчет субсидий'!U179</f>
        <v>5.0416666666666661</v>
      </c>
      <c r="Q179" s="55">
        <f t="shared" ref="Q179:Q191" si="70">$B179*P179/$AG179</f>
        <v>15.09276210538245</v>
      </c>
      <c r="R179" s="54">
        <f>'Расчет субсидий'!X179-1</f>
        <v>5.0000000000000044E-2</v>
      </c>
      <c r="S179" s="54">
        <f>R179*'Расчет субсидий'!Y179</f>
        <v>1.2500000000000011</v>
      </c>
      <c r="T179" s="55">
        <f t="shared" ref="T179:T191" si="71">$B179*S179/$AG179</f>
        <v>3.7420071335659002</v>
      </c>
      <c r="U179" s="60">
        <f>'Расчет субсидий'!AB179-1</f>
        <v>0.11078958247209592</v>
      </c>
      <c r="V179" s="60">
        <f>U179*'Расчет субсидий'!AC179</f>
        <v>0.55394791236047958</v>
      </c>
      <c r="W179" s="55">
        <f t="shared" si="65"/>
        <v>1.6583016317414809</v>
      </c>
      <c r="X179" s="71">
        <f>'Расчет субсидий'!AF179-1</f>
        <v>8.2758620689655116E-2</v>
      </c>
      <c r="Y179" s="71">
        <f>X179*'Расчет субсидий'!AG179</f>
        <v>1.6551724137931023</v>
      </c>
      <c r="Z179" s="55">
        <f t="shared" si="66"/>
        <v>4.954933583756219</v>
      </c>
      <c r="AA179" s="27" t="s">
        <v>367</v>
      </c>
      <c r="AB179" s="27" t="s">
        <v>367</v>
      </c>
      <c r="AC179" s="27" t="s">
        <v>367</v>
      </c>
      <c r="AD179" s="27" t="s">
        <v>367</v>
      </c>
      <c r="AE179" s="27" t="s">
        <v>367</v>
      </c>
      <c r="AF179" s="27" t="s">
        <v>367</v>
      </c>
      <c r="AG179" s="54">
        <f t="shared" si="67"/>
        <v>0.43425892629218255</v>
      </c>
    </row>
    <row r="180" spans="1:33" ht="15" customHeight="1">
      <c r="A180" s="33" t="s">
        <v>177</v>
      </c>
      <c r="B180" s="52">
        <f>'Расчет субсидий'!AT180</f>
        <v>-19.354545454545445</v>
      </c>
      <c r="C180" s="54">
        <f>'Расчет субсидий'!D180-1</f>
        <v>-1</v>
      </c>
      <c r="D180" s="54">
        <f>C180*'Расчет субсидий'!E180</f>
        <v>0</v>
      </c>
      <c r="E180" s="55">
        <f t="shared" si="68"/>
        <v>0</v>
      </c>
      <c r="F180" s="27" t="s">
        <v>367</v>
      </c>
      <c r="G180" s="27" t="s">
        <v>367</v>
      </c>
      <c r="H180" s="27" t="s">
        <v>367</v>
      </c>
      <c r="I180" s="27" t="s">
        <v>367</v>
      </c>
      <c r="J180" s="27" t="s">
        <v>367</v>
      </c>
      <c r="K180" s="27" t="s">
        <v>367</v>
      </c>
      <c r="L180" s="54">
        <f>'Расчет субсидий'!P180-1</f>
        <v>-0.64194035485088707</v>
      </c>
      <c r="M180" s="54">
        <f>L180*'Расчет субсидий'!Q180</f>
        <v>-12.838807097017742</v>
      </c>
      <c r="N180" s="55">
        <f t="shared" si="69"/>
        <v>-33.172389297456448</v>
      </c>
      <c r="O180" s="54">
        <f>'Расчет субсидий'!T180-1</f>
        <v>1.1111111111111072E-2</v>
      </c>
      <c r="P180" s="54">
        <f>O180*'Расчет субсидий'!U180</f>
        <v>0.22222222222222143</v>
      </c>
      <c r="Q180" s="55">
        <f t="shared" si="70"/>
        <v>0.57416876898272939</v>
      </c>
      <c r="R180" s="54">
        <f>'Расчет субсидий'!X180-1</f>
        <v>5.0000000000000044E-2</v>
      </c>
      <c r="S180" s="54">
        <f>R180*'Расчет субсидий'!Y180</f>
        <v>1.5000000000000013</v>
      </c>
      <c r="T180" s="55">
        <f t="shared" si="71"/>
        <v>3.8756391906334406</v>
      </c>
      <c r="U180" s="60">
        <f>'Расчет субсидий'!AB180-1</f>
        <v>-7.8661844484629317E-2</v>
      </c>
      <c r="V180" s="60">
        <f>U180*'Расчет субсидий'!AC180</f>
        <v>-0.39330922242314659</v>
      </c>
      <c r="W180" s="55">
        <f t="shared" si="65"/>
        <v>-1.0162164243071403</v>
      </c>
      <c r="X180" s="71">
        <f>'Расчет субсидий'!AF180-1</f>
        <v>0.20095238095238099</v>
      </c>
      <c r="Y180" s="71">
        <f>X180*'Расчет субсидий'!AG180</f>
        <v>4.0190476190476199</v>
      </c>
      <c r="Z180" s="55">
        <f t="shared" si="66"/>
        <v>10.384252307601974</v>
      </c>
      <c r="AA180" s="27" t="s">
        <v>367</v>
      </c>
      <c r="AB180" s="27" t="s">
        <v>367</v>
      </c>
      <c r="AC180" s="27" t="s">
        <v>367</v>
      </c>
      <c r="AD180" s="27" t="s">
        <v>367</v>
      </c>
      <c r="AE180" s="27" t="s">
        <v>367</v>
      </c>
      <c r="AF180" s="27" t="s">
        <v>367</v>
      </c>
      <c r="AG180" s="54">
        <f t="shared" si="67"/>
        <v>-7.4908464781710462</v>
      </c>
    </row>
    <row r="181" spans="1:33" ht="15" customHeight="1">
      <c r="A181" s="33" t="s">
        <v>178</v>
      </c>
      <c r="B181" s="52">
        <f>'Расчет субсидий'!AT181</f>
        <v>-25.290909090909111</v>
      </c>
      <c r="C181" s="54">
        <f>'Расчет субсидий'!D181-1</f>
        <v>-1</v>
      </c>
      <c r="D181" s="54">
        <f>C181*'Расчет субсидий'!E181</f>
        <v>0</v>
      </c>
      <c r="E181" s="55">
        <f t="shared" si="68"/>
        <v>0</v>
      </c>
      <c r="F181" s="27" t="s">
        <v>367</v>
      </c>
      <c r="G181" s="27" t="s">
        <v>367</v>
      </c>
      <c r="H181" s="27" t="s">
        <v>367</v>
      </c>
      <c r="I181" s="27" t="s">
        <v>367</v>
      </c>
      <c r="J181" s="27" t="s">
        <v>367</v>
      </c>
      <c r="K181" s="27" t="s">
        <v>367</v>
      </c>
      <c r="L181" s="54">
        <f>'Расчет субсидий'!P181-1</f>
        <v>-0.56929019797199421</v>
      </c>
      <c r="M181" s="54">
        <f>L181*'Расчет субсидий'!Q181</f>
        <v>-11.385803959439883</v>
      </c>
      <c r="N181" s="55">
        <f t="shared" si="69"/>
        <v>-55.392446091206175</v>
      </c>
      <c r="O181" s="54">
        <f>'Расчет субсидий'!T181-1</f>
        <v>0.14380952380952383</v>
      </c>
      <c r="P181" s="54">
        <f>O181*'Расчет субсидий'!U181</f>
        <v>4.3142857142857149</v>
      </c>
      <c r="Q181" s="55">
        <f t="shared" si="70"/>
        <v>20.989193183191674</v>
      </c>
      <c r="R181" s="54">
        <f>'Расчет субсидий'!X181-1</f>
        <v>0.11999999999999988</v>
      </c>
      <c r="S181" s="54">
        <f>R181*'Расчет субсидий'!Y181</f>
        <v>2.3999999999999977</v>
      </c>
      <c r="T181" s="55">
        <f t="shared" si="71"/>
        <v>11.67610746614635</v>
      </c>
      <c r="U181" s="60">
        <f>'Расчет субсидий'!AB181-1</f>
        <v>-0.17021008931941128</v>
      </c>
      <c r="V181" s="60">
        <f>U181*'Расчет субсидий'!AC181</f>
        <v>-0.85105044659705642</v>
      </c>
      <c r="W181" s="55">
        <f t="shared" si="65"/>
        <v>-4.1403985306579516</v>
      </c>
      <c r="X181" s="71">
        <f>'Расчет субсидий'!AF181-1</f>
        <v>1.620370370370372E-2</v>
      </c>
      <c r="Y181" s="71">
        <f>X181*'Расчет субсидий'!AG181</f>
        <v>0.3240740740740744</v>
      </c>
      <c r="Z181" s="55">
        <f t="shared" si="66"/>
        <v>1.5766348816169868</v>
      </c>
      <c r="AA181" s="27" t="s">
        <v>367</v>
      </c>
      <c r="AB181" s="27" t="s">
        <v>367</v>
      </c>
      <c r="AC181" s="27" t="s">
        <v>367</v>
      </c>
      <c r="AD181" s="27" t="s">
        <v>367</v>
      </c>
      <c r="AE181" s="27" t="s">
        <v>367</v>
      </c>
      <c r="AF181" s="27" t="s">
        <v>367</v>
      </c>
      <c r="AG181" s="54">
        <f t="shared" si="67"/>
        <v>-5.1984946176771523</v>
      </c>
    </row>
    <row r="182" spans="1:33" ht="15" customHeight="1">
      <c r="A182" s="33" t="s">
        <v>179</v>
      </c>
      <c r="B182" s="52">
        <f>'Расчет субсидий'!AT182</f>
        <v>1.4818181818181984</v>
      </c>
      <c r="C182" s="54">
        <f>'Расчет субсидий'!D182-1</f>
        <v>3.2675433615722893E-2</v>
      </c>
      <c r="D182" s="54">
        <f>C182*'Расчет субсидий'!E182</f>
        <v>0.32675433615722893</v>
      </c>
      <c r="E182" s="55">
        <f t="shared" si="68"/>
        <v>0.5983643323263339</v>
      </c>
      <c r="F182" s="27" t="s">
        <v>367</v>
      </c>
      <c r="G182" s="27" t="s">
        <v>367</v>
      </c>
      <c r="H182" s="27" t="s">
        <v>367</v>
      </c>
      <c r="I182" s="27" t="s">
        <v>367</v>
      </c>
      <c r="J182" s="27" t="s">
        <v>367</v>
      </c>
      <c r="K182" s="27" t="s">
        <v>367</v>
      </c>
      <c r="L182" s="54">
        <f>'Расчет субсидий'!P182-1</f>
        <v>-0.36357128475873024</v>
      </c>
      <c r="M182" s="54">
        <f>L182*'Расчет субсидий'!Q182</f>
        <v>-7.2714256951746048</v>
      </c>
      <c r="N182" s="55">
        <f t="shared" si="69"/>
        <v>-13.31569714520969</v>
      </c>
      <c r="O182" s="54">
        <f>'Расчет субсидий'!T182-1</f>
        <v>4.5454545454545414E-2</v>
      </c>
      <c r="P182" s="54">
        <f>O182*'Расчет субсидий'!U182</f>
        <v>0.45454545454545414</v>
      </c>
      <c r="Q182" s="55">
        <f t="shared" si="70"/>
        <v>0.83238004006222721</v>
      </c>
      <c r="R182" s="54">
        <f>'Расчет субсидий'!X182-1</f>
        <v>0.22733333333333339</v>
      </c>
      <c r="S182" s="54">
        <f>R182*'Расчет субсидий'!Y182</f>
        <v>9.0933333333333355</v>
      </c>
      <c r="T182" s="55">
        <f t="shared" si="71"/>
        <v>16.652040161458228</v>
      </c>
      <c r="U182" s="60">
        <f>'Расчет субсидий'!AB182-1</f>
        <v>4.8329053491988905E-3</v>
      </c>
      <c r="V182" s="60">
        <f>U182*'Расчет субсидий'!AC182</f>
        <v>2.4164526745994452E-2</v>
      </c>
      <c r="W182" s="55">
        <f t="shared" si="65"/>
        <v>4.4250953430014402E-2</v>
      </c>
      <c r="X182" s="71">
        <f>'Расчет субсидий'!AF182-1</f>
        <v>-9.0909090909090939E-2</v>
      </c>
      <c r="Y182" s="71">
        <f>X182*'Расчет субсидий'!AG182</f>
        <v>-1.8181818181818188</v>
      </c>
      <c r="Z182" s="55">
        <f t="shared" si="66"/>
        <v>-3.3295201602489124</v>
      </c>
      <c r="AA182" s="27" t="s">
        <v>367</v>
      </c>
      <c r="AB182" s="27" t="s">
        <v>367</v>
      </c>
      <c r="AC182" s="27" t="s">
        <v>367</v>
      </c>
      <c r="AD182" s="27" t="s">
        <v>367</v>
      </c>
      <c r="AE182" s="27" t="s">
        <v>367</v>
      </c>
      <c r="AF182" s="27" t="s">
        <v>367</v>
      </c>
      <c r="AG182" s="54">
        <f t="shared" si="67"/>
        <v>0.80919013742558965</v>
      </c>
    </row>
    <row r="183" spans="1:33" ht="15" customHeight="1">
      <c r="A183" s="33" t="s">
        <v>180</v>
      </c>
      <c r="B183" s="52">
        <f>'Расчет субсидий'!AT183</f>
        <v>-34.927272727272737</v>
      </c>
      <c r="C183" s="54">
        <f>'Расчет субсидий'!D183-1</f>
        <v>-1</v>
      </c>
      <c r="D183" s="54">
        <f>C183*'Расчет субсидий'!E183</f>
        <v>0</v>
      </c>
      <c r="E183" s="55">
        <f t="shared" si="68"/>
        <v>0</v>
      </c>
      <c r="F183" s="27" t="s">
        <v>367</v>
      </c>
      <c r="G183" s="27" t="s">
        <v>367</v>
      </c>
      <c r="H183" s="27" t="s">
        <v>367</v>
      </c>
      <c r="I183" s="27" t="s">
        <v>367</v>
      </c>
      <c r="J183" s="27" t="s">
        <v>367</v>
      </c>
      <c r="K183" s="27" t="s">
        <v>367</v>
      </c>
      <c r="L183" s="54">
        <f>'Расчет субсидий'!P183-1</f>
        <v>-0.65027480474399768</v>
      </c>
      <c r="M183" s="54">
        <f>L183*'Расчет субсидий'!Q183</f>
        <v>-13.005496094879954</v>
      </c>
      <c r="N183" s="55">
        <f t="shared" si="69"/>
        <v>-37.794470069593139</v>
      </c>
      <c r="O183" s="54">
        <f>'Расчет субсидий'!T183-1</f>
        <v>2.9824561403508643E-3</v>
      </c>
      <c r="P183" s="54">
        <f>O183*'Расчет субсидий'!U183</f>
        <v>0.10438596491228025</v>
      </c>
      <c r="Q183" s="55">
        <f t="shared" si="70"/>
        <v>0.30334961448459774</v>
      </c>
      <c r="R183" s="54">
        <f>'Расчет субсидий'!X183-1</f>
        <v>0.23038461538461541</v>
      </c>
      <c r="S183" s="54">
        <f>R183*'Расчет субсидий'!Y183</f>
        <v>3.4557692307692314</v>
      </c>
      <c r="T183" s="55">
        <f t="shared" si="71"/>
        <v>10.042597822250485</v>
      </c>
      <c r="U183" s="60">
        <f>'Расчет субсидий'!AB183-1</f>
        <v>-0.12349537037037039</v>
      </c>
      <c r="V183" s="60">
        <f>U183*'Расчет субсидий'!AC183</f>
        <v>-0.61747685185185197</v>
      </c>
      <c r="W183" s="55">
        <f t="shared" si="65"/>
        <v>-1.7944113954383396</v>
      </c>
      <c r="X183" s="71">
        <f>'Расчет субсидий'!AF183-1</f>
        <v>-9.7802197802197788E-2</v>
      </c>
      <c r="Y183" s="71">
        <f>X183*'Расчет субсидий'!AG183</f>
        <v>-1.9560439560439558</v>
      </c>
      <c r="Z183" s="55">
        <f t="shared" si="66"/>
        <v>-5.6843386989763438</v>
      </c>
      <c r="AA183" s="27" t="s">
        <v>367</v>
      </c>
      <c r="AB183" s="27" t="s">
        <v>367</v>
      </c>
      <c r="AC183" s="27" t="s">
        <v>367</v>
      </c>
      <c r="AD183" s="27" t="s">
        <v>367</v>
      </c>
      <c r="AE183" s="27" t="s">
        <v>367</v>
      </c>
      <c r="AF183" s="27" t="s">
        <v>367</v>
      </c>
      <c r="AG183" s="54">
        <f t="shared" si="67"/>
        <v>-12.018861707094249</v>
      </c>
    </row>
    <row r="184" spans="1:33" ht="15" customHeight="1">
      <c r="A184" s="33" t="s">
        <v>181</v>
      </c>
      <c r="B184" s="52">
        <f>'Расчет субсидий'!AT184</f>
        <v>-6.5636363636363626</v>
      </c>
      <c r="C184" s="54">
        <f>'Расчет субсидий'!D184-1</f>
        <v>-1</v>
      </c>
      <c r="D184" s="54">
        <f>C184*'Расчет субсидий'!E184</f>
        <v>0</v>
      </c>
      <c r="E184" s="55">
        <f t="shared" si="68"/>
        <v>0</v>
      </c>
      <c r="F184" s="27" t="s">
        <v>367</v>
      </c>
      <c r="G184" s="27" t="s">
        <v>367</v>
      </c>
      <c r="H184" s="27" t="s">
        <v>367</v>
      </c>
      <c r="I184" s="27" t="s">
        <v>367</v>
      </c>
      <c r="J184" s="27" t="s">
        <v>367</v>
      </c>
      <c r="K184" s="27" t="s">
        <v>367</v>
      </c>
      <c r="L184" s="54">
        <f>'Расчет субсидий'!P184-1</f>
        <v>-0.40182802979011512</v>
      </c>
      <c r="M184" s="54">
        <f>L184*'Расчет субсидий'!Q184</f>
        <v>-8.0365605958023032</v>
      </c>
      <c r="N184" s="55">
        <f t="shared" si="69"/>
        <v>-21.598131221966931</v>
      </c>
      <c r="O184" s="54">
        <f>'Расчет субсидий'!T184-1</f>
        <v>0.13400000000000012</v>
      </c>
      <c r="P184" s="54">
        <f>O184*'Расчет субсидий'!U184</f>
        <v>3.3500000000000032</v>
      </c>
      <c r="Q184" s="55">
        <f t="shared" si="70"/>
        <v>9.0030727362873932</v>
      </c>
      <c r="R184" s="54">
        <f>'Расчет субсидий'!X184-1</f>
        <v>6.0000000000000053E-2</v>
      </c>
      <c r="S184" s="54">
        <f>R184*'Расчет субсидий'!Y184</f>
        <v>1.5000000000000013</v>
      </c>
      <c r="T184" s="55">
        <f t="shared" si="71"/>
        <v>4.0312265983376392</v>
      </c>
      <c r="U184" s="60">
        <f>'Расчет субсидий'!AB184-1</f>
        <v>-0.17901622845640963</v>
      </c>
      <c r="V184" s="60">
        <f>U184*'Расчет субсидий'!AC184</f>
        <v>-0.89508114228204816</v>
      </c>
      <c r="W184" s="55">
        <f t="shared" si="65"/>
        <v>-2.4055166056252175</v>
      </c>
      <c r="X184" s="71">
        <f>'Расчет субсидий'!AF184-1</f>
        <v>8.1967213114754189E-2</v>
      </c>
      <c r="Y184" s="71">
        <f>X184*'Расчет субсидий'!AG184</f>
        <v>1.6393442622950838</v>
      </c>
      <c r="Z184" s="55">
        <f t="shared" si="66"/>
        <v>4.4057121293307535</v>
      </c>
      <c r="AA184" s="27" t="s">
        <v>367</v>
      </c>
      <c r="AB184" s="27" t="s">
        <v>367</v>
      </c>
      <c r="AC184" s="27" t="s">
        <v>367</v>
      </c>
      <c r="AD184" s="27" t="s">
        <v>367</v>
      </c>
      <c r="AE184" s="27" t="s">
        <v>367</v>
      </c>
      <c r="AF184" s="27" t="s">
        <v>367</v>
      </c>
      <c r="AG184" s="54">
        <f t="shared" si="67"/>
        <v>-2.442297475789263</v>
      </c>
    </row>
    <row r="185" spans="1:33" ht="15" customHeight="1">
      <c r="A185" s="33" t="s">
        <v>182</v>
      </c>
      <c r="B185" s="52">
        <f>'Расчет субсидий'!AT185</f>
        <v>4.0727272727272634</v>
      </c>
      <c r="C185" s="54">
        <f>'Расчет субсидий'!D185-1</f>
        <v>-1</v>
      </c>
      <c r="D185" s="54">
        <f>C185*'Расчет субсидий'!E185</f>
        <v>0</v>
      </c>
      <c r="E185" s="55">
        <f t="shared" si="68"/>
        <v>0</v>
      </c>
      <c r="F185" s="27" t="s">
        <v>367</v>
      </c>
      <c r="G185" s="27" t="s">
        <v>367</v>
      </c>
      <c r="H185" s="27" t="s">
        <v>367</v>
      </c>
      <c r="I185" s="27" t="s">
        <v>367</v>
      </c>
      <c r="J185" s="27" t="s">
        <v>367</v>
      </c>
      <c r="K185" s="27" t="s">
        <v>367</v>
      </c>
      <c r="L185" s="54">
        <f>'Расчет субсидий'!P185-1</f>
        <v>-0.15667311411992269</v>
      </c>
      <c r="M185" s="54">
        <f>L185*'Расчет субсидий'!Q185</f>
        <v>-3.1334622823984537</v>
      </c>
      <c r="N185" s="55">
        <f t="shared" si="69"/>
        <v>-11.20912111572882</v>
      </c>
      <c r="O185" s="54">
        <f>'Расчет субсидий'!T185-1</f>
        <v>-1.866666666666672E-2</v>
      </c>
      <c r="P185" s="54">
        <f>O185*'Расчет субсидий'!U185</f>
        <v>-0.46666666666666801</v>
      </c>
      <c r="Q185" s="55">
        <f t="shared" si="70"/>
        <v>-1.6693748690462018</v>
      </c>
      <c r="R185" s="54">
        <f>'Расчет субсидий'!X185-1</f>
        <v>0.11999999999999988</v>
      </c>
      <c r="S185" s="54">
        <f>R185*'Расчет субсидий'!Y185</f>
        <v>2.9999999999999973</v>
      </c>
      <c r="T185" s="55">
        <f t="shared" si="71"/>
        <v>10.731695586725543</v>
      </c>
      <c r="U185" s="60">
        <f>'Расчет субсидий'!AB185-1</f>
        <v>-6.1974985999626697E-2</v>
      </c>
      <c r="V185" s="60">
        <f>U185*'Расчет субсидий'!AC185</f>
        <v>-0.30987492999813349</v>
      </c>
      <c r="W185" s="55">
        <f t="shared" si="65"/>
        <v>-1.1084944728992863</v>
      </c>
      <c r="X185" s="71">
        <f>'Расчет субсидий'!AF185-1</f>
        <v>0.10242587601078168</v>
      </c>
      <c r="Y185" s="71">
        <f>X185*'Расчет субсидий'!AG185</f>
        <v>2.0485175202156336</v>
      </c>
      <c r="Z185" s="55">
        <f t="shared" si="66"/>
        <v>7.32802214367603</v>
      </c>
      <c r="AA185" s="27" t="s">
        <v>367</v>
      </c>
      <c r="AB185" s="27" t="s">
        <v>367</v>
      </c>
      <c r="AC185" s="27" t="s">
        <v>367</v>
      </c>
      <c r="AD185" s="27" t="s">
        <v>367</v>
      </c>
      <c r="AE185" s="27" t="s">
        <v>367</v>
      </c>
      <c r="AF185" s="27" t="s">
        <v>367</v>
      </c>
      <c r="AG185" s="54">
        <f t="shared" si="67"/>
        <v>1.1385136411523757</v>
      </c>
    </row>
    <row r="186" spans="1:33" ht="15" customHeight="1">
      <c r="A186" s="33" t="s">
        <v>183</v>
      </c>
      <c r="B186" s="52">
        <f>'Расчет субсидий'!AT186</f>
        <v>23.5</v>
      </c>
      <c r="C186" s="54">
        <f>'Расчет субсидий'!D186-1</f>
        <v>0.11046989149699571</v>
      </c>
      <c r="D186" s="54">
        <f>C186*'Расчет субсидий'!E186</f>
        <v>1.1046989149699571</v>
      </c>
      <c r="E186" s="55">
        <f t="shared" si="68"/>
        <v>2.2729357054601644</v>
      </c>
      <c r="F186" s="27" t="s">
        <v>367</v>
      </c>
      <c r="G186" s="27" t="s">
        <v>367</v>
      </c>
      <c r="H186" s="27" t="s">
        <v>367</v>
      </c>
      <c r="I186" s="27" t="s">
        <v>367</v>
      </c>
      <c r="J186" s="27" t="s">
        <v>367</v>
      </c>
      <c r="K186" s="27" t="s">
        <v>367</v>
      </c>
      <c r="L186" s="54">
        <f>'Расчет субсидий'!P186-1</f>
        <v>0.30000000000000004</v>
      </c>
      <c r="M186" s="54">
        <f>L186*'Расчет субсидий'!Q186</f>
        <v>6.0000000000000009</v>
      </c>
      <c r="N186" s="55">
        <f t="shared" si="69"/>
        <v>12.345096069123841</v>
      </c>
      <c r="O186" s="54">
        <f>'Расчет субсидий'!T186-1</f>
        <v>4.7891891891891802E-2</v>
      </c>
      <c r="P186" s="54">
        <f>O186*'Расчет субсидий'!U186</f>
        <v>1.6762162162162131</v>
      </c>
      <c r="Q186" s="55">
        <f t="shared" si="70"/>
        <v>3.4488417036354009</v>
      </c>
      <c r="R186" s="54">
        <f>'Расчет субсидий'!X186-1</f>
        <v>8.181818181818179E-2</v>
      </c>
      <c r="S186" s="54">
        <f>R186*'Расчет субсидий'!Y186</f>
        <v>1.2272727272727268</v>
      </c>
      <c r="T186" s="55">
        <f t="shared" si="71"/>
        <v>2.5251332868662386</v>
      </c>
      <c r="U186" s="60">
        <f>'Расчет субсидий'!AB186-1</f>
        <v>0.20423891712373576</v>
      </c>
      <c r="V186" s="60">
        <f>U186*'Расчет субсидий'!AC186</f>
        <v>1.0211945856186788</v>
      </c>
      <c r="W186" s="55">
        <f t="shared" si="65"/>
        <v>2.1011242107886163</v>
      </c>
      <c r="X186" s="71">
        <f>'Расчет субсидий'!AF186-1</f>
        <v>1.9607843137254832E-2</v>
      </c>
      <c r="Y186" s="71">
        <f>X186*'Расчет субсидий'!AG186</f>
        <v>0.39215686274509665</v>
      </c>
      <c r="Z186" s="55">
        <f t="shared" si="66"/>
        <v>0.80686902412573824</v>
      </c>
      <c r="AA186" s="27" t="s">
        <v>367</v>
      </c>
      <c r="AB186" s="27" t="s">
        <v>367</v>
      </c>
      <c r="AC186" s="27" t="s">
        <v>367</v>
      </c>
      <c r="AD186" s="27" t="s">
        <v>367</v>
      </c>
      <c r="AE186" s="27" t="s">
        <v>367</v>
      </c>
      <c r="AF186" s="27" t="s">
        <v>367</v>
      </c>
      <c r="AG186" s="54">
        <f t="shared" si="67"/>
        <v>11.421539306822673</v>
      </c>
    </row>
    <row r="187" spans="1:33" ht="15" customHeight="1">
      <c r="A187" s="33" t="s">
        <v>184</v>
      </c>
      <c r="B187" s="52">
        <f>'Расчет субсидий'!AT187</f>
        <v>-62.381818181818119</v>
      </c>
      <c r="C187" s="54">
        <f>'Расчет субсидий'!D187-1</f>
        <v>-1</v>
      </c>
      <c r="D187" s="54">
        <f>C187*'Расчет субсидий'!E187</f>
        <v>0</v>
      </c>
      <c r="E187" s="55">
        <f t="shared" si="68"/>
        <v>0</v>
      </c>
      <c r="F187" s="27" t="s">
        <v>367</v>
      </c>
      <c r="G187" s="27" t="s">
        <v>367</v>
      </c>
      <c r="H187" s="27" t="s">
        <v>367</v>
      </c>
      <c r="I187" s="27" t="s">
        <v>367</v>
      </c>
      <c r="J187" s="27" t="s">
        <v>367</v>
      </c>
      <c r="K187" s="27" t="s">
        <v>367</v>
      </c>
      <c r="L187" s="54">
        <f>'Расчет субсидий'!P187-1</f>
        <v>-0.69438054551429507</v>
      </c>
      <c r="M187" s="54">
        <f>L187*'Расчет субсидий'!Q187</f>
        <v>-13.8876109102859</v>
      </c>
      <c r="N187" s="55">
        <f t="shared" si="69"/>
        <v>-67.381821067378283</v>
      </c>
      <c r="O187" s="54">
        <f>'Расчет субсидий'!T187-1</f>
        <v>2.4545454545454648E-2</v>
      </c>
      <c r="P187" s="54">
        <f>O187*'Расчет субсидий'!U187</f>
        <v>0.73636363636363944</v>
      </c>
      <c r="Q187" s="55">
        <f t="shared" si="70"/>
        <v>3.5727903889667152</v>
      </c>
      <c r="R187" s="54">
        <f>'Расчет субсидий'!X187-1</f>
        <v>1.904761904761898E-2</v>
      </c>
      <c r="S187" s="54">
        <f>R187*'Расчет субсидий'!Y187</f>
        <v>0.3809523809523796</v>
      </c>
      <c r="T187" s="55">
        <f t="shared" si="71"/>
        <v>1.8483571677193917</v>
      </c>
      <c r="U187" s="60">
        <f>'Расчет субсидий'!AB187-1</f>
        <v>-7.4502712477396038E-2</v>
      </c>
      <c r="V187" s="60">
        <f>U187*'Расчет субсидий'!AC187</f>
        <v>-0.37251356238698019</v>
      </c>
      <c r="W187" s="55">
        <f t="shared" si="65"/>
        <v>-1.807412546915488</v>
      </c>
      <c r="X187" s="71">
        <f>'Расчет субсидий'!AF187-1</f>
        <v>1.4285714285714235E-2</v>
      </c>
      <c r="Y187" s="71">
        <f>X187*'Расчет субсидий'!AG187</f>
        <v>0.2857142857142847</v>
      </c>
      <c r="Z187" s="55">
        <f t="shared" si="66"/>
        <v>1.3862678757895439</v>
      </c>
      <c r="AA187" s="27" t="s">
        <v>367</v>
      </c>
      <c r="AB187" s="27" t="s">
        <v>367</v>
      </c>
      <c r="AC187" s="27" t="s">
        <v>367</v>
      </c>
      <c r="AD187" s="27" t="s">
        <v>367</v>
      </c>
      <c r="AE187" s="27" t="s">
        <v>367</v>
      </c>
      <c r="AF187" s="27" t="s">
        <v>367</v>
      </c>
      <c r="AG187" s="54">
        <f t="shared" si="67"/>
        <v>-12.857094169642576</v>
      </c>
    </row>
    <row r="188" spans="1:33" ht="15" customHeight="1">
      <c r="A188" s="33" t="s">
        <v>185</v>
      </c>
      <c r="B188" s="52">
        <f>'Расчет субсидий'!AT188</f>
        <v>-35.481818181818198</v>
      </c>
      <c r="C188" s="54">
        <f>'Расчет субсидий'!D188-1</f>
        <v>-1</v>
      </c>
      <c r="D188" s="54">
        <f>C188*'Расчет субсидий'!E188</f>
        <v>0</v>
      </c>
      <c r="E188" s="55">
        <f t="shared" si="68"/>
        <v>0</v>
      </c>
      <c r="F188" s="27" t="s">
        <v>367</v>
      </c>
      <c r="G188" s="27" t="s">
        <v>367</v>
      </c>
      <c r="H188" s="27" t="s">
        <v>367</v>
      </c>
      <c r="I188" s="27" t="s">
        <v>367</v>
      </c>
      <c r="J188" s="27" t="s">
        <v>367</v>
      </c>
      <c r="K188" s="27" t="s">
        <v>367</v>
      </c>
      <c r="L188" s="54">
        <f>'Расчет субсидий'!P188-1</f>
        <v>-0.61490125673249563</v>
      </c>
      <c r="M188" s="54">
        <f>L188*'Расчет субсидий'!Q188</f>
        <v>-12.298025134649912</v>
      </c>
      <c r="N188" s="55">
        <f t="shared" si="69"/>
        <v>-41.819819804090308</v>
      </c>
      <c r="O188" s="54">
        <f>'Расчет субсидий'!T188-1</f>
        <v>7.4285714285714288E-2</v>
      </c>
      <c r="P188" s="54">
        <f>O188*'Расчет субсидий'!U188</f>
        <v>2.2285714285714286</v>
      </c>
      <c r="Q188" s="55">
        <f t="shared" si="70"/>
        <v>7.5783269706298535</v>
      </c>
      <c r="R188" s="54">
        <f>'Расчет субсидий'!X188-1</f>
        <v>3.5714285714285587E-3</v>
      </c>
      <c r="S188" s="54">
        <f>R188*'Расчет субсидий'!Y188</f>
        <v>7.1428571428571175E-2</v>
      </c>
      <c r="T188" s="55">
        <f t="shared" si="71"/>
        <v>0.24289509521249442</v>
      </c>
      <c r="U188" s="60">
        <f>'Расчет субсидий'!AB188-1</f>
        <v>-0.12978782033618075</v>
      </c>
      <c r="V188" s="60">
        <f>U188*'Расчет субсидий'!AC188</f>
        <v>-0.64893910168090374</v>
      </c>
      <c r="W188" s="55">
        <f t="shared" si="65"/>
        <v>-2.2067377484585196</v>
      </c>
      <c r="X188" s="71">
        <f>'Расчет субсидий'!AF188-1</f>
        <v>1.0638297872340496E-2</v>
      </c>
      <c r="Y188" s="71">
        <f>X188*'Расчет субсидий'!AG188</f>
        <v>0.21276595744680993</v>
      </c>
      <c r="Z188" s="55">
        <f t="shared" si="66"/>
        <v>0.72351730488828869</v>
      </c>
      <c r="AA188" s="27" t="s">
        <v>367</v>
      </c>
      <c r="AB188" s="27" t="s">
        <v>367</v>
      </c>
      <c r="AC188" s="27" t="s">
        <v>367</v>
      </c>
      <c r="AD188" s="27" t="s">
        <v>367</v>
      </c>
      <c r="AE188" s="27" t="s">
        <v>367</v>
      </c>
      <c r="AF188" s="27" t="s">
        <v>367</v>
      </c>
      <c r="AG188" s="54">
        <f t="shared" si="67"/>
        <v>-10.434198278884008</v>
      </c>
    </row>
    <row r="189" spans="1:33" ht="15" customHeight="1">
      <c r="A189" s="33" t="s">
        <v>186</v>
      </c>
      <c r="B189" s="52">
        <f>'Расчет субсидий'!AT189</f>
        <v>14.736363636363649</v>
      </c>
      <c r="C189" s="54">
        <f>'Расчет субсидий'!D189-1</f>
        <v>-1</v>
      </c>
      <c r="D189" s="54">
        <f>C189*'Расчет субсидий'!E189</f>
        <v>0</v>
      </c>
      <c r="E189" s="55">
        <f t="shared" si="68"/>
        <v>0</v>
      </c>
      <c r="F189" s="27" t="s">
        <v>367</v>
      </c>
      <c r="G189" s="27" t="s">
        <v>367</v>
      </c>
      <c r="H189" s="27" t="s">
        <v>367</v>
      </c>
      <c r="I189" s="27" t="s">
        <v>367</v>
      </c>
      <c r="J189" s="27" t="s">
        <v>367</v>
      </c>
      <c r="K189" s="27" t="s">
        <v>367</v>
      </c>
      <c r="L189" s="54">
        <f>'Расчет субсидий'!P189-1</f>
        <v>-0.1445086705202312</v>
      </c>
      <c r="M189" s="54">
        <f>L189*'Расчет субсидий'!Q189</f>
        <v>-2.8901734104046239</v>
      </c>
      <c r="N189" s="55">
        <f t="shared" si="69"/>
        <v>-9.5474717451399052</v>
      </c>
      <c r="O189" s="54">
        <f>'Расчет субсидий'!T189-1</f>
        <v>3.1481481481481444E-2</v>
      </c>
      <c r="P189" s="54">
        <f>O189*'Расчет субсидий'!U189</f>
        <v>0.78703703703703609</v>
      </c>
      <c r="Q189" s="55">
        <f t="shared" si="70"/>
        <v>2.5999180002274476</v>
      </c>
      <c r="R189" s="54">
        <f>'Расчет субсидий'!X189-1</f>
        <v>0.20999999999999996</v>
      </c>
      <c r="S189" s="54">
        <f>R189*'Расчет субсидий'!Y189</f>
        <v>5.2499999999999991</v>
      </c>
      <c r="T189" s="55">
        <f t="shared" si="71"/>
        <v>17.342982425046639</v>
      </c>
      <c r="U189" s="60">
        <f>'Расчет субсидий'!AB189-1</f>
        <v>5.549710678590225E-2</v>
      </c>
      <c r="V189" s="60">
        <f>U189*'Расчет субсидий'!AC189</f>
        <v>0.27748553392951125</v>
      </c>
      <c r="W189" s="55">
        <f t="shared" si="65"/>
        <v>0.91665271202746612</v>
      </c>
      <c r="X189" s="71">
        <f>'Расчет субсидий'!AF189-1</f>
        <v>5.1829268292682862E-2</v>
      </c>
      <c r="Y189" s="71">
        <f>X189*'Расчет субсидий'!AG189</f>
        <v>1.0365853658536572</v>
      </c>
      <c r="Z189" s="55">
        <f t="shared" si="66"/>
        <v>3.4242822442020038</v>
      </c>
      <c r="AA189" s="27" t="s">
        <v>367</v>
      </c>
      <c r="AB189" s="27" t="s">
        <v>367</v>
      </c>
      <c r="AC189" s="27" t="s">
        <v>367</v>
      </c>
      <c r="AD189" s="27" t="s">
        <v>367</v>
      </c>
      <c r="AE189" s="27" t="s">
        <v>367</v>
      </c>
      <c r="AF189" s="27" t="s">
        <v>367</v>
      </c>
      <c r="AG189" s="54">
        <f t="shared" si="67"/>
        <v>4.4609345264155795</v>
      </c>
    </row>
    <row r="190" spans="1:33" ht="15" customHeight="1">
      <c r="A190" s="33" t="s">
        <v>187</v>
      </c>
      <c r="B190" s="52">
        <f>'Расчет субсидий'!AT190</f>
        <v>19.936363636363637</v>
      </c>
      <c r="C190" s="54">
        <f>'Расчет субсидий'!D190-1</f>
        <v>-1</v>
      </c>
      <c r="D190" s="54">
        <f>C190*'Расчет субсидий'!E190</f>
        <v>0</v>
      </c>
      <c r="E190" s="55">
        <f t="shared" si="68"/>
        <v>0</v>
      </c>
      <c r="F190" s="27" t="s">
        <v>367</v>
      </c>
      <c r="G190" s="27" t="s">
        <v>367</v>
      </c>
      <c r="H190" s="27" t="s">
        <v>367</v>
      </c>
      <c r="I190" s="27" t="s">
        <v>367</v>
      </c>
      <c r="J190" s="27" t="s">
        <v>367</v>
      </c>
      <c r="K190" s="27" t="s">
        <v>367</v>
      </c>
      <c r="L190" s="54">
        <f>'Расчет субсидий'!P190-1</f>
        <v>0.17973124300111976</v>
      </c>
      <c r="M190" s="54">
        <f>L190*'Расчет субсидий'!Q190</f>
        <v>3.5946248600223951</v>
      </c>
      <c r="N190" s="55">
        <f t="shared" si="69"/>
        <v>11.62018878226062</v>
      </c>
      <c r="O190" s="54">
        <f>'Расчет субсидий'!T190-1</f>
        <v>6.6196013289036681E-2</v>
      </c>
      <c r="P190" s="54">
        <f>O190*'Расчет субсидий'!U190</f>
        <v>2.3168604651162839</v>
      </c>
      <c r="Q190" s="55">
        <f t="shared" si="70"/>
        <v>7.4896149209404932</v>
      </c>
      <c r="R190" s="54">
        <f>'Расчет субсидий'!X190-1</f>
        <v>3.9583333333333304E-2</v>
      </c>
      <c r="S190" s="54">
        <f>R190*'Расчет субсидий'!Y190</f>
        <v>0.59374999999999956</v>
      </c>
      <c r="T190" s="55">
        <f t="shared" si="71"/>
        <v>1.9193900220854347</v>
      </c>
      <c r="U190" s="60">
        <f>'Расчет субсидий'!AB190-1</f>
        <v>-6.7611882716049343E-2</v>
      </c>
      <c r="V190" s="60">
        <f>U190*'Расчет субсидий'!AC190</f>
        <v>-0.33805941358024671</v>
      </c>
      <c r="W190" s="55">
        <f t="shared" si="65"/>
        <v>-1.0928300889229126</v>
      </c>
      <c r="X190" s="71">
        <f>'Расчет субсидий'!AF190-1</f>
        <v>0</v>
      </c>
      <c r="Y190" s="71">
        <f>X190*'Расчет субсидий'!AG190</f>
        <v>0</v>
      </c>
      <c r="Z190" s="55">
        <f t="shared" si="66"/>
        <v>0</v>
      </c>
      <c r="AA190" s="27" t="s">
        <v>367</v>
      </c>
      <c r="AB190" s="27" t="s">
        <v>367</v>
      </c>
      <c r="AC190" s="27" t="s">
        <v>367</v>
      </c>
      <c r="AD190" s="27" t="s">
        <v>367</v>
      </c>
      <c r="AE190" s="27" t="s">
        <v>367</v>
      </c>
      <c r="AF190" s="27" t="s">
        <v>367</v>
      </c>
      <c r="AG190" s="54">
        <f t="shared" si="67"/>
        <v>6.1671759115584326</v>
      </c>
    </row>
    <row r="191" spans="1:33" ht="15" customHeight="1">
      <c r="A191" s="33" t="s">
        <v>188</v>
      </c>
      <c r="B191" s="52">
        <f>'Расчет субсидий'!AT191</f>
        <v>0.82727272727277068</v>
      </c>
      <c r="C191" s="54">
        <f>'Расчет субсидий'!D191-1</f>
        <v>-1</v>
      </c>
      <c r="D191" s="54">
        <f>C191*'Расчет субсидий'!E191</f>
        <v>0</v>
      </c>
      <c r="E191" s="55">
        <f t="shared" si="68"/>
        <v>0</v>
      </c>
      <c r="F191" s="27" t="s">
        <v>367</v>
      </c>
      <c r="G191" s="27" t="s">
        <v>367</v>
      </c>
      <c r="H191" s="27" t="s">
        <v>367</v>
      </c>
      <c r="I191" s="27" t="s">
        <v>367</v>
      </c>
      <c r="J191" s="27" t="s">
        <v>367</v>
      </c>
      <c r="K191" s="27" t="s">
        <v>367</v>
      </c>
      <c r="L191" s="54">
        <f>'Расчет субсидий'!P191-1</f>
        <v>-0.48717948717948723</v>
      </c>
      <c r="M191" s="54">
        <f>L191*'Расчет субсидий'!Q191</f>
        <v>-9.7435897435897445</v>
      </c>
      <c r="N191" s="55">
        <f t="shared" si="69"/>
        <v>-38.032466117526042</v>
      </c>
      <c r="O191" s="54">
        <f>'Расчет субсидий'!T191-1</f>
        <v>2.2222222222223476E-3</v>
      </c>
      <c r="P191" s="54">
        <f>O191*'Расчет субсидий'!U191</f>
        <v>5.5555555555558689E-2</v>
      </c>
      <c r="Q191" s="55">
        <f t="shared" si="70"/>
        <v>0.21685178049467821</v>
      </c>
      <c r="R191" s="54">
        <f>'Расчет субсидий'!X191-1</f>
        <v>0.22899999999999987</v>
      </c>
      <c r="S191" s="54">
        <f>R191*'Расчет субсидий'!Y191</f>
        <v>5.724999999999997</v>
      </c>
      <c r="T191" s="55">
        <f t="shared" si="71"/>
        <v>22.34657597997532</v>
      </c>
      <c r="U191" s="60">
        <f>'Расчет субсидий'!AB191-1</f>
        <v>-5.2676367968683468E-2</v>
      </c>
      <c r="V191" s="60">
        <f>U191*'Расчет субсидий'!AC191</f>
        <v>-0.26338183984341734</v>
      </c>
      <c r="W191" s="55">
        <f t="shared" si="65"/>
        <v>-1.0280667765601081</v>
      </c>
      <c r="X191" s="71">
        <f>'Расчет субсидий'!AF191-1</f>
        <v>0.22191780821917795</v>
      </c>
      <c r="Y191" s="71">
        <f>X191*'Расчет субсидий'!AG191</f>
        <v>4.438356164383559</v>
      </c>
      <c r="Z191" s="55">
        <f t="shared" si="66"/>
        <v>17.324377860888923</v>
      </c>
      <c r="AA191" s="27" t="s">
        <v>367</v>
      </c>
      <c r="AB191" s="27" t="s">
        <v>367</v>
      </c>
      <c r="AC191" s="27" t="s">
        <v>367</v>
      </c>
      <c r="AD191" s="27" t="s">
        <v>367</v>
      </c>
      <c r="AE191" s="27" t="s">
        <v>367</v>
      </c>
      <c r="AF191" s="27" t="s">
        <v>367</v>
      </c>
      <c r="AG191" s="54">
        <f t="shared" si="67"/>
        <v>0.21194013650595256</v>
      </c>
    </row>
    <row r="192" spans="1:33" ht="15" customHeight="1">
      <c r="A192" s="32" t="s">
        <v>189</v>
      </c>
      <c r="B192" s="56"/>
      <c r="C192" s="57"/>
      <c r="D192" s="57"/>
      <c r="E192" s="58"/>
      <c r="F192" s="57"/>
      <c r="G192" s="57"/>
      <c r="H192" s="58"/>
      <c r="I192" s="58"/>
      <c r="J192" s="58"/>
      <c r="K192" s="58"/>
      <c r="L192" s="57"/>
      <c r="M192" s="57"/>
      <c r="N192" s="58"/>
      <c r="O192" s="57"/>
      <c r="P192" s="57"/>
      <c r="Q192" s="58"/>
      <c r="R192" s="57"/>
      <c r="S192" s="57"/>
      <c r="T192" s="58"/>
      <c r="U192" s="58"/>
      <c r="V192" s="58"/>
      <c r="W192" s="58"/>
      <c r="X192" s="73"/>
      <c r="Y192" s="73"/>
      <c r="Z192" s="58"/>
      <c r="AA192" s="58"/>
      <c r="AB192" s="58"/>
      <c r="AC192" s="58"/>
      <c r="AD192" s="58"/>
      <c r="AE192" s="58"/>
      <c r="AF192" s="58"/>
      <c r="AG192" s="58"/>
    </row>
    <row r="193" spans="1:33" ht="15" customHeight="1">
      <c r="A193" s="33" t="s">
        <v>190</v>
      </c>
      <c r="B193" s="52">
        <f>'Расчет субсидий'!AT193</f>
        <v>14.763636363636351</v>
      </c>
      <c r="C193" s="54">
        <f>'Расчет субсидий'!D193-1</f>
        <v>-1</v>
      </c>
      <c r="D193" s="54">
        <f>C193*'Расчет субсидий'!E193</f>
        <v>0</v>
      </c>
      <c r="E193" s="55">
        <f t="shared" ref="E193:E204" si="72">$B193*D193/$AG193</f>
        <v>0</v>
      </c>
      <c r="F193" s="27" t="s">
        <v>367</v>
      </c>
      <c r="G193" s="27" t="s">
        <v>367</v>
      </c>
      <c r="H193" s="27" t="s">
        <v>367</v>
      </c>
      <c r="I193" s="27" t="s">
        <v>367</v>
      </c>
      <c r="J193" s="27" t="s">
        <v>367</v>
      </c>
      <c r="K193" s="27" t="s">
        <v>367</v>
      </c>
      <c r="L193" s="54">
        <f>'Расчет субсидий'!P193-1</f>
        <v>-7.2960000000000025E-2</v>
      </c>
      <c r="M193" s="54">
        <f>L193*'Расчет субсидий'!Q193</f>
        <v>-1.4592000000000005</v>
      </c>
      <c r="N193" s="55">
        <f t="shared" ref="N193:N204" si="73">$B193*M193/$AG193</f>
        <v>-4.9041009888991463</v>
      </c>
      <c r="O193" s="54">
        <f>'Расчет субсидий'!T193-1</f>
        <v>0.1636363636363638</v>
      </c>
      <c r="P193" s="54">
        <f>O193*'Расчет субсидий'!U193</f>
        <v>5.7272727272727328</v>
      </c>
      <c r="Q193" s="55">
        <f t="shared" ref="Q193:Q204" si="74">$B193*P193/$AG193</f>
        <v>19.24830307395375</v>
      </c>
      <c r="R193" s="54">
        <f>'Расчет субсидий'!X193-1</f>
        <v>8.6956521739130599E-2</v>
      </c>
      <c r="S193" s="54">
        <f>R193*'Расчет субсидий'!Y193</f>
        <v>1.304347826086959</v>
      </c>
      <c r="T193" s="55">
        <f t="shared" ref="T193:T204" si="75">$B193*S193/$AG193</f>
        <v>4.3836715075257029</v>
      </c>
      <c r="U193" s="60">
        <f>'Расчет субсидий'!AB193-1</f>
        <v>-1.4265335235378318E-3</v>
      </c>
      <c r="V193" s="60">
        <f>U193*'Расчет субсидий'!AC193</f>
        <v>-7.132667617689159E-3</v>
      </c>
      <c r="W193" s="55">
        <f t="shared" si="65"/>
        <v>-2.3971575053041604E-2</v>
      </c>
      <c r="X193" s="71">
        <f>'Расчет субсидий'!AF193-1</f>
        <v>-5.862068965517242E-2</v>
      </c>
      <c r="Y193" s="71">
        <f>X193*'Расчет субсидий'!AG193</f>
        <v>-1.1724137931034484</v>
      </c>
      <c r="Z193" s="55">
        <f t="shared" si="66"/>
        <v>-3.9402656538909122</v>
      </c>
      <c r="AA193" s="27" t="s">
        <v>367</v>
      </c>
      <c r="AB193" s="27" t="s">
        <v>367</v>
      </c>
      <c r="AC193" s="27" t="s">
        <v>367</v>
      </c>
      <c r="AD193" s="27" t="s">
        <v>367</v>
      </c>
      <c r="AE193" s="27" t="s">
        <v>367</v>
      </c>
      <c r="AF193" s="27" t="s">
        <v>367</v>
      </c>
      <c r="AG193" s="54">
        <f t="shared" si="67"/>
        <v>4.3928740926385537</v>
      </c>
    </row>
    <row r="194" spans="1:33" ht="15" customHeight="1">
      <c r="A194" s="33" t="s">
        <v>191</v>
      </c>
      <c r="B194" s="52">
        <f>'Расчет субсидий'!AT194</f>
        <v>-108.80909090909094</v>
      </c>
      <c r="C194" s="54">
        <f>'Расчет субсидий'!D194-1</f>
        <v>-1</v>
      </c>
      <c r="D194" s="54">
        <f>C194*'Расчет субсидий'!E194</f>
        <v>0</v>
      </c>
      <c r="E194" s="55">
        <f t="shared" si="72"/>
        <v>0</v>
      </c>
      <c r="F194" s="27" t="s">
        <v>367</v>
      </c>
      <c r="G194" s="27" t="s">
        <v>367</v>
      </c>
      <c r="H194" s="27" t="s">
        <v>367</v>
      </c>
      <c r="I194" s="27" t="s">
        <v>367</v>
      </c>
      <c r="J194" s="27" t="s">
        <v>367</v>
      </c>
      <c r="K194" s="27" t="s">
        <v>367</v>
      </c>
      <c r="L194" s="54">
        <f>'Расчет субсидий'!P194-1</f>
        <v>-0.1106598984771574</v>
      </c>
      <c r="M194" s="54">
        <f>L194*'Расчет субсидий'!Q194</f>
        <v>-2.2131979695431481</v>
      </c>
      <c r="N194" s="55">
        <f t="shared" si="73"/>
        <v>-4.6554574212531916</v>
      </c>
      <c r="O194" s="54">
        <f>'Расчет субсидий'!T194-1</f>
        <v>-1</v>
      </c>
      <c r="P194" s="54">
        <f>O194*'Расчет субсидий'!U194</f>
        <v>-30</v>
      </c>
      <c r="Q194" s="55">
        <f t="shared" si="74"/>
        <v>-63.104938898179711</v>
      </c>
      <c r="R194" s="54">
        <f>'Расчет субсидий'!X194-1</f>
        <v>-1</v>
      </c>
      <c r="S194" s="54">
        <f>R194*'Расчет субсидий'!Y194</f>
        <v>-20</v>
      </c>
      <c r="T194" s="55">
        <f t="shared" si="75"/>
        <v>-42.069959265453143</v>
      </c>
      <c r="U194" s="60">
        <f>'Расчет субсидий'!AB194-1</f>
        <v>9.7101560698085621E-2</v>
      </c>
      <c r="V194" s="60">
        <f>U194*'Расчет субсидий'!AC194</f>
        <v>0.4855078034904281</v>
      </c>
      <c r="W194" s="55">
        <f t="shared" si="65"/>
        <v>1.0212646757950969</v>
      </c>
      <c r="X194" s="71">
        <f>'Расчет субсидий'!AF194-1</f>
        <v>0</v>
      </c>
      <c r="Y194" s="71">
        <f>X194*'Расчет субсидий'!AG194</f>
        <v>0</v>
      </c>
      <c r="Z194" s="55">
        <f t="shared" si="66"/>
        <v>0</v>
      </c>
      <c r="AA194" s="27" t="s">
        <v>367</v>
      </c>
      <c r="AB194" s="27" t="s">
        <v>367</v>
      </c>
      <c r="AC194" s="27" t="s">
        <v>367</v>
      </c>
      <c r="AD194" s="27" t="s">
        <v>367</v>
      </c>
      <c r="AE194" s="27" t="s">
        <v>367</v>
      </c>
      <c r="AF194" s="27" t="s">
        <v>367</v>
      </c>
      <c r="AG194" s="54">
        <f t="shared" si="67"/>
        <v>-51.727690166052717</v>
      </c>
    </row>
    <row r="195" spans="1:33" ht="15" customHeight="1">
      <c r="A195" s="33" t="s">
        <v>192</v>
      </c>
      <c r="B195" s="52">
        <f>'Расчет субсидий'!AT195</f>
        <v>82.381818181818176</v>
      </c>
      <c r="C195" s="54">
        <f>'Расчет субсидий'!D195-1</f>
        <v>-1</v>
      </c>
      <c r="D195" s="54">
        <f>C195*'Расчет субсидий'!E195</f>
        <v>0</v>
      </c>
      <c r="E195" s="55">
        <f t="shared" si="72"/>
        <v>0</v>
      </c>
      <c r="F195" s="27" t="s">
        <v>367</v>
      </c>
      <c r="G195" s="27" t="s">
        <v>367</v>
      </c>
      <c r="H195" s="27" t="s">
        <v>367</v>
      </c>
      <c r="I195" s="27" t="s">
        <v>367</v>
      </c>
      <c r="J195" s="27" t="s">
        <v>367</v>
      </c>
      <c r="K195" s="27" t="s">
        <v>367</v>
      </c>
      <c r="L195" s="54">
        <f>'Расчет субсидий'!P195-1</f>
        <v>0.30000000000000004</v>
      </c>
      <c r="M195" s="54">
        <f>L195*'Расчет субсидий'!Q195</f>
        <v>6.0000000000000009</v>
      </c>
      <c r="N195" s="55">
        <f t="shared" si="73"/>
        <v>33.397705130029053</v>
      </c>
      <c r="O195" s="54">
        <f>'Расчет субсидий'!T195-1</f>
        <v>0.20119170984455947</v>
      </c>
      <c r="P195" s="54">
        <f>O195*'Расчет субсидий'!U195</f>
        <v>6.0357512953367838</v>
      </c>
      <c r="Q195" s="55">
        <f t="shared" si="74"/>
        <v>33.596706999974799</v>
      </c>
      <c r="R195" s="54">
        <f>'Расчет субсидий'!X195-1</f>
        <v>3.9823008849557473E-2</v>
      </c>
      <c r="S195" s="54">
        <f>R195*'Расчет субсидий'!Y195</f>
        <v>0.79646017699114946</v>
      </c>
      <c r="T195" s="55">
        <f t="shared" si="75"/>
        <v>4.4333236898268593</v>
      </c>
      <c r="U195" s="60">
        <f>'Расчет субсидий'!AB195-1</f>
        <v>0.12882839086047637</v>
      </c>
      <c r="V195" s="60">
        <f>U195*'Расчет субсидий'!AC195</f>
        <v>0.64414195430238186</v>
      </c>
      <c r="W195" s="55">
        <f t="shared" si="65"/>
        <v>3.5854771752785997</v>
      </c>
      <c r="X195" s="71">
        <f>'Расчет субсидий'!AF195-1</f>
        <v>6.6189624329159313E-2</v>
      </c>
      <c r="Y195" s="71">
        <f>X195*'Расчет субсидий'!AG195</f>
        <v>1.3237924865831863</v>
      </c>
      <c r="Z195" s="55">
        <f t="shared" si="66"/>
        <v>7.3686051867088658</v>
      </c>
      <c r="AA195" s="27" t="s">
        <v>367</v>
      </c>
      <c r="AB195" s="27" t="s">
        <v>367</v>
      </c>
      <c r="AC195" s="27" t="s">
        <v>367</v>
      </c>
      <c r="AD195" s="27" t="s">
        <v>367</v>
      </c>
      <c r="AE195" s="27" t="s">
        <v>367</v>
      </c>
      <c r="AF195" s="27" t="s">
        <v>367</v>
      </c>
      <c r="AG195" s="54">
        <f t="shared" si="67"/>
        <v>14.800145913213502</v>
      </c>
    </row>
    <row r="196" spans="1:33" ht="15" customHeight="1">
      <c r="A196" s="33" t="s">
        <v>193</v>
      </c>
      <c r="B196" s="52">
        <f>'Расчет субсидий'!AT196</f>
        <v>26.77272727272728</v>
      </c>
      <c r="C196" s="54">
        <f>'Расчет субсидий'!D196-1</f>
        <v>-1</v>
      </c>
      <c r="D196" s="54">
        <f>C196*'Расчет субсидий'!E196</f>
        <v>0</v>
      </c>
      <c r="E196" s="55">
        <f t="shared" si="72"/>
        <v>0</v>
      </c>
      <c r="F196" s="27" t="s">
        <v>367</v>
      </c>
      <c r="G196" s="27" t="s">
        <v>367</v>
      </c>
      <c r="H196" s="27" t="s">
        <v>367</v>
      </c>
      <c r="I196" s="27" t="s">
        <v>367</v>
      </c>
      <c r="J196" s="27" t="s">
        <v>367</v>
      </c>
      <c r="K196" s="27" t="s">
        <v>367</v>
      </c>
      <c r="L196" s="54">
        <f>'Расчет субсидий'!P196-1</f>
        <v>0.21435244161358802</v>
      </c>
      <c r="M196" s="54">
        <f>L196*'Расчет субсидий'!Q196</f>
        <v>4.2870488322717604</v>
      </c>
      <c r="N196" s="55">
        <f t="shared" si="73"/>
        <v>5.807754165618519</v>
      </c>
      <c r="O196" s="54">
        <f>'Расчет субсидий'!T196-1</f>
        <v>0.30000000000000004</v>
      </c>
      <c r="P196" s="54">
        <f>O196*'Расчет субсидий'!U196</f>
        <v>9.0000000000000018</v>
      </c>
      <c r="Q196" s="55">
        <f t="shared" si="74"/>
        <v>12.192487078078901</v>
      </c>
      <c r="R196" s="54">
        <f>'Расчет субсидий'!X196-1</f>
        <v>0.30000000000000004</v>
      </c>
      <c r="S196" s="54">
        <f>R196*'Расчет субсидий'!Y196</f>
        <v>6.0000000000000009</v>
      </c>
      <c r="T196" s="55">
        <f t="shared" si="75"/>
        <v>8.1283247187192664</v>
      </c>
      <c r="U196" s="60">
        <f>'Расчет субсидий'!AB196-1</f>
        <v>9.5098756400877837E-2</v>
      </c>
      <c r="V196" s="60">
        <f>U196*'Расчет субсидий'!AC196</f>
        <v>0.47549378200438919</v>
      </c>
      <c r="W196" s="55">
        <f t="shared" si="65"/>
        <v>0.64416131031059776</v>
      </c>
      <c r="X196" s="71">
        <f>'Расчет субсидий'!AF196-1</f>
        <v>0</v>
      </c>
      <c r="Y196" s="71">
        <f>X196*'Расчет субсидий'!AG196</f>
        <v>0</v>
      </c>
      <c r="Z196" s="55">
        <f t="shared" si="66"/>
        <v>0</v>
      </c>
      <c r="AA196" s="27" t="s">
        <v>367</v>
      </c>
      <c r="AB196" s="27" t="s">
        <v>367</v>
      </c>
      <c r="AC196" s="27" t="s">
        <v>367</v>
      </c>
      <c r="AD196" s="27" t="s">
        <v>367</v>
      </c>
      <c r="AE196" s="27" t="s">
        <v>367</v>
      </c>
      <c r="AF196" s="27" t="s">
        <v>367</v>
      </c>
      <c r="AG196" s="54">
        <f t="shared" si="67"/>
        <v>19.76254261427615</v>
      </c>
    </row>
    <row r="197" spans="1:33" ht="15" customHeight="1">
      <c r="A197" s="33" t="s">
        <v>194</v>
      </c>
      <c r="B197" s="52">
        <f>'Расчет субсидий'!AT197</f>
        <v>-31.199999999999989</v>
      </c>
      <c r="C197" s="54">
        <f>'Расчет субсидий'!D197-1</f>
        <v>-1</v>
      </c>
      <c r="D197" s="54">
        <f>C197*'Расчет субсидий'!E197</f>
        <v>0</v>
      </c>
      <c r="E197" s="55">
        <f t="shared" si="72"/>
        <v>0</v>
      </c>
      <c r="F197" s="27" t="s">
        <v>367</v>
      </c>
      <c r="G197" s="27" t="s">
        <v>367</v>
      </c>
      <c r="H197" s="27" t="s">
        <v>367</v>
      </c>
      <c r="I197" s="27" t="s">
        <v>367</v>
      </c>
      <c r="J197" s="27" t="s">
        <v>367</v>
      </c>
      <c r="K197" s="27" t="s">
        <v>367</v>
      </c>
      <c r="L197" s="54">
        <f>'Расчет субсидий'!P197-1</f>
        <v>-0.63923154701718909</v>
      </c>
      <c r="M197" s="54">
        <f>L197*'Расчет субсидий'!Q197</f>
        <v>-12.784630940343781</v>
      </c>
      <c r="N197" s="55">
        <f t="shared" si="73"/>
        <v>-33.550622697815555</v>
      </c>
      <c r="O197" s="54">
        <f>'Расчет субсидий'!T197-1</f>
        <v>0.17500000000000004</v>
      </c>
      <c r="P197" s="54">
        <f>O197*'Расчет субсидий'!U197</f>
        <v>0.87500000000000022</v>
      </c>
      <c r="Q197" s="55">
        <f t="shared" si="74"/>
        <v>2.2962567318192142</v>
      </c>
      <c r="R197" s="54">
        <f>'Расчет субсидий'!X197-1</f>
        <v>1.4285714285714235E-2</v>
      </c>
      <c r="S197" s="54">
        <f>R197*'Расчет субсидий'!Y197</f>
        <v>0.64285714285714057</v>
      </c>
      <c r="T197" s="55">
        <f t="shared" si="75"/>
        <v>1.6870457621528856</v>
      </c>
      <c r="U197" s="60">
        <f>'Расчет субсидий'!AB197-1</f>
        <v>-0.38282607726928386</v>
      </c>
      <c r="V197" s="60">
        <f>U197*'Расчет субсидий'!AC197</f>
        <v>-1.9141303863464194</v>
      </c>
      <c r="W197" s="55">
        <f t="shared" si="65"/>
        <v>-5.0232397545459175</v>
      </c>
      <c r="X197" s="71">
        <f>'Расчет субсидий'!AF197-1</f>
        <v>6.4599483204134334E-2</v>
      </c>
      <c r="Y197" s="71">
        <f>X197*'Расчет субсидий'!AG197</f>
        <v>1.2919896640826867</v>
      </c>
      <c r="Z197" s="55">
        <f t="shared" si="66"/>
        <v>3.3905599583893871</v>
      </c>
      <c r="AA197" s="27" t="s">
        <v>367</v>
      </c>
      <c r="AB197" s="27" t="s">
        <v>367</v>
      </c>
      <c r="AC197" s="27" t="s">
        <v>367</v>
      </c>
      <c r="AD197" s="27" t="s">
        <v>367</v>
      </c>
      <c r="AE197" s="27" t="s">
        <v>367</v>
      </c>
      <c r="AF197" s="27" t="s">
        <v>367</v>
      </c>
      <c r="AG197" s="54">
        <f t="shared" si="67"/>
        <v>-11.888914519750374</v>
      </c>
    </row>
    <row r="198" spans="1:33" ht="15" customHeight="1">
      <c r="A198" s="33" t="s">
        <v>195</v>
      </c>
      <c r="B198" s="52">
        <f>'Расчет субсидий'!AT198</f>
        <v>48.972727272727241</v>
      </c>
      <c r="C198" s="54">
        <f>'Расчет субсидий'!D198-1</f>
        <v>0.2131369150779896</v>
      </c>
      <c r="D198" s="54">
        <f>C198*'Расчет субсидий'!E198</f>
        <v>2.131369150779896</v>
      </c>
      <c r="E198" s="55">
        <f t="shared" si="72"/>
        <v>7.303835560589679</v>
      </c>
      <c r="F198" s="27" t="s">
        <v>367</v>
      </c>
      <c r="G198" s="27" t="s">
        <v>367</v>
      </c>
      <c r="H198" s="27" t="s">
        <v>367</v>
      </c>
      <c r="I198" s="27" t="s">
        <v>367</v>
      </c>
      <c r="J198" s="27" t="s">
        <v>367</v>
      </c>
      <c r="K198" s="27" t="s">
        <v>367</v>
      </c>
      <c r="L198" s="54">
        <f>'Расчет субсидий'!P198-1</f>
        <v>0.26085343228200375</v>
      </c>
      <c r="M198" s="54">
        <f>L198*'Расчет субсидий'!Q198</f>
        <v>5.217068645640075</v>
      </c>
      <c r="N198" s="55">
        <f t="shared" si="73"/>
        <v>17.877997099714253</v>
      </c>
      <c r="O198" s="54">
        <f>'Расчет субсидий'!T198-1</f>
        <v>0.20126245847176083</v>
      </c>
      <c r="P198" s="54">
        <f>O198*'Расчет субсидий'!U198</f>
        <v>7.0441860465116291</v>
      </c>
      <c r="Q198" s="55">
        <f t="shared" si="74"/>
        <v>24.139214233768552</v>
      </c>
      <c r="R198" s="54">
        <f>'Расчет субсидий'!X198-1</f>
        <v>2.8368794326241176E-2</v>
      </c>
      <c r="S198" s="54">
        <f>R198*'Расчет субсидий'!Y198</f>
        <v>0.42553191489361764</v>
      </c>
      <c r="T198" s="55">
        <f t="shared" si="75"/>
        <v>1.4582246960966669</v>
      </c>
      <c r="U198" s="60">
        <f>'Расчет субсидий'!AB198-1</f>
        <v>-0.16364742284399547</v>
      </c>
      <c r="V198" s="60">
        <f>U198*'Расчет субсидий'!AC198</f>
        <v>-0.81823711421997736</v>
      </c>
      <c r="W198" s="55">
        <f t="shared" si="65"/>
        <v>-2.8039578829633309</v>
      </c>
      <c r="X198" s="71">
        <f>'Расчет субсидий'!AF198-1</f>
        <v>1.4553014553014609E-2</v>
      </c>
      <c r="Y198" s="71">
        <f>X198*'Расчет субсидий'!AG198</f>
        <v>0.29106029106029219</v>
      </c>
      <c r="Z198" s="55">
        <f t="shared" si="66"/>
        <v>0.99741356552142335</v>
      </c>
      <c r="AA198" s="27" t="s">
        <v>367</v>
      </c>
      <c r="AB198" s="27" t="s">
        <v>367</v>
      </c>
      <c r="AC198" s="27" t="s">
        <v>367</v>
      </c>
      <c r="AD198" s="27" t="s">
        <v>367</v>
      </c>
      <c r="AE198" s="27" t="s">
        <v>367</v>
      </c>
      <c r="AF198" s="27" t="s">
        <v>367</v>
      </c>
      <c r="AG198" s="54">
        <f t="shared" si="67"/>
        <v>14.290978934665532</v>
      </c>
    </row>
    <row r="199" spans="1:33" ht="15" customHeight="1">
      <c r="A199" s="33" t="s">
        <v>196</v>
      </c>
      <c r="B199" s="52">
        <f>'Расчет субсидий'!AT199</f>
        <v>37.772727272727252</v>
      </c>
      <c r="C199" s="54">
        <f>'Расчет субсидий'!D199-1</f>
        <v>5.39470110373097E-2</v>
      </c>
      <c r="D199" s="54">
        <f>C199*'Расчет субсидий'!E199</f>
        <v>0.539470110373097</v>
      </c>
      <c r="E199" s="55">
        <f t="shared" si="72"/>
        <v>1.4455517708131473</v>
      </c>
      <c r="F199" s="27" t="s">
        <v>367</v>
      </c>
      <c r="G199" s="27" t="s">
        <v>367</v>
      </c>
      <c r="H199" s="27" t="s">
        <v>367</v>
      </c>
      <c r="I199" s="27" t="s">
        <v>367</v>
      </c>
      <c r="J199" s="27" t="s">
        <v>367</v>
      </c>
      <c r="K199" s="27" t="s">
        <v>367</v>
      </c>
      <c r="L199" s="54">
        <f>'Расчет субсидий'!P199-1</f>
        <v>0.1825269892043182</v>
      </c>
      <c r="M199" s="54">
        <f>L199*'Расчет субсидий'!Q199</f>
        <v>3.650539784086364</v>
      </c>
      <c r="N199" s="55">
        <f t="shared" si="73"/>
        <v>9.7819029225924847</v>
      </c>
      <c r="O199" s="54">
        <f>'Расчет субсидий'!T199-1</f>
        <v>0.20408695652173914</v>
      </c>
      <c r="P199" s="54">
        <f>O199*'Расчет субсидий'!U199</f>
        <v>6.1226086956521737</v>
      </c>
      <c r="Q199" s="55">
        <f t="shared" si="74"/>
        <v>16.406002245193793</v>
      </c>
      <c r="R199" s="54">
        <f>'Расчет субсидий'!X199-1</f>
        <v>0.15957446808510634</v>
      </c>
      <c r="S199" s="54">
        <f>R199*'Расчет субсидий'!Y199</f>
        <v>3.1914893617021267</v>
      </c>
      <c r="T199" s="55">
        <f t="shared" si="75"/>
        <v>8.5518419086261588</v>
      </c>
      <c r="U199" s="60">
        <f>'Расчет субсидий'!AB199-1</f>
        <v>-7.1992687469853878E-2</v>
      </c>
      <c r="V199" s="60">
        <f>U199*'Расчет субсидий'!AC199</f>
        <v>-0.35996343734926939</v>
      </c>
      <c r="W199" s="55">
        <f t="shared" si="65"/>
        <v>-0.96454979485027093</v>
      </c>
      <c r="X199" s="71">
        <f>'Расчет субсидий'!AF199-1</f>
        <v>4.7619047619047672E-2</v>
      </c>
      <c r="Y199" s="71">
        <f>X199*'Расчет субсидий'!AG199</f>
        <v>0.95238095238095344</v>
      </c>
      <c r="Z199" s="55">
        <f t="shared" si="66"/>
        <v>2.5519782203519363</v>
      </c>
      <c r="AA199" s="27" t="s">
        <v>367</v>
      </c>
      <c r="AB199" s="27" t="s">
        <v>367</v>
      </c>
      <c r="AC199" s="27" t="s">
        <v>367</v>
      </c>
      <c r="AD199" s="27" t="s">
        <v>367</v>
      </c>
      <c r="AE199" s="27" t="s">
        <v>367</v>
      </c>
      <c r="AF199" s="27" t="s">
        <v>367</v>
      </c>
      <c r="AG199" s="54">
        <f t="shared" si="67"/>
        <v>14.096525466845446</v>
      </c>
    </row>
    <row r="200" spans="1:33" ht="15" customHeight="1">
      <c r="A200" s="33" t="s">
        <v>197</v>
      </c>
      <c r="B200" s="52">
        <f>'Расчет субсидий'!AT200</f>
        <v>-11.26363636363638</v>
      </c>
      <c r="C200" s="54">
        <f>'Расчет субсидий'!D200-1</f>
        <v>-1</v>
      </c>
      <c r="D200" s="54">
        <f>C200*'Расчет субсидий'!E200</f>
        <v>0</v>
      </c>
      <c r="E200" s="55">
        <f t="shared" si="72"/>
        <v>0</v>
      </c>
      <c r="F200" s="27" t="s">
        <v>367</v>
      </c>
      <c r="G200" s="27" t="s">
        <v>367</v>
      </c>
      <c r="H200" s="27" t="s">
        <v>367</v>
      </c>
      <c r="I200" s="27" t="s">
        <v>367</v>
      </c>
      <c r="J200" s="27" t="s">
        <v>367</v>
      </c>
      <c r="K200" s="27" t="s">
        <v>367</v>
      </c>
      <c r="L200" s="54">
        <f>'Расчет субсидий'!P200-1</f>
        <v>-0.80604945840997344</v>
      </c>
      <c r="M200" s="54">
        <f>L200*'Расчет субсидий'!Q200</f>
        <v>-16.120989168199468</v>
      </c>
      <c r="N200" s="55">
        <f t="shared" si="73"/>
        <v>-36.466235886403247</v>
      </c>
      <c r="O200" s="54">
        <f>'Расчет субсидий'!T200-1</f>
        <v>0.24806451612903224</v>
      </c>
      <c r="P200" s="54">
        <f>O200*'Расчет субсидий'!U200</f>
        <v>7.4419354838709673</v>
      </c>
      <c r="Q200" s="55">
        <f t="shared" si="74"/>
        <v>16.833915833251762</v>
      </c>
      <c r="R200" s="54">
        <f>'Расчет субсидий'!X200-1</f>
        <v>9.4339622641509413E-2</v>
      </c>
      <c r="S200" s="54">
        <f>R200*'Расчет субсидий'!Y200</f>
        <v>1.8867924528301883</v>
      </c>
      <c r="T200" s="55">
        <f t="shared" si="75"/>
        <v>4.2679898817446862</v>
      </c>
      <c r="U200" s="60">
        <f>'Расчет субсидий'!AB200-1</f>
        <v>-3.7433155080213942E-2</v>
      </c>
      <c r="V200" s="60">
        <f>U200*'Расчет субсидий'!AC200</f>
        <v>-0.18716577540106971</v>
      </c>
      <c r="W200" s="55">
        <f t="shared" si="65"/>
        <v>-0.423375466878952</v>
      </c>
      <c r="X200" s="71">
        <f>'Расчет субсидий'!AF200-1</f>
        <v>0.10000000000000009</v>
      </c>
      <c r="Y200" s="71">
        <f>X200*'Расчет субсидий'!AG200</f>
        <v>2.0000000000000018</v>
      </c>
      <c r="Z200" s="55">
        <f t="shared" si="66"/>
        <v>4.5240692746493734</v>
      </c>
      <c r="AA200" s="27" t="s">
        <v>367</v>
      </c>
      <c r="AB200" s="27" t="s">
        <v>367</v>
      </c>
      <c r="AC200" s="27" t="s">
        <v>367</v>
      </c>
      <c r="AD200" s="27" t="s">
        <v>367</v>
      </c>
      <c r="AE200" s="27" t="s">
        <v>367</v>
      </c>
      <c r="AF200" s="27" t="s">
        <v>367</v>
      </c>
      <c r="AG200" s="54">
        <f t="shared" si="67"/>
        <v>-4.9794270068993809</v>
      </c>
    </row>
    <row r="201" spans="1:33" ht="15" customHeight="1">
      <c r="A201" s="33" t="s">
        <v>198</v>
      </c>
      <c r="B201" s="52">
        <f>'Расчет субсидий'!AT201</f>
        <v>6.2727272727272805</v>
      </c>
      <c r="C201" s="54">
        <f>'Расчет субсидий'!D201-1</f>
        <v>-1</v>
      </c>
      <c r="D201" s="54">
        <f>C201*'Расчет субсидий'!E201</f>
        <v>0</v>
      </c>
      <c r="E201" s="55">
        <f t="shared" si="72"/>
        <v>0</v>
      </c>
      <c r="F201" s="27" t="s">
        <v>367</v>
      </c>
      <c r="G201" s="27" t="s">
        <v>367</v>
      </c>
      <c r="H201" s="27" t="s">
        <v>367</v>
      </c>
      <c r="I201" s="27" t="s">
        <v>367</v>
      </c>
      <c r="J201" s="27" t="s">
        <v>367</v>
      </c>
      <c r="K201" s="27" t="s">
        <v>367</v>
      </c>
      <c r="L201" s="54">
        <f>'Расчет субсидий'!P201-1</f>
        <v>-0.46684175968483255</v>
      </c>
      <c r="M201" s="54">
        <f>L201*'Расчет субсидий'!Q201</f>
        <v>-9.3368351936966505</v>
      </c>
      <c r="N201" s="55">
        <f t="shared" si="73"/>
        <v>-13.765513027164269</v>
      </c>
      <c r="O201" s="54">
        <f>'Расчет субсидий'!T201-1</f>
        <v>0.30000000000000004</v>
      </c>
      <c r="P201" s="54">
        <f>O201*'Расчет субсидий'!U201</f>
        <v>9.0000000000000018</v>
      </c>
      <c r="Q201" s="55">
        <f t="shared" si="74"/>
        <v>13.268909076184299</v>
      </c>
      <c r="R201" s="54">
        <f>'Расчет субсидий'!X201-1</f>
        <v>0.19999999999999996</v>
      </c>
      <c r="S201" s="54">
        <f>R201*'Расчет субсидий'!Y201</f>
        <v>3.9999999999999991</v>
      </c>
      <c r="T201" s="55">
        <f t="shared" si="75"/>
        <v>5.8972929227485738</v>
      </c>
      <c r="U201" s="60">
        <f>'Расчет субсидий'!AB201-1</f>
        <v>0.11829675919197791</v>
      </c>
      <c r="V201" s="60">
        <f>U201*'Расчет субсидий'!AC201</f>
        <v>0.59148379595988954</v>
      </c>
      <c r="W201" s="55">
        <f t="shared" si="65"/>
        <v>0.87203830095867974</v>
      </c>
      <c r="X201" s="71">
        <f>'Расчет субсидий'!AF201-1</f>
        <v>0</v>
      </c>
      <c r="Y201" s="71">
        <f>X201*'Расчет субсидий'!AG201</f>
        <v>0</v>
      </c>
      <c r="Z201" s="55">
        <f t="shared" si="66"/>
        <v>0</v>
      </c>
      <c r="AA201" s="27" t="s">
        <v>367</v>
      </c>
      <c r="AB201" s="27" t="s">
        <v>367</v>
      </c>
      <c r="AC201" s="27" t="s">
        <v>367</v>
      </c>
      <c r="AD201" s="27" t="s">
        <v>367</v>
      </c>
      <c r="AE201" s="27" t="s">
        <v>367</v>
      </c>
      <c r="AF201" s="27" t="s">
        <v>367</v>
      </c>
      <c r="AG201" s="54">
        <f t="shared" si="67"/>
        <v>4.2546486022632397</v>
      </c>
    </row>
    <row r="202" spans="1:33" ht="15" customHeight="1">
      <c r="A202" s="33" t="s">
        <v>199</v>
      </c>
      <c r="B202" s="52">
        <f>'Расчет субсидий'!AT202</f>
        <v>-92.218181818181847</v>
      </c>
      <c r="C202" s="54">
        <f>'Расчет субсидий'!D202-1</f>
        <v>-1</v>
      </c>
      <c r="D202" s="54">
        <f>C202*'Расчет субсидий'!E202</f>
        <v>0</v>
      </c>
      <c r="E202" s="55">
        <f t="shared" si="72"/>
        <v>0</v>
      </c>
      <c r="F202" s="27" t="s">
        <v>367</v>
      </c>
      <c r="G202" s="27" t="s">
        <v>367</v>
      </c>
      <c r="H202" s="27" t="s">
        <v>367</v>
      </c>
      <c r="I202" s="27" t="s">
        <v>367</v>
      </c>
      <c r="J202" s="27" t="s">
        <v>367</v>
      </c>
      <c r="K202" s="27" t="s">
        <v>367</v>
      </c>
      <c r="L202" s="54">
        <f>'Расчет субсидий'!P202-1</f>
        <v>-0.57809596677232489</v>
      </c>
      <c r="M202" s="54">
        <f>L202*'Расчет субсидий'!Q202</f>
        <v>-11.561919335446497</v>
      </c>
      <c r="N202" s="55">
        <f t="shared" si="73"/>
        <v>-47.5695007708335</v>
      </c>
      <c r="O202" s="54">
        <f>'Расчет субсидий'!T202-1</f>
        <v>-0.31409836065573771</v>
      </c>
      <c r="P202" s="54">
        <f>O202*'Расчет субсидий'!U202</f>
        <v>-10.99344262295082</v>
      </c>
      <c r="Q202" s="55">
        <f t="shared" si="74"/>
        <v>-45.230602476468292</v>
      </c>
      <c r="R202" s="54">
        <f>'Расчет субсидий'!X202-1</f>
        <v>0.22249999999999992</v>
      </c>
      <c r="S202" s="54">
        <f>R202*'Расчет субсидий'!Y202</f>
        <v>3.3374999999999986</v>
      </c>
      <c r="T202" s="55">
        <f t="shared" si="75"/>
        <v>13.731561708437198</v>
      </c>
      <c r="U202" s="60">
        <f>'Расчет субсидий'!AB202-1</f>
        <v>-0.20243081782599737</v>
      </c>
      <c r="V202" s="60">
        <f>U202*'Расчет субсидий'!AC202</f>
        <v>-1.0121540891299867</v>
      </c>
      <c r="W202" s="55">
        <f t="shared" si="65"/>
        <v>-4.1643314856435838</v>
      </c>
      <c r="X202" s="71">
        <f>'Расчет субсидий'!AF202-1</f>
        <v>-0.10919540229885061</v>
      </c>
      <c r="Y202" s="71">
        <f>X202*'Расчет субсидий'!AG202</f>
        <v>-2.1839080459770122</v>
      </c>
      <c r="Z202" s="55">
        <f t="shared" si="66"/>
        <v>-8.9853087936736635</v>
      </c>
      <c r="AA202" s="27" t="s">
        <v>367</v>
      </c>
      <c r="AB202" s="27" t="s">
        <v>367</v>
      </c>
      <c r="AC202" s="27" t="s">
        <v>367</v>
      </c>
      <c r="AD202" s="27" t="s">
        <v>367</v>
      </c>
      <c r="AE202" s="27" t="s">
        <v>367</v>
      </c>
      <c r="AF202" s="27" t="s">
        <v>367</v>
      </c>
      <c r="AG202" s="54">
        <f t="shared" si="67"/>
        <v>-22.413924093504317</v>
      </c>
    </row>
    <row r="203" spans="1:33" ht="15" customHeight="1">
      <c r="A203" s="33" t="s">
        <v>200</v>
      </c>
      <c r="B203" s="52">
        <f>'Расчет субсидий'!AT203</f>
        <v>-11.954545454545467</v>
      </c>
      <c r="C203" s="54">
        <f>'Расчет субсидий'!D203-1</f>
        <v>-1</v>
      </c>
      <c r="D203" s="54">
        <f>C203*'Расчет субсидий'!E203</f>
        <v>0</v>
      </c>
      <c r="E203" s="55">
        <f t="shared" si="72"/>
        <v>0</v>
      </c>
      <c r="F203" s="27" t="s">
        <v>367</v>
      </c>
      <c r="G203" s="27" t="s">
        <v>367</v>
      </c>
      <c r="H203" s="27" t="s">
        <v>367</v>
      </c>
      <c r="I203" s="27" t="s">
        <v>367</v>
      </c>
      <c r="J203" s="27" t="s">
        <v>367</v>
      </c>
      <c r="K203" s="27" t="s">
        <v>367</v>
      </c>
      <c r="L203" s="54">
        <f>'Расчет субсидий'!P203-1</f>
        <v>-0.39491525423728813</v>
      </c>
      <c r="M203" s="54">
        <f>L203*'Расчет субсидий'!Q203</f>
        <v>-7.898305084745763</v>
      </c>
      <c r="N203" s="55">
        <f t="shared" si="73"/>
        <v>-10.199586909800816</v>
      </c>
      <c r="O203" s="54">
        <f>'Расчет субсидий'!T203-1</f>
        <v>-7.3333333333333361E-2</v>
      </c>
      <c r="P203" s="54">
        <f>O203*'Расчет субсидий'!U203</f>
        <v>-2.5666666666666678</v>
      </c>
      <c r="Q203" s="55">
        <f t="shared" si="74"/>
        <v>-3.3145009535926411</v>
      </c>
      <c r="R203" s="54">
        <f>'Расчет субсидий'!X203-1</f>
        <v>0.28000000000000003</v>
      </c>
      <c r="S203" s="54">
        <f>R203*'Расчет субсидий'!Y203</f>
        <v>4.2</v>
      </c>
      <c r="T203" s="55">
        <f t="shared" si="75"/>
        <v>5.4237288331515927</v>
      </c>
      <c r="U203" s="60">
        <f>'Расчет субсидий'!AB203-1</f>
        <v>-7.6472087687995405E-4</v>
      </c>
      <c r="V203" s="60">
        <f>U203*'Расчет субсидий'!AC203</f>
        <v>-3.8236043843997702E-3</v>
      </c>
      <c r="W203" s="55">
        <f t="shared" si="65"/>
        <v>-4.9376650824366373E-3</v>
      </c>
      <c r="X203" s="71">
        <f>'Расчет субсидий'!AF203-1</f>
        <v>-0.14942528735632188</v>
      </c>
      <c r="Y203" s="71">
        <f>X203*'Расчет субсидий'!AG203</f>
        <v>-2.9885057471264376</v>
      </c>
      <c r="Z203" s="55">
        <f t="shared" si="66"/>
        <v>-3.8592487592211668</v>
      </c>
      <c r="AA203" s="27" t="s">
        <v>367</v>
      </c>
      <c r="AB203" s="27" t="s">
        <v>367</v>
      </c>
      <c r="AC203" s="27" t="s">
        <v>367</v>
      </c>
      <c r="AD203" s="27" t="s">
        <v>367</v>
      </c>
      <c r="AE203" s="27" t="s">
        <v>367</v>
      </c>
      <c r="AF203" s="27" t="s">
        <v>367</v>
      </c>
      <c r="AG203" s="54">
        <f t="shared" si="67"/>
        <v>-9.2573011029232681</v>
      </c>
    </row>
    <row r="204" spans="1:33" ht="15" customHeight="1">
      <c r="A204" s="33" t="s">
        <v>201</v>
      </c>
      <c r="B204" s="52">
        <f>'Расчет субсидий'!AT204</f>
        <v>-52.963636363636368</v>
      </c>
      <c r="C204" s="54">
        <f>'Расчет субсидий'!D204-1</f>
        <v>-1</v>
      </c>
      <c r="D204" s="54">
        <f>C204*'Расчет субсидий'!E204</f>
        <v>0</v>
      </c>
      <c r="E204" s="55">
        <f t="shared" si="72"/>
        <v>0</v>
      </c>
      <c r="F204" s="27" t="s">
        <v>367</v>
      </c>
      <c r="G204" s="27" t="s">
        <v>367</v>
      </c>
      <c r="H204" s="27" t="s">
        <v>367</v>
      </c>
      <c r="I204" s="27" t="s">
        <v>367</v>
      </c>
      <c r="J204" s="27" t="s">
        <v>367</v>
      </c>
      <c r="K204" s="27" t="s">
        <v>367</v>
      </c>
      <c r="L204" s="54">
        <f>'Расчет субсидий'!P204-1</f>
        <v>0.13723750369713095</v>
      </c>
      <c r="M204" s="54">
        <f>L204*'Расчет субсидий'!Q204</f>
        <v>2.7447500739426189</v>
      </c>
      <c r="N204" s="55">
        <f t="shared" si="73"/>
        <v>5.3268441743665873</v>
      </c>
      <c r="O204" s="54">
        <f>'Расчет субсидий'!T204-1</f>
        <v>-0.5</v>
      </c>
      <c r="P204" s="54">
        <f>O204*'Расчет субсидий'!U204</f>
        <v>-17.5</v>
      </c>
      <c r="Q204" s="55">
        <f t="shared" si="74"/>
        <v>-33.962936711943449</v>
      </c>
      <c r="R204" s="54">
        <f>'Расчет субсидий'!X204-1</f>
        <v>-0.5</v>
      </c>
      <c r="S204" s="54">
        <f>R204*'Расчет субсидий'!Y204</f>
        <v>-7.5</v>
      </c>
      <c r="T204" s="55">
        <f t="shared" si="75"/>
        <v>-14.55554430511862</v>
      </c>
      <c r="U204" s="60">
        <f>'Расчет субсидий'!AB204-1</f>
        <v>0.2022634286397893</v>
      </c>
      <c r="V204" s="60">
        <f>U204*'Расчет субсидий'!AC204</f>
        <v>1.0113171431989465</v>
      </c>
      <c r="W204" s="55">
        <f t="shared" si="65"/>
        <v>1.9627028645811011</v>
      </c>
      <c r="X204" s="71">
        <f>'Расчет субсидий'!AF204-1</f>
        <v>-0.30232558139534882</v>
      </c>
      <c r="Y204" s="71">
        <f>X204*'Расчет субсидий'!AG204</f>
        <v>-6.0465116279069768</v>
      </c>
      <c r="Z204" s="55">
        <f t="shared" si="66"/>
        <v>-11.73470238552199</v>
      </c>
      <c r="AA204" s="27" t="s">
        <v>367</v>
      </c>
      <c r="AB204" s="27" t="s">
        <v>367</v>
      </c>
      <c r="AC204" s="27" t="s">
        <v>367</v>
      </c>
      <c r="AD204" s="27" t="s">
        <v>367</v>
      </c>
      <c r="AE204" s="27" t="s">
        <v>367</v>
      </c>
      <c r="AF204" s="27" t="s">
        <v>367</v>
      </c>
      <c r="AG204" s="54">
        <f t="shared" si="67"/>
        <v>-27.29044441076541</v>
      </c>
    </row>
    <row r="205" spans="1:33" ht="15" customHeight="1">
      <c r="A205" s="32" t="s">
        <v>202</v>
      </c>
      <c r="B205" s="56"/>
      <c r="C205" s="57"/>
      <c r="D205" s="57"/>
      <c r="E205" s="58"/>
      <c r="F205" s="57"/>
      <c r="G205" s="57"/>
      <c r="H205" s="58"/>
      <c r="I205" s="58"/>
      <c r="J205" s="58"/>
      <c r="K205" s="58"/>
      <c r="L205" s="57"/>
      <c r="M205" s="57"/>
      <c r="N205" s="58"/>
      <c r="O205" s="57"/>
      <c r="P205" s="57"/>
      <c r="Q205" s="58"/>
      <c r="R205" s="57"/>
      <c r="S205" s="57"/>
      <c r="T205" s="58"/>
      <c r="U205" s="58"/>
      <c r="V205" s="58"/>
      <c r="W205" s="58"/>
      <c r="X205" s="73"/>
      <c r="Y205" s="73"/>
      <c r="Z205" s="58"/>
      <c r="AA205" s="58"/>
      <c r="AB205" s="58"/>
      <c r="AC205" s="58"/>
      <c r="AD205" s="58"/>
      <c r="AE205" s="58"/>
      <c r="AF205" s="58"/>
      <c r="AG205" s="58"/>
    </row>
    <row r="206" spans="1:33" ht="15" customHeight="1">
      <c r="A206" s="33" t="s">
        <v>203</v>
      </c>
      <c r="B206" s="52">
        <f>'Расчет субсидий'!AT206</f>
        <v>-21.845454545454572</v>
      </c>
      <c r="C206" s="54">
        <f>'Расчет субсидий'!D206-1</f>
        <v>-1</v>
      </c>
      <c r="D206" s="54">
        <f>C206*'Расчет субсидий'!E206</f>
        <v>-10</v>
      </c>
      <c r="E206" s="55">
        <f t="shared" ref="E206:E218" si="76">$B206*D206/$AG206</f>
        <v>-23.479115315705975</v>
      </c>
      <c r="F206" s="27" t="s">
        <v>367</v>
      </c>
      <c r="G206" s="27" t="s">
        <v>367</v>
      </c>
      <c r="H206" s="27" t="s">
        <v>367</v>
      </c>
      <c r="I206" s="27" t="s">
        <v>367</v>
      </c>
      <c r="J206" s="27" t="s">
        <v>367</v>
      </c>
      <c r="K206" s="27" t="s">
        <v>367</v>
      </c>
      <c r="L206" s="54">
        <f>'Расчет субсидий'!P206-1</f>
        <v>-0.28771999209017207</v>
      </c>
      <c r="M206" s="54">
        <f>L206*'Расчет субсидий'!Q206</f>
        <v>-5.7543998418034414</v>
      </c>
      <c r="N206" s="55">
        <f t="shared" ref="N206:N218" si="77">$B206*M206/$AG206</f>
        <v>-13.510821745838323</v>
      </c>
      <c r="O206" s="54">
        <f>'Расчет субсидий'!T206-1</f>
        <v>4.5491803278688403E-2</v>
      </c>
      <c r="P206" s="54">
        <f>O206*'Расчет субсидий'!U206</f>
        <v>0.68237704918032605</v>
      </c>
      <c r="Q206" s="55">
        <f t="shared" ref="Q206:Q218" si="78">$B206*P206/$AG206</f>
        <v>1.6021609426496044</v>
      </c>
      <c r="R206" s="54">
        <f>'Расчет субсидий'!X206-1</f>
        <v>0.21333333333333337</v>
      </c>
      <c r="S206" s="54">
        <f>R206*'Расчет субсидий'!Y206</f>
        <v>7.4666666666666686</v>
      </c>
      <c r="T206" s="55">
        <f t="shared" ref="T206:T218" si="79">$B206*S206/$AG206</f>
        <v>17.531072769060465</v>
      </c>
      <c r="U206" s="60">
        <f>'Расчет субсидий'!AB206-1</f>
        <v>-9.1121495327102786E-2</v>
      </c>
      <c r="V206" s="60">
        <f>U206*'Расчет субсидий'!AC206</f>
        <v>-0.45560747663551393</v>
      </c>
      <c r="W206" s="55">
        <f t="shared" si="65"/>
        <v>-1.0697260482623048</v>
      </c>
      <c r="X206" s="71">
        <f>'Расчет субсидий'!AF206-1</f>
        <v>-6.2162162162162193E-2</v>
      </c>
      <c r="Y206" s="71">
        <f>X206*'Расчет субсидий'!AG206</f>
        <v>-1.2432432432432439</v>
      </c>
      <c r="Z206" s="55">
        <f t="shared" si="66"/>
        <v>-2.9190251473580417</v>
      </c>
      <c r="AA206" s="27" t="s">
        <v>367</v>
      </c>
      <c r="AB206" s="27" t="s">
        <v>367</v>
      </c>
      <c r="AC206" s="27" t="s">
        <v>367</v>
      </c>
      <c r="AD206" s="27" t="s">
        <v>367</v>
      </c>
      <c r="AE206" s="27" t="s">
        <v>367</v>
      </c>
      <c r="AF206" s="27" t="s">
        <v>367</v>
      </c>
      <c r="AG206" s="54">
        <f t="shared" si="67"/>
        <v>-9.3042068458352034</v>
      </c>
    </row>
    <row r="207" spans="1:33" ht="15" customHeight="1">
      <c r="A207" s="33" t="s">
        <v>204</v>
      </c>
      <c r="B207" s="52">
        <f>'Расчет субсидий'!AT207</f>
        <v>-73.981818181818142</v>
      </c>
      <c r="C207" s="54">
        <f>'Расчет субсидий'!D207-1</f>
        <v>-1</v>
      </c>
      <c r="D207" s="54">
        <f>C207*'Расчет субсидий'!E207</f>
        <v>0</v>
      </c>
      <c r="E207" s="55">
        <f t="shared" si="76"/>
        <v>0</v>
      </c>
      <c r="F207" s="27" t="s">
        <v>367</v>
      </c>
      <c r="G207" s="27" t="s">
        <v>367</v>
      </c>
      <c r="H207" s="27" t="s">
        <v>367</v>
      </c>
      <c r="I207" s="27" t="s">
        <v>367</v>
      </c>
      <c r="J207" s="27" t="s">
        <v>367</v>
      </c>
      <c r="K207" s="27" t="s">
        <v>367</v>
      </c>
      <c r="L207" s="54">
        <f>'Расчет субсидий'!P207-1</f>
        <v>-0.67759088442756377</v>
      </c>
      <c r="M207" s="54">
        <f>L207*'Расчет субсидий'!Q207</f>
        <v>-13.551817688551274</v>
      </c>
      <c r="N207" s="55">
        <f t="shared" si="77"/>
        <v>-72.657370462639065</v>
      </c>
      <c r="O207" s="54">
        <f>'Расчет субсидий'!T207-1</f>
        <v>-0.10769230769230775</v>
      </c>
      <c r="P207" s="54">
        <f>O207*'Расчет субсидий'!U207</f>
        <v>-2.1538461538461551</v>
      </c>
      <c r="Q207" s="55">
        <f t="shared" si="78"/>
        <v>-11.547734888120377</v>
      </c>
      <c r="R207" s="54">
        <f>'Расчет субсидий'!X207-1</f>
        <v>0</v>
      </c>
      <c r="S207" s="54">
        <f>R207*'Расчет субсидий'!Y207</f>
        <v>0</v>
      </c>
      <c r="T207" s="55">
        <f t="shared" si="79"/>
        <v>0</v>
      </c>
      <c r="U207" s="60">
        <f>'Расчет субсидий'!AB207-1</f>
        <v>-9.4827586206896575E-2</v>
      </c>
      <c r="V207" s="60">
        <f>U207*'Расчет субсидий'!AC207</f>
        <v>-0.47413793103448287</v>
      </c>
      <c r="W207" s="55">
        <f t="shared" si="65"/>
        <v>-2.5420660237087644</v>
      </c>
      <c r="X207" s="71">
        <f>'Расчет субсидий'!AF207-1</f>
        <v>0.11904761904761907</v>
      </c>
      <c r="Y207" s="71">
        <f>X207*'Расчет субсидий'!AG207</f>
        <v>2.3809523809523814</v>
      </c>
      <c r="Z207" s="55">
        <f t="shared" si="66"/>
        <v>12.765353192650073</v>
      </c>
      <c r="AA207" s="27" t="s">
        <v>367</v>
      </c>
      <c r="AB207" s="27" t="s">
        <v>367</v>
      </c>
      <c r="AC207" s="27" t="s">
        <v>367</v>
      </c>
      <c r="AD207" s="27" t="s">
        <v>367</v>
      </c>
      <c r="AE207" s="27" t="s">
        <v>367</v>
      </c>
      <c r="AF207" s="27" t="s">
        <v>367</v>
      </c>
      <c r="AG207" s="54">
        <f t="shared" si="67"/>
        <v>-13.79884939247953</v>
      </c>
    </row>
    <row r="208" spans="1:33" ht="15" customHeight="1">
      <c r="A208" s="33" t="s">
        <v>205</v>
      </c>
      <c r="B208" s="52">
        <f>'Расчет субсидий'!AT208</f>
        <v>0.3272727272727276</v>
      </c>
      <c r="C208" s="54">
        <f>'Расчет субсидий'!D208-1</f>
        <v>0.25185685848347594</v>
      </c>
      <c r="D208" s="54">
        <f>C208*'Расчет субсидий'!E208</f>
        <v>2.5185685848347594</v>
      </c>
      <c r="E208" s="55">
        <f t="shared" si="76"/>
        <v>7.0139211553303368E-2</v>
      </c>
      <c r="F208" s="27" t="s">
        <v>367</v>
      </c>
      <c r="G208" s="27" t="s">
        <v>367</v>
      </c>
      <c r="H208" s="27" t="s">
        <v>367</v>
      </c>
      <c r="I208" s="27" t="s">
        <v>367</v>
      </c>
      <c r="J208" s="27" t="s">
        <v>367</v>
      </c>
      <c r="K208" s="27" t="s">
        <v>367</v>
      </c>
      <c r="L208" s="54">
        <f>'Расчет субсидий'!P208-1</f>
        <v>-0.19328847175491415</v>
      </c>
      <c r="M208" s="54">
        <f>L208*'Расчет субсидий'!Q208</f>
        <v>-3.865769435098283</v>
      </c>
      <c r="N208" s="55">
        <f t="shared" si="77"/>
        <v>-0.10765719141313036</v>
      </c>
      <c r="O208" s="54">
        <f>'Расчет субсидий'!T208-1</f>
        <v>0</v>
      </c>
      <c r="P208" s="54">
        <f>O208*'Расчет субсидий'!U208</f>
        <v>0</v>
      </c>
      <c r="Q208" s="55">
        <f t="shared" si="78"/>
        <v>0</v>
      </c>
      <c r="R208" s="54">
        <f>'Расчет субсидий'!X208-1</f>
        <v>0.1333333333333333</v>
      </c>
      <c r="S208" s="54">
        <f>R208*'Расчет субсидий'!Y208</f>
        <v>5.9999999999999982</v>
      </c>
      <c r="T208" s="55">
        <f t="shared" si="79"/>
        <v>0.16709303524780947</v>
      </c>
      <c r="U208" s="60">
        <f>'Расчет субсидий'!AB208-1</f>
        <v>0.21979111163943088</v>
      </c>
      <c r="V208" s="60">
        <f>U208*'Расчет субсидий'!AC208</f>
        <v>1.0989555581971544</v>
      </c>
      <c r="W208" s="55">
        <f t="shared" si="65"/>
        <v>3.0604636636935554E-2</v>
      </c>
      <c r="X208" s="71">
        <f>'Расчет субсидий'!AF208-1</f>
        <v>0.30000000000000004</v>
      </c>
      <c r="Y208" s="71">
        <f>X208*'Расчет субсидий'!AG208</f>
        <v>6.0000000000000009</v>
      </c>
      <c r="Z208" s="55">
        <f t="shared" si="66"/>
        <v>0.16709303524780955</v>
      </c>
      <c r="AA208" s="27" t="s">
        <v>367</v>
      </c>
      <c r="AB208" s="27" t="s">
        <v>367</v>
      </c>
      <c r="AC208" s="27" t="s">
        <v>367</v>
      </c>
      <c r="AD208" s="27" t="s">
        <v>367</v>
      </c>
      <c r="AE208" s="27" t="s">
        <v>367</v>
      </c>
      <c r="AF208" s="27" t="s">
        <v>367</v>
      </c>
      <c r="AG208" s="54">
        <f t="shared" si="67"/>
        <v>11.75175470793363</v>
      </c>
    </row>
    <row r="209" spans="1:33" ht="15" customHeight="1">
      <c r="A209" s="33" t="s">
        <v>206</v>
      </c>
      <c r="B209" s="52">
        <f>'Расчет субсидий'!AT209</f>
        <v>-7.8272727272727707</v>
      </c>
      <c r="C209" s="54">
        <f>'Расчет субсидий'!D209-1</f>
        <v>0.11767052253689658</v>
      </c>
      <c r="D209" s="54">
        <f>C209*'Расчет субсидий'!E209</f>
        <v>1.1767052253689658</v>
      </c>
      <c r="E209" s="55">
        <f t="shared" si="76"/>
        <v>3.7328895964063724</v>
      </c>
      <c r="F209" s="27" t="s">
        <v>367</v>
      </c>
      <c r="G209" s="27" t="s">
        <v>367</v>
      </c>
      <c r="H209" s="27" t="s">
        <v>367</v>
      </c>
      <c r="I209" s="27" t="s">
        <v>367</v>
      </c>
      <c r="J209" s="27" t="s">
        <v>367</v>
      </c>
      <c r="K209" s="27" t="s">
        <v>367</v>
      </c>
      <c r="L209" s="54">
        <f>'Расчет субсидий'!P209-1</f>
        <v>-0.33620544010812636</v>
      </c>
      <c r="M209" s="54">
        <f>L209*'Расчет субсидий'!Q209</f>
        <v>-6.7241088021625277</v>
      </c>
      <c r="N209" s="55">
        <f t="shared" si="77"/>
        <v>-21.331048126200496</v>
      </c>
      <c r="O209" s="54">
        <f>'Расчет субсидий'!T209-1</f>
        <v>0.18500000000000005</v>
      </c>
      <c r="P209" s="54">
        <f>O209*'Расчет субсидий'!U209</f>
        <v>5.5500000000000016</v>
      </c>
      <c r="Q209" s="55">
        <f t="shared" si="78"/>
        <v>17.606395224053852</v>
      </c>
      <c r="R209" s="54">
        <f>'Расчет субсидий'!X209-1</f>
        <v>6.6666666666666652E-2</v>
      </c>
      <c r="S209" s="54">
        <f>R209*'Расчет субсидий'!Y209</f>
        <v>1.333333333333333</v>
      </c>
      <c r="T209" s="55">
        <f t="shared" si="79"/>
        <v>4.2297646183913145</v>
      </c>
      <c r="U209" s="60">
        <f>'Расчет субсидий'!AB209-1</f>
        <v>-0.78922992872929543</v>
      </c>
      <c r="V209" s="60">
        <f>U209*'Расчет субсидий'!AC209</f>
        <v>-3.9461496436464771</v>
      </c>
      <c r="W209" s="55">
        <f t="shared" si="65"/>
        <v>-12.518463106180024</v>
      </c>
      <c r="X209" s="71">
        <f>'Расчет субсидий'!AF209-1</f>
        <v>7.1428571428571175E-3</v>
      </c>
      <c r="Y209" s="71">
        <f>X209*'Расчет субсидий'!AG209</f>
        <v>0.14285714285714235</v>
      </c>
      <c r="Z209" s="55">
        <f t="shared" si="66"/>
        <v>0.45318906625621069</v>
      </c>
      <c r="AA209" s="27" t="s">
        <v>367</v>
      </c>
      <c r="AB209" s="27" t="s">
        <v>367</v>
      </c>
      <c r="AC209" s="27" t="s">
        <v>367</v>
      </c>
      <c r="AD209" s="27" t="s">
        <v>367</v>
      </c>
      <c r="AE209" s="27" t="s">
        <v>367</v>
      </c>
      <c r="AF209" s="27" t="s">
        <v>367</v>
      </c>
      <c r="AG209" s="54">
        <f t="shared" si="67"/>
        <v>-2.4673627442495616</v>
      </c>
    </row>
    <row r="210" spans="1:33" ht="15" customHeight="1">
      <c r="A210" s="33" t="s">
        <v>207</v>
      </c>
      <c r="B210" s="52">
        <f>'Расчет субсидий'!AT210</f>
        <v>-40.054545454545519</v>
      </c>
      <c r="C210" s="54">
        <f>'Расчет субсидий'!D210-1</f>
        <v>4.1987651565870587E-2</v>
      </c>
      <c r="D210" s="54">
        <f>C210*'Расчет субсидий'!E210</f>
        <v>0.41987651565870587</v>
      </c>
      <c r="E210" s="55">
        <f t="shared" si="76"/>
        <v>2.3268166730095787</v>
      </c>
      <c r="F210" s="27" t="s">
        <v>367</v>
      </c>
      <c r="G210" s="27" t="s">
        <v>367</v>
      </c>
      <c r="H210" s="27" t="s">
        <v>367</v>
      </c>
      <c r="I210" s="27" t="s">
        <v>367</v>
      </c>
      <c r="J210" s="27" t="s">
        <v>367</v>
      </c>
      <c r="K210" s="27" t="s">
        <v>367</v>
      </c>
      <c r="L210" s="54">
        <f>'Расчет субсидий'!P210-1</f>
        <v>-6.348195892239783E-3</v>
      </c>
      <c r="M210" s="54">
        <f>L210*'Расчет субсидий'!Q210</f>
        <v>-0.12696391784479566</v>
      </c>
      <c r="N210" s="55">
        <f t="shared" si="77"/>
        <v>-0.7035920083513808</v>
      </c>
      <c r="O210" s="54">
        <f>'Расчет субсидий'!T210-1</f>
        <v>-3.5023041474654404E-2</v>
      </c>
      <c r="P210" s="54">
        <f>O210*'Расчет субсидий'!U210</f>
        <v>-1.4009216589861762</v>
      </c>
      <c r="Q210" s="55">
        <f t="shared" si="78"/>
        <v>-7.7634441368921232</v>
      </c>
      <c r="R210" s="54">
        <f>'Расчет субсидий'!X210-1</f>
        <v>8.7499999999999911E-2</v>
      </c>
      <c r="S210" s="54">
        <f>R210*'Расчет субсидий'!Y210</f>
        <v>0.87499999999999911</v>
      </c>
      <c r="T210" s="55">
        <f t="shared" si="79"/>
        <v>4.8489603799091752</v>
      </c>
      <c r="U210" s="60">
        <f>'Расчет субсидий'!AB210-1</f>
        <v>-0.12278468176197743</v>
      </c>
      <c r="V210" s="60">
        <f>U210*'Расчет субсидий'!AC210</f>
        <v>-0.61392340880988716</v>
      </c>
      <c r="W210" s="55">
        <f t="shared" si="65"/>
        <v>-3.4021603264204905</v>
      </c>
      <c r="X210" s="71">
        <f>'Расчет субсидий'!AF210-1</f>
        <v>-0.31904761904761902</v>
      </c>
      <c r="Y210" s="71">
        <f>X210*'Расчет субсидий'!AG210</f>
        <v>-6.3809523809523805</v>
      </c>
      <c r="Z210" s="55">
        <f t="shared" si="66"/>
        <v>-35.361126035800275</v>
      </c>
      <c r="AA210" s="27" t="s">
        <v>367</v>
      </c>
      <c r="AB210" s="27" t="s">
        <v>367</v>
      </c>
      <c r="AC210" s="27" t="s">
        <v>367</v>
      </c>
      <c r="AD210" s="27" t="s">
        <v>367</v>
      </c>
      <c r="AE210" s="27" t="s">
        <v>367</v>
      </c>
      <c r="AF210" s="27" t="s">
        <v>367</v>
      </c>
      <c r="AG210" s="54">
        <f t="shared" si="67"/>
        <v>-7.2278848509345348</v>
      </c>
    </row>
    <row r="211" spans="1:33" ht="15" customHeight="1">
      <c r="A211" s="33" t="s">
        <v>208</v>
      </c>
      <c r="B211" s="52">
        <f>'Расчет субсидий'!AT211</f>
        <v>-1.6909090909090878</v>
      </c>
      <c r="C211" s="54">
        <f>'Расчет субсидий'!D211-1</f>
        <v>-5.5094845565597406E-2</v>
      </c>
      <c r="D211" s="54">
        <f>C211*'Расчет субсидий'!E211</f>
        <v>-0.55094845565597406</v>
      </c>
      <c r="E211" s="55">
        <f t="shared" si="76"/>
        <v>-0.74167074902974373</v>
      </c>
      <c r="F211" s="27" t="s">
        <v>367</v>
      </c>
      <c r="G211" s="27" t="s">
        <v>367</v>
      </c>
      <c r="H211" s="27" t="s">
        <v>367</v>
      </c>
      <c r="I211" s="27" t="s">
        <v>367</v>
      </c>
      <c r="J211" s="27" t="s">
        <v>367</v>
      </c>
      <c r="K211" s="27" t="s">
        <v>367</v>
      </c>
      <c r="L211" s="54">
        <f>'Расчет субсидий'!P211-1</f>
        <v>-0.21996953005976805</v>
      </c>
      <c r="M211" s="54">
        <f>L211*'Расчет субсидий'!Q211</f>
        <v>-4.3993906011953605</v>
      </c>
      <c r="N211" s="55">
        <f t="shared" si="77"/>
        <v>-5.9223313705055798</v>
      </c>
      <c r="O211" s="54">
        <f>'Расчет субсидий'!T211-1</f>
        <v>0</v>
      </c>
      <c r="P211" s="54">
        <f>O211*'Расчет субсидий'!U211</f>
        <v>0</v>
      </c>
      <c r="Q211" s="55">
        <f t="shared" si="78"/>
        <v>0</v>
      </c>
      <c r="R211" s="54">
        <f>'Расчет субсидий'!X211-1</f>
        <v>0.16666666666666674</v>
      </c>
      <c r="S211" s="54">
        <f>R211*'Расчет субсидий'!Y211</f>
        <v>5.8333333333333357</v>
      </c>
      <c r="T211" s="55">
        <f t="shared" si="79"/>
        <v>7.8526632723243832</v>
      </c>
      <c r="U211" s="60">
        <f>'Расчет субсидий'!AB211-1</f>
        <v>-2.781646189871978E-2</v>
      </c>
      <c r="V211" s="60">
        <f>U211*'Расчет субсидий'!AC211</f>
        <v>-0.1390823094935989</v>
      </c>
      <c r="W211" s="55">
        <f t="shared" si="65"/>
        <v>-0.18722855032978911</v>
      </c>
      <c r="X211" s="71">
        <f>'Расчет субсидий'!AF211-1</f>
        <v>-9.9999999999999978E-2</v>
      </c>
      <c r="Y211" s="71">
        <f>X211*'Расчет субсидий'!AG211</f>
        <v>-1.9999999999999996</v>
      </c>
      <c r="Z211" s="55">
        <f t="shared" si="66"/>
        <v>-2.6923416933683582</v>
      </c>
      <c r="AA211" s="27" t="s">
        <v>367</v>
      </c>
      <c r="AB211" s="27" t="s">
        <v>367</v>
      </c>
      <c r="AC211" s="27" t="s">
        <v>367</v>
      </c>
      <c r="AD211" s="27" t="s">
        <v>367</v>
      </c>
      <c r="AE211" s="27" t="s">
        <v>367</v>
      </c>
      <c r="AF211" s="27" t="s">
        <v>367</v>
      </c>
      <c r="AG211" s="54">
        <f t="shared" si="67"/>
        <v>-1.2560880330115975</v>
      </c>
    </row>
    <row r="212" spans="1:33" ht="15" customHeight="1">
      <c r="A212" s="33" t="s">
        <v>209</v>
      </c>
      <c r="B212" s="52">
        <f>'Расчет субсидий'!AT212</f>
        <v>0.58181818181818379</v>
      </c>
      <c r="C212" s="54">
        <f>'Расчет субсидий'!D212-1</f>
        <v>-0.16649568379120361</v>
      </c>
      <c r="D212" s="54">
        <f>C212*'Расчет субсидий'!E212</f>
        <v>-1.6649568379120361</v>
      </c>
      <c r="E212" s="55">
        <f t="shared" si="76"/>
        <v>-0.19342447575179111</v>
      </c>
      <c r="F212" s="27" t="s">
        <v>367</v>
      </c>
      <c r="G212" s="27" t="s">
        <v>367</v>
      </c>
      <c r="H212" s="27" t="s">
        <v>367</v>
      </c>
      <c r="I212" s="27" t="s">
        <v>367</v>
      </c>
      <c r="J212" s="27" t="s">
        <v>367</v>
      </c>
      <c r="K212" s="27" t="s">
        <v>367</v>
      </c>
      <c r="L212" s="54">
        <f>'Расчет субсидий'!P212-1</f>
        <v>9.0578309017401937E-2</v>
      </c>
      <c r="M212" s="54">
        <f>L212*'Расчет субсидий'!Q212</f>
        <v>1.8115661803480387</v>
      </c>
      <c r="N212" s="55">
        <f t="shared" si="77"/>
        <v>0.21045665013329715</v>
      </c>
      <c r="O212" s="54">
        <f>'Расчет субсидий'!T212-1</f>
        <v>9.9999999999999867E-2</v>
      </c>
      <c r="P212" s="54">
        <f>O212*'Расчет субсидий'!U212</f>
        <v>2.999999999999996</v>
      </c>
      <c r="Q212" s="55">
        <f t="shared" si="78"/>
        <v>0.34852160370900254</v>
      </c>
      <c r="R212" s="54">
        <f>'Расчет субсидий'!X212-1</f>
        <v>4.1666666666666741E-2</v>
      </c>
      <c r="S212" s="54">
        <f>R212*'Расчет субсидий'!Y212</f>
        <v>0.83333333333333481</v>
      </c>
      <c r="T212" s="55">
        <f t="shared" si="79"/>
        <v>9.6811556585834346E-2</v>
      </c>
      <c r="U212" s="60">
        <f>'Расчет субсидий'!AB212-1</f>
        <v>0.20564495148182149</v>
      </c>
      <c r="V212" s="60">
        <f>U212*'Расчет субсидий'!AC212</f>
        <v>1.0282247574091075</v>
      </c>
      <c r="W212" s="55">
        <f t="shared" si="65"/>
        <v>0.1194528471418409</v>
      </c>
      <c r="X212" s="71">
        <f>'Расчет субсидий'!AF212-1</f>
        <v>0</v>
      </c>
      <c r="Y212" s="71">
        <f>X212*'Расчет субсидий'!AG212</f>
        <v>0</v>
      </c>
      <c r="Z212" s="55">
        <f t="shared" si="66"/>
        <v>0</v>
      </c>
      <c r="AA212" s="27" t="s">
        <v>367</v>
      </c>
      <c r="AB212" s="27" t="s">
        <v>367</v>
      </c>
      <c r="AC212" s="27" t="s">
        <v>367</v>
      </c>
      <c r="AD212" s="27" t="s">
        <v>367</v>
      </c>
      <c r="AE212" s="27" t="s">
        <v>367</v>
      </c>
      <c r="AF212" s="27" t="s">
        <v>367</v>
      </c>
      <c r="AG212" s="54">
        <f t="shared" si="67"/>
        <v>5.0081674331784409</v>
      </c>
    </row>
    <row r="213" spans="1:33" ht="15" customHeight="1">
      <c r="A213" s="33" t="s">
        <v>210</v>
      </c>
      <c r="B213" s="52">
        <f>'Расчет субсидий'!AT213</f>
        <v>86.281818181818153</v>
      </c>
      <c r="C213" s="54">
        <f>'Расчет субсидий'!D213-1</f>
        <v>0.18108541210405416</v>
      </c>
      <c r="D213" s="54">
        <f>C213*'Расчет субсидий'!E213</f>
        <v>1.8108541210405416</v>
      </c>
      <c r="E213" s="55">
        <f t="shared" si="76"/>
        <v>13.149647517760961</v>
      </c>
      <c r="F213" s="27" t="s">
        <v>367</v>
      </c>
      <c r="G213" s="27" t="s">
        <v>367</v>
      </c>
      <c r="H213" s="27" t="s">
        <v>367</v>
      </c>
      <c r="I213" s="27" t="s">
        <v>367</v>
      </c>
      <c r="J213" s="27" t="s">
        <v>367</v>
      </c>
      <c r="K213" s="27" t="s">
        <v>367</v>
      </c>
      <c r="L213" s="54">
        <f>'Расчет субсидий'!P213-1</f>
        <v>1.2163222600052315E-2</v>
      </c>
      <c r="M213" s="54">
        <f>L213*'Расчет субсидий'!Q213</f>
        <v>0.24326445200104629</v>
      </c>
      <c r="N213" s="55">
        <f t="shared" si="77"/>
        <v>1.7664823246926926</v>
      </c>
      <c r="O213" s="54">
        <f>'Расчет субсидий'!T213-1</f>
        <v>0.15000000000000013</v>
      </c>
      <c r="P213" s="54">
        <f>O213*'Расчет субсидий'!U213</f>
        <v>4.5000000000000036</v>
      </c>
      <c r="Q213" s="55">
        <f t="shared" si="78"/>
        <v>32.677073841775012</v>
      </c>
      <c r="R213" s="54">
        <f>'Расчет субсидий'!X213-1</f>
        <v>0.19999999999999996</v>
      </c>
      <c r="S213" s="54">
        <f>R213*'Расчет субсидий'!Y213</f>
        <v>3.9999999999999991</v>
      </c>
      <c r="T213" s="55">
        <f t="shared" si="79"/>
        <v>29.046287859355541</v>
      </c>
      <c r="U213" s="60">
        <f>'Расчет субсидий'!AB213-1</f>
        <v>5.6875678246631534E-2</v>
      </c>
      <c r="V213" s="60">
        <f>U213*'Расчет субсидий'!AC213</f>
        <v>0.28437839123315767</v>
      </c>
      <c r="W213" s="55">
        <f t="shared" si="65"/>
        <v>2.0650341531846821</v>
      </c>
      <c r="X213" s="71">
        <f>'Расчет субсидий'!AF213-1</f>
        <v>5.2173913043478182E-2</v>
      </c>
      <c r="Y213" s="71">
        <f>X213*'Расчет субсидий'!AG213</f>
        <v>1.0434782608695636</v>
      </c>
      <c r="Z213" s="55">
        <f t="shared" si="66"/>
        <v>7.5772924850492611</v>
      </c>
      <c r="AA213" s="27" t="s">
        <v>367</v>
      </c>
      <c r="AB213" s="27" t="s">
        <v>367</v>
      </c>
      <c r="AC213" s="27" t="s">
        <v>367</v>
      </c>
      <c r="AD213" s="27" t="s">
        <v>367</v>
      </c>
      <c r="AE213" s="27" t="s">
        <v>367</v>
      </c>
      <c r="AF213" s="27" t="s">
        <v>367</v>
      </c>
      <c r="AG213" s="54">
        <f t="shared" si="67"/>
        <v>11.881975225144313</v>
      </c>
    </row>
    <row r="214" spans="1:33" ht="15" customHeight="1">
      <c r="A214" s="33" t="s">
        <v>211</v>
      </c>
      <c r="B214" s="52">
        <f>'Расчет субсидий'!AT214</f>
        <v>-9.0909090909090935</v>
      </c>
      <c r="C214" s="54">
        <f>'Расчет субсидий'!D214-1</f>
        <v>-3.3446132463901157E-2</v>
      </c>
      <c r="D214" s="54">
        <f>C214*'Расчет субсидий'!E214</f>
        <v>-0.33446132463901157</v>
      </c>
      <c r="E214" s="55">
        <f t="shared" si="76"/>
        <v>-0.12713873300874892</v>
      </c>
      <c r="F214" s="27" t="s">
        <v>367</v>
      </c>
      <c r="G214" s="27" t="s">
        <v>367</v>
      </c>
      <c r="H214" s="27" t="s">
        <v>367</v>
      </c>
      <c r="I214" s="27" t="s">
        <v>367</v>
      </c>
      <c r="J214" s="27" t="s">
        <v>367</v>
      </c>
      <c r="K214" s="27" t="s">
        <v>367</v>
      </c>
      <c r="L214" s="54">
        <f>'Расчет субсидий'!P214-1</f>
        <v>-0.23619300214220129</v>
      </c>
      <c r="M214" s="54">
        <f>L214*'Расчет субсидий'!Q214</f>
        <v>-4.7238600428440254</v>
      </c>
      <c r="N214" s="55">
        <f t="shared" si="77"/>
        <v>-1.795680207288731</v>
      </c>
      <c r="O214" s="54">
        <f>'Расчет субсидий'!T214-1</f>
        <v>-0.30875576036866359</v>
      </c>
      <c r="P214" s="54">
        <f>O214*'Расчет субсидий'!U214</f>
        <v>-3.0875576036866361</v>
      </c>
      <c r="Q214" s="55">
        <f t="shared" si="78"/>
        <v>-1.1736728073056881</v>
      </c>
      <c r="R214" s="54">
        <f>'Расчет субсидий'!X214-1</f>
        <v>-0.42891566265060244</v>
      </c>
      <c r="S214" s="54">
        <f>R214*'Расчет субсидий'!Y214</f>
        <v>-17.156626506024097</v>
      </c>
      <c r="T214" s="55">
        <f t="shared" si="79"/>
        <v>-6.5217458521833498</v>
      </c>
      <c r="U214" s="60">
        <f>'Расчет субсидий'!AB214-1</f>
        <v>-0.27269675206540334</v>
      </c>
      <c r="V214" s="60">
        <f>U214*'Расчет субсидий'!AC214</f>
        <v>-1.3634837603270167</v>
      </c>
      <c r="W214" s="55">
        <f t="shared" si="65"/>
        <v>-0.51830087665018432</v>
      </c>
      <c r="X214" s="71">
        <f>'Расчет субсидий'!AF214-1</f>
        <v>0.13753581661891112</v>
      </c>
      <c r="Y214" s="71">
        <f>X214*'Расчет субсидий'!AG214</f>
        <v>2.7507163323782224</v>
      </c>
      <c r="Z214" s="55">
        <f t="shared" si="66"/>
        <v>1.0456293855276091</v>
      </c>
      <c r="AA214" s="27" t="s">
        <v>367</v>
      </c>
      <c r="AB214" s="27" t="s">
        <v>367</v>
      </c>
      <c r="AC214" s="27" t="s">
        <v>367</v>
      </c>
      <c r="AD214" s="27" t="s">
        <v>367</v>
      </c>
      <c r="AE214" s="27" t="s">
        <v>367</v>
      </c>
      <c r="AF214" s="27" t="s">
        <v>367</v>
      </c>
      <c r="AG214" s="54">
        <f t="shared" si="67"/>
        <v>-23.915272905142565</v>
      </c>
    </row>
    <row r="215" spans="1:33" ht="15" customHeight="1">
      <c r="A215" s="33" t="s">
        <v>212</v>
      </c>
      <c r="B215" s="52">
        <f>'Расчет субсидий'!AT215</f>
        <v>-25.172727272727258</v>
      </c>
      <c r="C215" s="54">
        <f>'Расчет субсидий'!D215-1</f>
        <v>-1</v>
      </c>
      <c r="D215" s="54">
        <f>C215*'Расчет субсидий'!E215</f>
        <v>0</v>
      </c>
      <c r="E215" s="55">
        <f t="shared" si="76"/>
        <v>0</v>
      </c>
      <c r="F215" s="27" t="s">
        <v>367</v>
      </c>
      <c r="G215" s="27" t="s">
        <v>367</v>
      </c>
      <c r="H215" s="27" t="s">
        <v>367</v>
      </c>
      <c r="I215" s="27" t="s">
        <v>367</v>
      </c>
      <c r="J215" s="27" t="s">
        <v>367</v>
      </c>
      <c r="K215" s="27" t="s">
        <v>367</v>
      </c>
      <c r="L215" s="54">
        <f>'Расчет субсидий'!P215-1</f>
        <v>-0.62178308823529416</v>
      </c>
      <c r="M215" s="54">
        <f>L215*'Расчет субсидий'!Q215</f>
        <v>-12.435661764705884</v>
      </c>
      <c r="N215" s="55">
        <f t="shared" si="77"/>
        <v>-35.411244271897019</v>
      </c>
      <c r="O215" s="54">
        <f>'Расчет субсидий'!T215-1</f>
        <v>4.4444444444444509E-2</v>
      </c>
      <c r="P215" s="54">
        <f>O215*'Расчет субсидий'!U215</f>
        <v>1.1111111111111127</v>
      </c>
      <c r="Q215" s="55">
        <f t="shared" si="78"/>
        <v>3.1639512004454304</v>
      </c>
      <c r="R215" s="54">
        <f>'Расчет субсидий'!X215-1</f>
        <v>8.3333333333333481E-2</v>
      </c>
      <c r="S215" s="54">
        <f>R215*'Расчет субсидий'!Y215</f>
        <v>2.083333333333337</v>
      </c>
      <c r="T215" s="55">
        <f t="shared" si="79"/>
        <v>5.9324085008351837</v>
      </c>
      <c r="U215" s="60">
        <f>'Расчет субсидий'!AB215-1</f>
        <v>8.0220179384727031E-2</v>
      </c>
      <c r="V215" s="60">
        <f>U215*'Расчет субсидий'!AC215</f>
        <v>0.40110089692363515</v>
      </c>
      <c r="W215" s="55">
        <f t="shared" si="65"/>
        <v>1.1421572978891452</v>
      </c>
      <c r="X215" s="71">
        <f>'Расчет субсидий'!AF215-1</f>
        <v>0</v>
      </c>
      <c r="Y215" s="71">
        <f>X215*'Расчет субсидий'!AG215</f>
        <v>0</v>
      </c>
      <c r="Z215" s="55">
        <f t="shared" si="66"/>
        <v>0</v>
      </c>
      <c r="AA215" s="27" t="s">
        <v>367</v>
      </c>
      <c r="AB215" s="27" t="s">
        <v>367</v>
      </c>
      <c r="AC215" s="27" t="s">
        <v>367</v>
      </c>
      <c r="AD215" s="27" t="s">
        <v>367</v>
      </c>
      <c r="AE215" s="27" t="s">
        <v>367</v>
      </c>
      <c r="AF215" s="27" t="s">
        <v>367</v>
      </c>
      <c r="AG215" s="54">
        <f t="shared" si="67"/>
        <v>-8.8401164233377987</v>
      </c>
    </row>
    <row r="216" spans="1:33" ht="15" customHeight="1">
      <c r="A216" s="33" t="s">
        <v>213</v>
      </c>
      <c r="B216" s="52">
        <f>'Расчет субсидий'!AT216</f>
        <v>58.790909090909167</v>
      </c>
      <c r="C216" s="54">
        <f>'Расчет субсидий'!D216-1</f>
        <v>0.20657960644007156</v>
      </c>
      <c r="D216" s="54">
        <f>C216*'Расчет субсидий'!E216</f>
        <v>2.0657960644007156</v>
      </c>
      <c r="E216" s="55">
        <f t="shared" si="76"/>
        <v>11.838680871397353</v>
      </c>
      <c r="F216" s="27" t="s">
        <v>367</v>
      </c>
      <c r="G216" s="27" t="s">
        <v>367</v>
      </c>
      <c r="H216" s="27" t="s">
        <v>367</v>
      </c>
      <c r="I216" s="27" t="s">
        <v>367</v>
      </c>
      <c r="J216" s="27" t="s">
        <v>367</v>
      </c>
      <c r="K216" s="27" t="s">
        <v>367</v>
      </c>
      <c r="L216" s="54">
        <f>'Расчет субсидий'!P216-1</f>
        <v>0.13502975579725018</v>
      </c>
      <c r="M216" s="54">
        <f>L216*'Расчет субсидий'!Q216</f>
        <v>2.7005951159450037</v>
      </c>
      <c r="N216" s="55">
        <f t="shared" si="77"/>
        <v>15.476592434017494</v>
      </c>
      <c r="O216" s="54">
        <f>'Расчет субсидий'!T216-1</f>
        <v>3.288590604026842E-2</v>
      </c>
      <c r="P216" s="54">
        <f>O216*'Расчет субсидий'!U216</f>
        <v>0.4932885906040263</v>
      </c>
      <c r="Q216" s="55">
        <f t="shared" si="78"/>
        <v>2.8269422632270276</v>
      </c>
      <c r="R216" s="54">
        <f>'Расчет субсидий'!X216-1</f>
        <v>0.17685950413223139</v>
      </c>
      <c r="S216" s="54">
        <f>R216*'Расчет субсидий'!Y216</f>
        <v>6.1900826446280988</v>
      </c>
      <c r="T216" s="55">
        <f t="shared" si="79"/>
        <v>35.474175917063008</v>
      </c>
      <c r="U216" s="60">
        <f>'Расчет субсидий'!AB216-1</f>
        <v>-0.3136240134558157</v>
      </c>
      <c r="V216" s="60">
        <f>U216*'Расчет субсидий'!AC216</f>
        <v>-1.5681200672790785</v>
      </c>
      <c r="W216" s="55">
        <f t="shared" si="65"/>
        <v>-8.9865952232495339</v>
      </c>
      <c r="X216" s="71">
        <f>'Расчет субсидий'!AF216-1</f>
        <v>1.8855218855218903E-2</v>
      </c>
      <c r="Y216" s="71">
        <f>X216*'Расчет субсидий'!AG216</f>
        <v>0.37710437710437805</v>
      </c>
      <c r="Z216" s="55">
        <f t="shared" si="66"/>
        <v>2.161112828453827</v>
      </c>
      <c r="AA216" s="27" t="s">
        <v>367</v>
      </c>
      <c r="AB216" s="27" t="s">
        <v>367</v>
      </c>
      <c r="AC216" s="27" t="s">
        <v>367</v>
      </c>
      <c r="AD216" s="27" t="s">
        <v>367</v>
      </c>
      <c r="AE216" s="27" t="s">
        <v>367</v>
      </c>
      <c r="AF216" s="27" t="s">
        <v>367</v>
      </c>
      <c r="AG216" s="54">
        <f t="shared" si="67"/>
        <v>10.258746725403142</v>
      </c>
    </row>
    <row r="217" spans="1:33" ht="15" customHeight="1">
      <c r="A217" s="33" t="s">
        <v>214</v>
      </c>
      <c r="B217" s="52">
        <f>'Расчет субсидий'!AT217</f>
        <v>-10.418181818181807</v>
      </c>
      <c r="C217" s="54">
        <f>'Расчет субсидий'!D217-1</f>
        <v>0</v>
      </c>
      <c r="D217" s="54">
        <f>C217*'Расчет субсидий'!E217</f>
        <v>0</v>
      </c>
      <c r="E217" s="55">
        <f t="shared" si="76"/>
        <v>0</v>
      </c>
      <c r="F217" s="27" t="s">
        <v>367</v>
      </c>
      <c r="G217" s="27" t="s">
        <v>367</v>
      </c>
      <c r="H217" s="27" t="s">
        <v>367</v>
      </c>
      <c r="I217" s="27" t="s">
        <v>367</v>
      </c>
      <c r="J217" s="27" t="s">
        <v>367</v>
      </c>
      <c r="K217" s="27" t="s">
        <v>367</v>
      </c>
      <c r="L217" s="54">
        <f>'Расчет субсидий'!P217-1</f>
        <v>-0.40873838593258083</v>
      </c>
      <c r="M217" s="54">
        <f>L217*'Расчет субсидий'!Q217</f>
        <v>-8.1747677186516157</v>
      </c>
      <c r="N217" s="55">
        <f t="shared" si="77"/>
        <v>-13.664832088305277</v>
      </c>
      <c r="O217" s="54">
        <f>'Расчет субсидий'!T217-1</f>
        <v>4.9450549450549497E-2</v>
      </c>
      <c r="P217" s="54">
        <f>O217*'Расчет субсидий'!U217</f>
        <v>1.4835164835164849</v>
      </c>
      <c r="Q217" s="55">
        <f t="shared" si="78"/>
        <v>2.4798262587000606</v>
      </c>
      <c r="R217" s="54">
        <f>'Расчет субсидий'!X217-1</f>
        <v>2.6666666666666616E-2</v>
      </c>
      <c r="S217" s="54">
        <f>R217*'Расчет субсидий'!Y217</f>
        <v>0.53333333333333233</v>
      </c>
      <c r="T217" s="55">
        <f t="shared" si="79"/>
        <v>0.89151284757216742</v>
      </c>
      <c r="U217" s="60">
        <f>'Расчет субсидий'!AB217-1</f>
        <v>-4.5287384818809118E-2</v>
      </c>
      <c r="V217" s="60">
        <f>U217*'Расчет субсидий'!AC217</f>
        <v>-0.22643692409404559</v>
      </c>
      <c r="W217" s="55">
        <f t="shared" si="65"/>
        <v>-0.3785089256148107</v>
      </c>
      <c r="X217" s="71">
        <f>'Расчет субсидий'!AF217-1</f>
        <v>7.5921908893710199E-3</v>
      </c>
      <c r="Y217" s="71">
        <f>X217*'Расчет субсидий'!AG217</f>
        <v>0.1518438177874204</v>
      </c>
      <c r="Z217" s="55">
        <f t="shared" si="66"/>
        <v>0.25382008946604889</v>
      </c>
      <c r="AA217" s="27" t="s">
        <v>367</v>
      </c>
      <c r="AB217" s="27" t="s">
        <v>367</v>
      </c>
      <c r="AC217" s="27" t="s">
        <v>367</v>
      </c>
      <c r="AD217" s="27" t="s">
        <v>367</v>
      </c>
      <c r="AE217" s="27" t="s">
        <v>367</v>
      </c>
      <c r="AF217" s="27" t="s">
        <v>367</v>
      </c>
      <c r="AG217" s="54">
        <f t="shared" si="67"/>
        <v>-6.232511008108423</v>
      </c>
    </row>
    <row r="218" spans="1:33" ht="15" customHeight="1">
      <c r="A218" s="33" t="s">
        <v>215</v>
      </c>
      <c r="B218" s="52">
        <f>'Расчет субсидий'!AT218</f>
        <v>-17.090909090909065</v>
      </c>
      <c r="C218" s="54">
        <f>'Расчет субсидий'!D218-1</f>
        <v>-1</v>
      </c>
      <c r="D218" s="54">
        <f>C218*'Расчет субсидий'!E218</f>
        <v>0</v>
      </c>
      <c r="E218" s="55">
        <f t="shared" si="76"/>
        <v>0</v>
      </c>
      <c r="F218" s="27" t="s">
        <v>367</v>
      </c>
      <c r="G218" s="27" t="s">
        <v>367</v>
      </c>
      <c r="H218" s="27" t="s">
        <v>367</v>
      </c>
      <c r="I218" s="27" t="s">
        <v>367</v>
      </c>
      <c r="J218" s="27" t="s">
        <v>367</v>
      </c>
      <c r="K218" s="27" t="s">
        <v>367</v>
      </c>
      <c r="L218" s="54">
        <f>'Расчет субсидий'!P218-1</f>
        <v>-0.37170263788968827</v>
      </c>
      <c r="M218" s="54">
        <f>L218*'Расчет субсидий'!Q218</f>
        <v>-7.434052757793765</v>
      </c>
      <c r="N218" s="55">
        <f t="shared" si="77"/>
        <v>-15.549721150482512</v>
      </c>
      <c r="O218" s="54">
        <f>'Расчет субсидий'!T218-1</f>
        <v>-0.15252525252525251</v>
      </c>
      <c r="P218" s="54">
        <f>O218*'Расчет субсидий'!U218</f>
        <v>-6.1010101010101003</v>
      </c>
      <c r="Q218" s="55">
        <f t="shared" si="78"/>
        <v>-12.761411426294327</v>
      </c>
      <c r="R218" s="54">
        <f>'Расчет субсидий'!X218-1</f>
        <v>0.30000000000000004</v>
      </c>
      <c r="S218" s="54">
        <f>R218*'Расчет субсидий'!Y218</f>
        <v>3.0000000000000004</v>
      </c>
      <c r="T218" s="55">
        <f t="shared" si="79"/>
        <v>6.275064890081814</v>
      </c>
      <c r="U218" s="60">
        <f>'Расчет субсидий'!AB218-1</f>
        <v>0.10309106098579779</v>
      </c>
      <c r="V218" s="60">
        <f>U218*'Расчет субсидий'!AC218</f>
        <v>0.51545530492898894</v>
      </c>
      <c r="W218" s="55">
        <f t="shared" si="65"/>
        <v>1.0781718287887712</v>
      </c>
      <c r="X218" s="71">
        <f>'Расчет субсидий'!AF218-1</f>
        <v>9.243697478991586E-2</v>
      </c>
      <c r="Y218" s="71">
        <f>X218*'Расчет субсидий'!AG218</f>
        <v>1.8487394957983172</v>
      </c>
      <c r="Z218" s="55">
        <f t="shared" si="66"/>
        <v>3.8669867669971913</v>
      </c>
      <c r="AA218" s="27" t="s">
        <v>367</v>
      </c>
      <c r="AB218" s="27" t="s">
        <v>367</v>
      </c>
      <c r="AC218" s="27" t="s">
        <v>367</v>
      </c>
      <c r="AD218" s="27" t="s">
        <v>367</v>
      </c>
      <c r="AE218" s="27" t="s">
        <v>367</v>
      </c>
      <c r="AF218" s="27" t="s">
        <v>367</v>
      </c>
      <c r="AG218" s="54">
        <f t="shared" si="67"/>
        <v>-8.1708680580765609</v>
      </c>
    </row>
    <row r="219" spans="1:33" ht="15" customHeight="1">
      <c r="A219" s="32" t="s">
        <v>216</v>
      </c>
      <c r="B219" s="56"/>
      <c r="C219" s="57"/>
      <c r="D219" s="57"/>
      <c r="E219" s="58"/>
      <c r="F219" s="57"/>
      <c r="G219" s="57"/>
      <c r="H219" s="58"/>
      <c r="I219" s="58"/>
      <c r="J219" s="58"/>
      <c r="K219" s="58"/>
      <c r="L219" s="57"/>
      <c r="M219" s="57"/>
      <c r="N219" s="58"/>
      <c r="O219" s="57"/>
      <c r="P219" s="57"/>
      <c r="Q219" s="58"/>
      <c r="R219" s="57"/>
      <c r="S219" s="57"/>
      <c r="T219" s="58"/>
      <c r="U219" s="58"/>
      <c r="V219" s="58"/>
      <c r="W219" s="58"/>
      <c r="X219" s="73"/>
      <c r="Y219" s="73"/>
      <c r="Z219" s="58"/>
      <c r="AA219" s="58"/>
      <c r="AB219" s="58"/>
      <c r="AC219" s="58"/>
      <c r="AD219" s="58"/>
      <c r="AE219" s="58"/>
      <c r="AF219" s="58"/>
      <c r="AG219" s="58"/>
    </row>
    <row r="220" spans="1:33" ht="15" customHeight="1">
      <c r="A220" s="33" t="s">
        <v>217</v>
      </c>
      <c r="B220" s="52">
        <f>'Расчет субсидий'!AT220</f>
        <v>-6.9636363636363683</v>
      </c>
      <c r="C220" s="54">
        <f>'Расчет субсидий'!D220-1</f>
        <v>-1</v>
      </c>
      <c r="D220" s="54">
        <f>C220*'Расчет субсидий'!E220</f>
        <v>0</v>
      </c>
      <c r="E220" s="55">
        <f t="shared" ref="E220:E228" si="80">$B220*D220/$AG220</f>
        <v>0</v>
      </c>
      <c r="F220" s="27" t="s">
        <v>367</v>
      </c>
      <c r="G220" s="27" t="s">
        <v>367</v>
      </c>
      <c r="H220" s="27" t="s">
        <v>367</v>
      </c>
      <c r="I220" s="27" t="s">
        <v>367</v>
      </c>
      <c r="J220" s="27" t="s">
        <v>367</v>
      </c>
      <c r="K220" s="27" t="s">
        <v>367</v>
      </c>
      <c r="L220" s="54">
        <f>'Расчет субсидий'!P220-1</f>
        <v>-0.54188078108941418</v>
      </c>
      <c r="M220" s="54">
        <f>L220*'Расчет субсидий'!Q220</f>
        <v>-10.837615621788284</v>
      </c>
      <c r="N220" s="55">
        <f t="shared" ref="N220:N228" si="81">$B220*M220/$AG220</f>
        <v>-27.344840677673492</v>
      </c>
      <c r="O220" s="54">
        <f>'Расчет субсидий'!T220-1</f>
        <v>0</v>
      </c>
      <c r="P220" s="54">
        <f>O220*'Расчет субсидий'!U220</f>
        <v>0</v>
      </c>
      <c r="Q220" s="55">
        <f t="shared" ref="Q220:Q228" si="82">$B220*P220/$AG220</f>
        <v>0</v>
      </c>
      <c r="R220" s="54">
        <f>'Расчет субсидий'!X220-1</f>
        <v>0.28000000000000003</v>
      </c>
      <c r="S220" s="54">
        <f>R220*'Расчет субсидий'!Y220</f>
        <v>8.4</v>
      </c>
      <c r="T220" s="55">
        <f t="shared" ref="T220:T228" si="83">$B220*S220/$AG220</f>
        <v>21.194390879730772</v>
      </c>
      <c r="U220" s="60">
        <f>'Расчет субсидий'!AB220-1</f>
        <v>8.2690187431091466E-3</v>
      </c>
      <c r="V220" s="60">
        <f>U220*'Расчет субсидий'!AC220</f>
        <v>4.1345093715545733E-2</v>
      </c>
      <c r="W220" s="55">
        <f t="shared" si="65"/>
        <v>0.10431953299599721</v>
      </c>
      <c r="X220" s="71">
        <f>'Расчет субсидий'!AF220-1</f>
        <v>-1.8181818181818188E-2</v>
      </c>
      <c r="Y220" s="71">
        <f>X220*'Расчет субсидий'!AG220</f>
        <v>-0.36363636363636376</v>
      </c>
      <c r="Z220" s="55">
        <f t="shared" si="66"/>
        <v>-0.91750609868964406</v>
      </c>
      <c r="AA220" s="27" t="s">
        <v>367</v>
      </c>
      <c r="AB220" s="27" t="s">
        <v>367</v>
      </c>
      <c r="AC220" s="27" t="s">
        <v>367</v>
      </c>
      <c r="AD220" s="27" t="s">
        <v>367</v>
      </c>
      <c r="AE220" s="27" t="s">
        <v>367</v>
      </c>
      <c r="AF220" s="27" t="s">
        <v>367</v>
      </c>
      <c r="AG220" s="54">
        <f t="shared" si="67"/>
        <v>-2.7599068917091021</v>
      </c>
    </row>
    <row r="221" spans="1:33" ht="15" customHeight="1">
      <c r="A221" s="33" t="s">
        <v>146</v>
      </c>
      <c r="B221" s="52">
        <f>'Расчет субсидий'!AT221</f>
        <v>27.018181818181802</v>
      </c>
      <c r="C221" s="54">
        <f>'Расчет субсидий'!D221-1</f>
        <v>-1</v>
      </c>
      <c r="D221" s="54">
        <f>C221*'Расчет субсидий'!E221</f>
        <v>0</v>
      </c>
      <c r="E221" s="55">
        <f t="shared" si="80"/>
        <v>0</v>
      </c>
      <c r="F221" s="27" t="s">
        <v>367</v>
      </c>
      <c r="G221" s="27" t="s">
        <v>367</v>
      </c>
      <c r="H221" s="27" t="s">
        <v>367</v>
      </c>
      <c r="I221" s="27" t="s">
        <v>367</v>
      </c>
      <c r="J221" s="27" t="s">
        <v>367</v>
      </c>
      <c r="K221" s="27" t="s">
        <v>367</v>
      </c>
      <c r="L221" s="54">
        <f>'Расчет субсидий'!P221-1</f>
        <v>0.20373929590865836</v>
      </c>
      <c r="M221" s="54">
        <f>L221*'Расчет субсидий'!Q221</f>
        <v>4.0747859181731672</v>
      </c>
      <c r="N221" s="55">
        <f t="shared" si="81"/>
        <v>7.1749588783874527</v>
      </c>
      <c r="O221" s="54">
        <f>'Расчет субсидий'!T221-1</f>
        <v>0.20075949367088608</v>
      </c>
      <c r="P221" s="54">
        <f>O221*'Расчет субсидий'!U221</f>
        <v>6.0227848101265824</v>
      </c>
      <c r="Q221" s="55">
        <f t="shared" si="82"/>
        <v>10.605031580507776</v>
      </c>
      <c r="R221" s="54">
        <f>'Расчет субсидий'!X221-1</f>
        <v>0.20285714285714285</v>
      </c>
      <c r="S221" s="54">
        <f>R221*'Расчет субсидий'!Y221</f>
        <v>4.0571428571428569</v>
      </c>
      <c r="T221" s="55">
        <f t="shared" si="83"/>
        <v>7.1438926481796816</v>
      </c>
      <c r="U221" s="60">
        <f>'Расчет субсидий'!AB221-1</f>
        <v>-9.2019058963668798E-2</v>
      </c>
      <c r="V221" s="60">
        <f>U221*'Расчет субсидий'!AC221</f>
        <v>-0.46009529481834399</v>
      </c>
      <c r="W221" s="55">
        <f t="shared" si="65"/>
        <v>-0.81014435770435977</v>
      </c>
      <c r="X221" s="71">
        <f>'Расчет субсидий'!AF221-1</f>
        <v>8.247422680412364E-2</v>
      </c>
      <c r="Y221" s="71">
        <f>X221*'Расчет субсидий'!AG221</f>
        <v>1.6494845360824728</v>
      </c>
      <c r="Z221" s="55">
        <f t="shared" si="66"/>
        <v>2.9044430688112519</v>
      </c>
      <c r="AA221" s="27" t="s">
        <v>367</v>
      </c>
      <c r="AB221" s="27" t="s">
        <v>367</v>
      </c>
      <c r="AC221" s="27" t="s">
        <v>367</v>
      </c>
      <c r="AD221" s="27" t="s">
        <v>367</v>
      </c>
      <c r="AE221" s="27" t="s">
        <v>367</v>
      </c>
      <c r="AF221" s="27" t="s">
        <v>367</v>
      </c>
      <c r="AG221" s="54">
        <f t="shared" si="67"/>
        <v>15.344102826706735</v>
      </c>
    </row>
    <row r="222" spans="1:33" ht="15" customHeight="1">
      <c r="A222" s="33" t="s">
        <v>218</v>
      </c>
      <c r="B222" s="52">
        <f>'Расчет субсидий'!AT222</f>
        <v>17.809090909090912</v>
      </c>
      <c r="C222" s="54">
        <f>'Расчет субсидий'!D222-1</f>
        <v>-1</v>
      </c>
      <c r="D222" s="54">
        <f>C222*'Расчет субсидий'!E222</f>
        <v>0</v>
      </c>
      <c r="E222" s="55">
        <f t="shared" si="80"/>
        <v>0</v>
      </c>
      <c r="F222" s="27" t="s">
        <v>367</v>
      </c>
      <c r="G222" s="27" t="s">
        <v>367</v>
      </c>
      <c r="H222" s="27" t="s">
        <v>367</v>
      </c>
      <c r="I222" s="27" t="s">
        <v>367</v>
      </c>
      <c r="J222" s="27" t="s">
        <v>367</v>
      </c>
      <c r="K222" s="27" t="s">
        <v>367</v>
      </c>
      <c r="L222" s="54">
        <f>'Расчет субсидий'!P222-1</f>
        <v>-8.1907894736842013E-2</v>
      </c>
      <c r="M222" s="54">
        <f>L222*'Расчет субсидий'!Q222</f>
        <v>-1.6381578947368403</v>
      </c>
      <c r="N222" s="55">
        <f t="shared" si="81"/>
        <v>-4.6222331119185283</v>
      </c>
      <c r="O222" s="54">
        <f>'Расчет субсидий'!T222-1</f>
        <v>1.5053763440860291E-2</v>
      </c>
      <c r="P222" s="54">
        <f>O222*'Расчет субсидий'!U222</f>
        <v>0.22580645161290436</v>
      </c>
      <c r="Q222" s="55">
        <f t="shared" si="82"/>
        <v>0.6371364206608815</v>
      </c>
      <c r="R222" s="54">
        <f>'Расчет субсидий'!X222-1</f>
        <v>0.20500000000000007</v>
      </c>
      <c r="S222" s="54">
        <f>R222*'Расчет субсидий'!Y222</f>
        <v>7.1750000000000025</v>
      </c>
      <c r="T222" s="55">
        <f t="shared" si="83"/>
        <v>20.245009766499418</v>
      </c>
      <c r="U222" s="60">
        <f>'Расчет субсидий'!AB222-1</f>
        <v>8.8474970896391225E-2</v>
      </c>
      <c r="V222" s="60">
        <f>U222*'Расчет субсидий'!AC222</f>
        <v>0.44237485448195613</v>
      </c>
      <c r="W222" s="55">
        <f t="shared" si="65"/>
        <v>1.2482067246607607</v>
      </c>
      <c r="X222" s="71">
        <f>'Расчет субсидий'!AF222-1</f>
        <v>5.3333333333334121E-3</v>
      </c>
      <c r="Y222" s="71">
        <f>X222*'Расчет субсидий'!AG222</f>
        <v>0.10666666666666824</v>
      </c>
      <c r="Z222" s="55">
        <f t="shared" si="66"/>
        <v>0.30097110918838127</v>
      </c>
      <c r="AA222" s="27" t="s">
        <v>367</v>
      </c>
      <c r="AB222" s="27" t="s">
        <v>367</v>
      </c>
      <c r="AC222" s="27" t="s">
        <v>367</v>
      </c>
      <c r="AD222" s="27" t="s">
        <v>367</v>
      </c>
      <c r="AE222" s="27" t="s">
        <v>367</v>
      </c>
      <c r="AF222" s="27" t="s">
        <v>367</v>
      </c>
      <c r="AG222" s="54">
        <f t="shared" si="67"/>
        <v>6.3116900780246912</v>
      </c>
    </row>
    <row r="223" spans="1:33" ht="15" customHeight="1">
      <c r="A223" s="33" t="s">
        <v>219</v>
      </c>
      <c r="B223" s="52">
        <f>'Расчет субсидий'!AT223</f>
        <v>-39.563636363636363</v>
      </c>
      <c r="C223" s="54">
        <f>'Расчет субсидий'!D223-1</f>
        <v>-1</v>
      </c>
      <c r="D223" s="54">
        <f>C223*'Расчет субсидий'!E223</f>
        <v>0</v>
      </c>
      <c r="E223" s="55">
        <f t="shared" si="80"/>
        <v>0</v>
      </c>
      <c r="F223" s="27" t="s">
        <v>367</v>
      </c>
      <c r="G223" s="27" t="s">
        <v>367</v>
      </c>
      <c r="H223" s="27" t="s">
        <v>367</v>
      </c>
      <c r="I223" s="27" t="s">
        <v>367</v>
      </c>
      <c r="J223" s="27" t="s">
        <v>367</v>
      </c>
      <c r="K223" s="27" t="s">
        <v>367</v>
      </c>
      <c r="L223" s="54">
        <f>'Расчет субсидий'!P223-1</f>
        <v>-0.33895091636823249</v>
      </c>
      <c r="M223" s="54">
        <f>L223*'Расчет субсидий'!Q223</f>
        <v>-6.7790183273646498</v>
      </c>
      <c r="N223" s="55">
        <f t="shared" si="81"/>
        <v>-17.225758184704489</v>
      </c>
      <c r="O223" s="54">
        <f>'Расчет субсидий'!T223-1</f>
        <v>0.20799999999999996</v>
      </c>
      <c r="P223" s="54">
        <f>O223*'Расчет субсидий'!U223</f>
        <v>5.1999999999999993</v>
      </c>
      <c r="Q223" s="55">
        <f t="shared" si="82"/>
        <v>13.213409115429444</v>
      </c>
      <c r="R223" s="54">
        <f>'Расчет субсидий'!X223-1</f>
        <v>-0.47499999999999998</v>
      </c>
      <c r="S223" s="54">
        <f>R223*'Расчет субсидий'!Y223</f>
        <v>-11.875</v>
      </c>
      <c r="T223" s="55">
        <f t="shared" si="83"/>
        <v>-30.174852547254744</v>
      </c>
      <c r="U223" s="60">
        <f>'Расчет субсидий'!AB223-1</f>
        <v>-3.9168017287952495E-2</v>
      </c>
      <c r="V223" s="60">
        <f>U223*'Расчет субсидий'!AC223</f>
        <v>-0.19584008643976247</v>
      </c>
      <c r="W223" s="55">
        <f t="shared" si="65"/>
        <v>-0.49763753525570159</v>
      </c>
      <c r="X223" s="71">
        <f>'Расчет субсидий'!AF223-1</f>
        <v>-9.5999999999999974E-2</v>
      </c>
      <c r="Y223" s="71">
        <f>X223*'Расчет субсидий'!AG223</f>
        <v>-1.9199999999999995</v>
      </c>
      <c r="Z223" s="55">
        <f t="shared" si="66"/>
        <v>-4.8787972118508707</v>
      </c>
      <c r="AA223" s="27" t="s">
        <v>367</v>
      </c>
      <c r="AB223" s="27" t="s">
        <v>367</v>
      </c>
      <c r="AC223" s="27" t="s">
        <v>367</v>
      </c>
      <c r="AD223" s="27" t="s">
        <v>367</v>
      </c>
      <c r="AE223" s="27" t="s">
        <v>367</v>
      </c>
      <c r="AF223" s="27" t="s">
        <v>367</v>
      </c>
      <c r="AG223" s="54">
        <f t="shared" si="67"/>
        <v>-15.569858413804413</v>
      </c>
    </row>
    <row r="224" spans="1:33" ht="15" customHeight="1">
      <c r="A224" s="33" t="s">
        <v>220</v>
      </c>
      <c r="B224" s="52">
        <f>'Расчет субсидий'!AT224</f>
        <v>-29.927272727272737</v>
      </c>
      <c r="C224" s="54">
        <f>'Расчет субсидий'!D224-1</f>
        <v>5.4822073233625535E-2</v>
      </c>
      <c r="D224" s="54">
        <f>C224*'Расчет субсидий'!E224</f>
        <v>0.54822073233625535</v>
      </c>
      <c r="E224" s="55">
        <f t="shared" si="80"/>
        <v>0.3751175876657809</v>
      </c>
      <c r="F224" s="27" t="s">
        <v>367</v>
      </c>
      <c r="G224" s="27" t="s">
        <v>367</v>
      </c>
      <c r="H224" s="27" t="s">
        <v>367</v>
      </c>
      <c r="I224" s="27" t="s">
        <v>367</v>
      </c>
      <c r="J224" s="27" t="s">
        <v>367</v>
      </c>
      <c r="K224" s="27" t="s">
        <v>367</v>
      </c>
      <c r="L224" s="54">
        <f>'Расчет субсидий'!P224-1</f>
        <v>-0.56784869976359342</v>
      </c>
      <c r="M224" s="54">
        <f>L224*'Расчет субсидий'!Q224</f>
        <v>-11.356973995271868</v>
      </c>
      <c r="N224" s="55">
        <f t="shared" si="81"/>
        <v>-7.7709587343303221</v>
      </c>
      <c r="O224" s="54">
        <f>'Расчет субсидий'!T224-1</f>
        <v>-1</v>
      </c>
      <c r="P224" s="54">
        <f>O224*'Расчет субсидий'!U224</f>
        <v>-15</v>
      </c>
      <c r="Q224" s="55">
        <f t="shared" si="82"/>
        <v>-10.263683007769753</v>
      </c>
      <c r="R224" s="54">
        <f>'Расчет субсидий'!X224-1</f>
        <v>-0.52</v>
      </c>
      <c r="S224" s="54">
        <f>R224*'Расчет субсидий'!Y224</f>
        <v>-18.2</v>
      </c>
      <c r="T224" s="55">
        <f t="shared" si="83"/>
        <v>-12.453268716093968</v>
      </c>
      <c r="U224" s="60">
        <f>'Расчет субсидий'!AB224-1</f>
        <v>-0.13624999999999998</v>
      </c>
      <c r="V224" s="60">
        <f>U224*'Расчет субсидий'!AC224</f>
        <v>-0.68124999999999991</v>
      </c>
      <c r="W224" s="55">
        <f t="shared" si="65"/>
        <v>-0.4661422699362095</v>
      </c>
      <c r="X224" s="71">
        <f>'Расчет субсидий'!AF224-1</f>
        <v>4.7619047619047672E-2</v>
      </c>
      <c r="Y224" s="71">
        <f>X224*'Расчет субсидий'!AG224</f>
        <v>0.95238095238095344</v>
      </c>
      <c r="Z224" s="55">
        <f t="shared" si="66"/>
        <v>0.65166241319173102</v>
      </c>
      <c r="AA224" s="27" t="s">
        <v>367</v>
      </c>
      <c r="AB224" s="27" t="s">
        <v>367</v>
      </c>
      <c r="AC224" s="27" t="s">
        <v>367</v>
      </c>
      <c r="AD224" s="27" t="s">
        <v>367</v>
      </c>
      <c r="AE224" s="27" t="s">
        <v>367</v>
      </c>
      <c r="AF224" s="27" t="s">
        <v>367</v>
      </c>
      <c r="AG224" s="54">
        <f t="shared" si="67"/>
        <v>-43.737622310554656</v>
      </c>
    </row>
    <row r="225" spans="1:33" ht="15" customHeight="1">
      <c r="A225" s="33" t="s">
        <v>221</v>
      </c>
      <c r="B225" s="52">
        <f>'Расчет субсидий'!AT225</f>
        <v>0</v>
      </c>
      <c r="C225" s="54">
        <f>'Расчет субсидий'!D225-1</f>
        <v>0.20246008713692953</v>
      </c>
      <c r="D225" s="54">
        <f>C225*'Расчет субсидий'!E225</f>
        <v>2.0246008713692953</v>
      </c>
      <c r="E225" s="55">
        <f t="shared" si="80"/>
        <v>0</v>
      </c>
      <c r="F225" s="27" t="s">
        <v>367</v>
      </c>
      <c r="G225" s="27" t="s">
        <v>367</v>
      </c>
      <c r="H225" s="27" t="s">
        <v>367</v>
      </c>
      <c r="I225" s="27" t="s">
        <v>367</v>
      </c>
      <c r="J225" s="27" t="s">
        <v>367</v>
      </c>
      <c r="K225" s="27" t="s">
        <v>367</v>
      </c>
      <c r="L225" s="54">
        <f>'Расчет субсидий'!P225-1</f>
        <v>-0.1518566733074892</v>
      </c>
      <c r="M225" s="54">
        <f>L225*'Расчет субсидий'!Q225</f>
        <v>-3.037133466149784</v>
      </c>
      <c r="N225" s="55">
        <f t="shared" si="81"/>
        <v>0</v>
      </c>
      <c r="O225" s="54">
        <f>'Расчет субсидий'!T225-1</f>
        <v>0</v>
      </c>
      <c r="P225" s="54">
        <f>O225*'Расчет субсидий'!U225</f>
        <v>0</v>
      </c>
      <c r="Q225" s="55">
        <f t="shared" si="82"/>
        <v>0</v>
      </c>
      <c r="R225" s="54">
        <f>'Расчет субсидий'!X225-1</f>
        <v>0</v>
      </c>
      <c r="S225" s="54">
        <f>R225*'Расчет субсидий'!Y225</f>
        <v>0</v>
      </c>
      <c r="T225" s="55">
        <f t="shared" si="83"/>
        <v>0</v>
      </c>
      <c r="U225" s="60">
        <f>'Расчет субсидий'!AB225-1</f>
        <v>-7.4859618857067156E-3</v>
      </c>
      <c r="V225" s="60">
        <f>U225*'Расчет субсидий'!AC225</f>
        <v>-3.7429809428533578E-2</v>
      </c>
      <c r="W225" s="55">
        <f t="shared" si="65"/>
        <v>0</v>
      </c>
      <c r="X225" s="71">
        <f>'Расчет субсидий'!AF225-1</f>
        <v>0</v>
      </c>
      <c r="Y225" s="71">
        <f>X225*'Расчет субсидий'!AG225</f>
        <v>0</v>
      </c>
      <c r="Z225" s="55">
        <f t="shared" si="66"/>
        <v>0</v>
      </c>
      <c r="AA225" s="27" t="s">
        <v>367</v>
      </c>
      <c r="AB225" s="27" t="s">
        <v>367</v>
      </c>
      <c r="AC225" s="27" t="s">
        <v>367</v>
      </c>
      <c r="AD225" s="27" t="s">
        <v>367</v>
      </c>
      <c r="AE225" s="27" t="s">
        <v>367</v>
      </c>
      <c r="AF225" s="27" t="s">
        <v>367</v>
      </c>
      <c r="AG225" s="54">
        <f t="shared" si="67"/>
        <v>-1.0499624042090221</v>
      </c>
    </row>
    <row r="226" spans="1:33" ht="15" customHeight="1">
      <c r="A226" s="33" t="s">
        <v>222</v>
      </c>
      <c r="B226" s="52">
        <f>'Расчет субсидий'!AT226</f>
        <v>-46.572727272727263</v>
      </c>
      <c r="C226" s="54">
        <f>'Расчет субсидий'!D226-1</f>
        <v>-1</v>
      </c>
      <c r="D226" s="54">
        <f>C226*'Расчет субсидий'!E226</f>
        <v>0</v>
      </c>
      <c r="E226" s="55">
        <f t="shared" si="80"/>
        <v>0</v>
      </c>
      <c r="F226" s="27" t="s">
        <v>367</v>
      </c>
      <c r="G226" s="27" t="s">
        <v>367</v>
      </c>
      <c r="H226" s="27" t="s">
        <v>367</v>
      </c>
      <c r="I226" s="27" t="s">
        <v>367</v>
      </c>
      <c r="J226" s="27" t="s">
        <v>367</v>
      </c>
      <c r="K226" s="27" t="s">
        <v>367</v>
      </c>
      <c r="L226" s="54">
        <f>'Расчет субсидий'!P226-1</f>
        <v>-0.19237079573420834</v>
      </c>
      <c r="M226" s="54">
        <f>L226*'Расчет субсидий'!Q226</f>
        <v>-3.8474159146841669</v>
      </c>
      <c r="N226" s="55">
        <f t="shared" si="81"/>
        <v>-13.241008741594655</v>
      </c>
      <c r="O226" s="54">
        <f>'Расчет субсидий'!T226-1</f>
        <v>-3.5905044510385786E-2</v>
      </c>
      <c r="P226" s="54">
        <f>O226*'Расчет субсидий'!U226</f>
        <v>-1.0771513353115736</v>
      </c>
      <c r="Q226" s="55">
        <f t="shared" si="82"/>
        <v>-3.7070518402873818</v>
      </c>
      <c r="R226" s="54">
        <f>'Расчет субсидий'!X226-1</f>
        <v>-0.38124999999999998</v>
      </c>
      <c r="S226" s="54">
        <f>R226*'Расчет субсидий'!Y226</f>
        <v>-7.625</v>
      </c>
      <c r="T226" s="55">
        <f t="shared" si="83"/>
        <v>-26.241688939665167</v>
      </c>
      <c r="U226" s="60">
        <f>'Расчет субсидий'!AB226-1</f>
        <v>-0.12468703054581876</v>
      </c>
      <c r="V226" s="60">
        <f>U226*'Расчет субсидий'!AC226</f>
        <v>-0.62343515272909378</v>
      </c>
      <c r="W226" s="55">
        <f t="shared" si="65"/>
        <v>-2.1455726363238719</v>
      </c>
      <c r="X226" s="71">
        <f>'Расчет субсидий'!AF226-1</f>
        <v>-1.7977528089887618E-2</v>
      </c>
      <c r="Y226" s="71">
        <f>X226*'Расчет субсидий'!AG226</f>
        <v>-0.35955056179775235</v>
      </c>
      <c r="Z226" s="55">
        <f t="shared" si="66"/>
        <v>-1.2374051148561935</v>
      </c>
      <c r="AA226" s="27" t="s">
        <v>367</v>
      </c>
      <c r="AB226" s="27" t="s">
        <v>367</v>
      </c>
      <c r="AC226" s="27" t="s">
        <v>367</v>
      </c>
      <c r="AD226" s="27" t="s">
        <v>367</v>
      </c>
      <c r="AE226" s="27" t="s">
        <v>367</v>
      </c>
      <c r="AF226" s="27" t="s">
        <v>367</v>
      </c>
      <c r="AG226" s="54">
        <f t="shared" si="67"/>
        <v>-13.532552964522585</v>
      </c>
    </row>
    <row r="227" spans="1:33" ht="15" customHeight="1">
      <c r="A227" s="33" t="s">
        <v>223</v>
      </c>
      <c r="B227" s="52">
        <f>'Расчет субсидий'!AT227</f>
        <v>2.9363636363636374</v>
      </c>
      <c r="C227" s="54">
        <f>'Расчет субсидий'!D227-1</f>
        <v>-1</v>
      </c>
      <c r="D227" s="54">
        <f>C227*'Расчет субсидий'!E227</f>
        <v>0</v>
      </c>
      <c r="E227" s="55">
        <f t="shared" si="80"/>
        <v>0</v>
      </c>
      <c r="F227" s="27" t="s">
        <v>367</v>
      </c>
      <c r="G227" s="27" t="s">
        <v>367</v>
      </c>
      <c r="H227" s="27" t="s">
        <v>367</v>
      </c>
      <c r="I227" s="27" t="s">
        <v>367</v>
      </c>
      <c r="J227" s="27" t="s">
        <v>367</v>
      </c>
      <c r="K227" s="27" t="s">
        <v>367</v>
      </c>
      <c r="L227" s="54">
        <f>'Расчет субсидий'!P227-1</f>
        <v>0.20213125158669709</v>
      </c>
      <c r="M227" s="54">
        <f>L227*'Расчет субсидий'!Q227</f>
        <v>4.0426250317339418</v>
      </c>
      <c r="N227" s="55">
        <f t="shared" si="81"/>
        <v>16.697275566823155</v>
      </c>
      <c r="O227" s="54">
        <f>'Расчет субсидий'!T227-1</f>
        <v>-0.1333333333333333</v>
      </c>
      <c r="P227" s="54">
        <f>O227*'Расчет субсидий'!U227</f>
        <v>-3.3333333333333326</v>
      </c>
      <c r="Q227" s="55">
        <f t="shared" si="82"/>
        <v>-13.767684310526189</v>
      </c>
      <c r="R227" s="54">
        <f>'Расчет субсидий'!X227-1</f>
        <v>0.10000000000000009</v>
      </c>
      <c r="S227" s="54">
        <f>R227*'Расчет субсидий'!Y227</f>
        <v>2.5000000000000022</v>
      </c>
      <c r="T227" s="55">
        <f t="shared" si="83"/>
        <v>10.325763232894653</v>
      </c>
      <c r="U227" s="60">
        <f>'Расчет субсидий'!AB227-1</f>
        <v>0.14318507890961252</v>
      </c>
      <c r="V227" s="60">
        <f>U227*'Расчет субсидий'!AC227</f>
        <v>0.71592539454806259</v>
      </c>
      <c r="W227" s="55">
        <f t="shared" si="65"/>
        <v>2.9569904466079904</v>
      </c>
      <c r="X227" s="71">
        <f>'Расчет субсидий'!AF227-1</f>
        <v>-0.1607142857142857</v>
      </c>
      <c r="Y227" s="71">
        <f>X227*'Расчет субсидий'!AG227</f>
        <v>-3.214285714285714</v>
      </c>
      <c r="Z227" s="55">
        <f t="shared" si="66"/>
        <v>-13.275981299435971</v>
      </c>
      <c r="AA227" s="27" t="s">
        <v>367</v>
      </c>
      <c r="AB227" s="27" t="s">
        <v>367</v>
      </c>
      <c r="AC227" s="27" t="s">
        <v>367</v>
      </c>
      <c r="AD227" s="27" t="s">
        <v>367</v>
      </c>
      <c r="AE227" s="27" t="s">
        <v>367</v>
      </c>
      <c r="AF227" s="27" t="s">
        <v>367</v>
      </c>
      <c r="AG227" s="54">
        <f t="shared" si="67"/>
        <v>0.71093137866296008</v>
      </c>
    </row>
    <row r="228" spans="1:33" ht="15" customHeight="1">
      <c r="A228" s="33" t="s">
        <v>224</v>
      </c>
      <c r="B228" s="52">
        <f>'Расчет субсидий'!AT228</f>
        <v>-90.945454545454538</v>
      </c>
      <c r="C228" s="54">
        <f>'Расчет субсидий'!D228-1</f>
        <v>0.13809225806451608</v>
      </c>
      <c r="D228" s="54">
        <f>C228*'Расчет субсидий'!E228</f>
        <v>1.3809225806451608</v>
      </c>
      <c r="E228" s="55">
        <f t="shared" si="80"/>
        <v>6.2409915143476065</v>
      </c>
      <c r="F228" s="27" t="s">
        <v>367</v>
      </c>
      <c r="G228" s="27" t="s">
        <v>367</v>
      </c>
      <c r="H228" s="27" t="s">
        <v>367</v>
      </c>
      <c r="I228" s="27" t="s">
        <v>367</v>
      </c>
      <c r="J228" s="27" t="s">
        <v>367</v>
      </c>
      <c r="K228" s="27" t="s">
        <v>367</v>
      </c>
      <c r="L228" s="54">
        <f>'Расчет субсидий'!P228-1</f>
        <v>-0.32239995963062018</v>
      </c>
      <c r="M228" s="54">
        <f>L228*'Расчет субсидий'!Q228</f>
        <v>-6.4479991926124036</v>
      </c>
      <c r="N228" s="55">
        <f t="shared" si="81"/>
        <v>-29.141321033952092</v>
      </c>
      <c r="O228" s="54">
        <f>'Расчет субсидий'!T228-1</f>
        <v>-0.77857142857142858</v>
      </c>
      <c r="P228" s="54">
        <f>O228*'Расчет субсидий'!U228</f>
        <v>-15.571428571428571</v>
      </c>
      <c r="Q228" s="55">
        <f t="shared" si="82"/>
        <v>-70.374078129096134</v>
      </c>
      <c r="R228" s="54">
        <f>'Расчет субсидий'!X228-1</f>
        <v>-6.8965517241379448E-3</v>
      </c>
      <c r="S228" s="54">
        <f>R228*'Расчет субсидий'!Y228</f>
        <v>-0.20689655172413834</v>
      </c>
      <c r="T228" s="55">
        <f t="shared" si="83"/>
        <v>-0.93505576761216169</v>
      </c>
      <c r="U228" s="60">
        <f>'Расчет субсидий'!AB228-1</f>
        <v>3.6750880311784195E-2</v>
      </c>
      <c r="V228" s="60">
        <f>U228*'Расчет субсидий'!AC228</f>
        <v>0.18375440155892098</v>
      </c>
      <c r="W228" s="55">
        <f t="shared" si="65"/>
        <v>0.83046629617531798</v>
      </c>
      <c r="X228" s="71">
        <f>'Расчет субсидий'!AF228-1</f>
        <v>2.6923076923076827E-2</v>
      </c>
      <c r="Y228" s="71">
        <f>X228*'Расчет субсидий'!AG228</f>
        <v>0.53846153846153655</v>
      </c>
      <c r="Z228" s="55">
        <f t="shared" si="66"/>
        <v>2.43354257468292</v>
      </c>
      <c r="AA228" s="27" t="s">
        <v>367</v>
      </c>
      <c r="AB228" s="27" t="s">
        <v>367</v>
      </c>
      <c r="AC228" s="27" t="s">
        <v>367</v>
      </c>
      <c r="AD228" s="27" t="s">
        <v>367</v>
      </c>
      <c r="AE228" s="27" t="s">
        <v>367</v>
      </c>
      <c r="AF228" s="27" t="s">
        <v>367</v>
      </c>
      <c r="AG228" s="54">
        <f t="shared" si="67"/>
        <v>-20.123185795099495</v>
      </c>
    </row>
    <row r="229" spans="1:33" ht="15" customHeight="1">
      <c r="A229" s="32" t="s">
        <v>225</v>
      </c>
      <c r="B229" s="56"/>
      <c r="C229" s="57"/>
      <c r="D229" s="57"/>
      <c r="E229" s="58"/>
      <c r="F229" s="57"/>
      <c r="G229" s="57"/>
      <c r="H229" s="58"/>
      <c r="I229" s="58"/>
      <c r="J229" s="58"/>
      <c r="K229" s="58"/>
      <c r="L229" s="57"/>
      <c r="M229" s="57"/>
      <c r="N229" s="58"/>
      <c r="O229" s="57"/>
      <c r="P229" s="57"/>
      <c r="Q229" s="58"/>
      <c r="R229" s="57"/>
      <c r="S229" s="57"/>
      <c r="T229" s="58"/>
      <c r="U229" s="58"/>
      <c r="V229" s="58"/>
      <c r="W229" s="58"/>
      <c r="X229" s="73"/>
      <c r="Y229" s="73"/>
      <c r="Z229" s="58"/>
      <c r="AA229" s="58"/>
      <c r="AB229" s="58"/>
      <c r="AC229" s="58"/>
      <c r="AD229" s="58"/>
      <c r="AE229" s="58"/>
      <c r="AF229" s="58"/>
      <c r="AG229" s="58"/>
    </row>
    <row r="230" spans="1:33" ht="15" customHeight="1">
      <c r="A230" s="33" t="s">
        <v>226</v>
      </c>
      <c r="B230" s="52">
        <f>'Расчет субсидий'!AT230</f>
        <v>7.9272727272727934</v>
      </c>
      <c r="C230" s="54">
        <f>'Расчет субсидий'!D230-1</f>
        <v>-1</v>
      </c>
      <c r="D230" s="54">
        <f>C230*'Расчет субсидий'!E230</f>
        <v>0</v>
      </c>
      <c r="E230" s="55">
        <f t="shared" ref="E230:E237" si="84">$B230*D230/$AG230</f>
        <v>0</v>
      </c>
      <c r="F230" s="27" t="s">
        <v>367</v>
      </c>
      <c r="G230" s="27" t="s">
        <v>367</v>
      </c>
      <c r="H230" s="27" t="s">
        <v>367</v>
      </c>
      <c r="I230" s="27" t="s">
        <v>367</v>
      </c>
      <c r="J230" s="27" t="s">
        <v>367</v>
      </c>
      <c r="K230" s="27" t="s">
        <v>367</v>
      </c>
      <c r="L230" s="54">
        <f>'Расчет субсидий'!P230-1</f>
        <v>-0.59117503656752812</v>
      </c>
      <c r="M230" s="54">
        <f>L230*'Расчет субсидий'!Q230</f>
        <v>-11.823500731350563</v>
      </c>
      <c r="N230" s="55">
        <f t="shared" ref="N230:N237" si="85">$B230*M230/$AG230</f>
        <v>-64.433120450493035</v>
      </c>
      <c r="O230" s="54">
        <f>'Расчет субсидий'!T230-1</f>
        <v>0.29545454545454541</v>
      </c>
      <c r="P230" s="54">
        <f>O230*'Расчет субсидий'!U230</f>
        <v>5.9090909090909083</v>
      </c>
      <c r="Q230" s="55">
        <f t="shared" ref="Q230:Q237" si="86">$B230*P230/$AG230</f>
        <v>32.202067302183593</v>
      </c>
      <c r="R230" s="54">
        <f>'Расчет субсидий'!X230-1</f>
        <v>0.30000000000000004</v>
      </c>
      <c r="S230" s="54">
        <f>R230*'Расчет субсидий'!Y230</f>
        <v>9.0000000000000018</v>
      </c>
      <c r="T230" s="55">
        <f t="shared" ref="T230:T237" si="87">$B230*S230/$AG230</f>
        <v>49.0462255833258</v>
      </c>
      <c r="U230" s="60">
        <f>'Расчет субсидий'!AB230-1</f>
        <v>-5.0186741363211773E-3</v>
      </c>
      <c r="V230" s="60">
        <f>U230*'Расчет субсидий'!AC230</f>
        <v>-2.5093370681605887E-2</v>
      </c>
      <c r="W230" s="55">
        <f t="shared" si="65"/>
        <v>-0.13674834656622845</v>
      </c>
      <c r="X230" s="71">
        <f>'Расчет субсидий'!AF230-1</f>
        <v>-8.0291970802919721E-2</v>
      </c>
      <c r="Y230" s="71">
        <f>X230*'Расчет субсидий'!AG230</f>
        <v>-1.6058394160583944</v>
      </c>
      <c r="Z230" s="55">
        <f t="shared" si="66"/>
        <v>-8.751151361177353</v>
      </c>
      <c r="AA230" s="27" t="s">
        <v>367</v>
      </c>
      <c r="AB230" s="27" t="s">
        <v>367</v>
      </c>
      <c r="AC230" s="27" t="s">
        <v>367</v>
      </c>
      <c r="AD230" s="27" t="s">
        <v>367</v>
      </c>
      <c r="AE230" s="27" t="s">
        <v>367</v>
      </c>
      <c r="AF230" s="27" t="s">
        <v>367</v>
      </c>
      <c r="AG230" s="54">
        <f t="shared" si="67"/>
        <v>1.4546573910003464</v>
      </c>
    </row>
    <row r="231" spans="1:33" ht="15" customHeight="1">
      <c r="A231" s="33" t="s">
        <v>227</v>
      </c>
      <c r="B231" s="52">
        <f>'Расчет субсидий'!AT231</f>
        <v>-32.936363636363637</v>
      </c>
      <c r="C231" s="54">
        <f>'Расчет субсидий'!D231-1</f>
        <v>-1</v>
      </c>
      <c r="D231" s="54">
        <f>C231*'Расчет субсидий'!E231</f>
        <v>0</v>
      </c>
      <c r="E231" s="55">
        <f t="shared" si="84"/>
        <v>0</v>
      </c>
      <c r="F231" s="27" t="s">
        <v>367</v>
      </c>
      <c r="G231" s="27" t="s">
        <v>367</v>
      </c>
      <c r="H231" s="27" t="s">
        <v>367</v>
      </c>
      <c r="I231" s="27" t="s">
        <v>367</v>
      </c>
      <c r="J231" s="27" t="s">
        <v>367</v>
      </c>
      <c r="K231" s="27" t="s">
        <v>367</v>
      </c>
      <c r="L231" s="54">
        <f>'Расчет субсидий'!P231-1</f>
        <v>-0.77995925171328029</v>
      </c>
      <c r="M231" s="54">
        <f>L231*'Расчет субсидий'!Q231</f>
        <v>-15.599185034265606</v>
      </c>
      <c r="N231" s="55">
        <f t="shared" si="85"/>
        <v>-54.485555526497528</v>
      </c>
      <c r="O231" s="54">
        <f>'Расчет субсидий'!T231-1</f>
        <v>-6.3793103448275934E-2</v>
      </c>
      <c r="P231" s="54">
        <f>O231*'Расчет субсидий'!U231</f>
        <v>-1.5948275862068984</v>
      </c>
      <c r="Q231" s="55">
        <f t="shared" si="86"/>
        <v>-5.5704876128201475</v>
      </c>
      <c r="R231" s="54">
        <f>'Расчет субсидий'!X231-1</f>
        <v>0.26200000000000001</v>
      </c>
      <c r="S231" s="54">
        <f>R231*'Расчет субсидий'!Y231</f>
        <v>6.5500000000000007</v>
      </c>
      <c r="T231" s="55">
        <f t="shared" si="87"/>
        <v>22.878143179571591</v>
      </c>
      <c r="U231" s="60">
        <f>'Расчет субсидий'!AB231-1</f>
        <v>-0.5637154554759467</v>
      </c>
      <c r="V231" s="60">
        <f>U231*'Расчет субсидий'!AC231</f>
        <v>-2.8185772773797337</v>
      </c>
      <c r="W231" s="55">
        <f t="shared" si="65"/>
        <v>-9.8448571777985663</v>
      </c>
      <c r="X231" s="71">
        <f>'Расчет субсидий'!AF231-1</f>
        <v>0.20164634146341465</v>
      </c>
      <c r="Y231" s="71">
        <f>X231*'Расчет субсидий'!AG231</f>
        <v>4.0329268292682929</v>
      </c>
      <c r="Z231" s="55">
        <f t="shared" si="66"/>
        <v>14.086393501181016</v>
      </c>
      <c r="AA231" s="27" t="s">
        <v>367</v>
      </c>
      <c r="AB231" s="27" t="s">
        <v>367</v>
      </c>
      <c r="AC231" s="27" t="s">
        <v>367</v>
      </c>
      <c r="AD231" s="27" t="s">
        <v>367</v>
      </c>
      <c r="AE231" s="27" t="s">
        <v>367</v>
      </c>
      <c r="AF231" s="27" t="s">
        <v>367</v>
      </c>
      <c r="AG231" s="54">
        <f t="shared" si="67"/>
        <v>-9.4296630685839435</v>
      </c>
    </row>
    <row r="232" spans="1:33" ht="15" customHeight="1">
      <c r="A232" s="33" t="s">
        <v>228</v>
      </c>
      <c r="B232" s="52">
        <f>'Расчет субсидий'!AT232</f>
        <v>82.309090909090855</v>
      </c>
      <c r="C232" s="54">
        <f>'Расчет субсидий'!D232-1</f>
        <v>-1</v>
      </c>
      <c r="D232" s="54">
        <f>C232*'Расчет субсидий'!E232</f>
        <v>0</v>
      </c>
      <c r="E232" s="55">
        <f t="shared" si="84"/>
        <v>0</v>
      </c>
      <c r="F232" s="27" t="s">
        <v>367</v>
      </c>
      <c r="G232" s="27" t="s">
        <v>367</v>
      </c>
      <c r="H232" s="27" t="s">
        <v>367</v>
      </c>
      <c r="I232" s="27" t="s">
        <v>367</v>
      </c>
      <c r="J232" s="27" t="s">
        <v>367</v>
      </c>
      <c r="K232" s="27" t="s">
        <v>367</v>
      </c>
      <c r="L232" s="54">
        <f>'Расчет субсидий'!P232-1</f>
        <v>-5.2276774357669864E-2</v>
      </c>
      <c r="M232" s="54">
        <f>L232*'Расчет субсидий'!Q232</f>
        <v>-1.0455354871533973</v>
      </c>
      <c r="N232" s="55">
        <f t="shared" si="85"/>
        <v>-9.3520490117562591</v>
      </c>
      <c r="O232" s="54">
        <f>'Расчет субсидий'!T232-1</f>
        <v>0.20666666666666655</v>
      </c>
      <c r="P232" s="54">
        <f>O232*'Расчет субсидий'!U232</f>
        <v>3.0999999999999983</v>
      </c>
      <c r="Q232" s="55">
        <f t="shared" si="86"/>
        <v>27.728711547971468</v>
      </c>
      <c r="R232" s="54">
        <f>'Расчет субсидий'!X232-1</f>
        <v>0.19199999999999995</v>
      </c>
      <c r="S232" s="54">
        <f>R232*'Расчет субсидий'!Y232</f>
        <v>6.719999999999998</v>
      </c>
      <c r="T232" s="55">
        <f t="shared" si="87"/>
        <v>60.108690839473653</v>
      </c>
      <c r="U232" s="60">
        <f>'Расчет субсидий'!AB232-1</f>
        <v>-0.15358361774744023</v>
      </c>
      <c r="V232" s="60">
        <f>U232*'Расчет субсидий'!AC232</f>
        <v>-0.76791808873720113</v>
      </c>
      <c r="W232" s="55">
        <f t="shared" si="65"/>
        <v>-6.8688319919559415</v>
      </c>
      <c r="X232" s="71">
        <f>'Расчет субсидий'!AF232-1</f>
        <v>5.9770114942528707E-2</v>
      </c>
      <c r="Y232" s="71">
        <f>X232*'Расчет субсидий'!AG232</f>
        <v>1.1954022988505741</v>
      </c>
      <c r="Z232" s="55">
        <f t="shared" si="66"/>
        <v>10.692569525357927</v>
      </c>
      <c r="AA232" s="27" t="s">
        <v>367</v>
      </c>
      <c r="AB232" s="27" t="s">
        <v>367</v>
      </c>
      <c r="AC232" s="27" t="s">
        <v>367</v>
      </c>
      <c r="AD232" s="27" t="s">
        <v>367</v>
      </c>
      <c r="AE232" s="27" t="s">
        <v>367</v>
      </c>
      <c r="AF232" s="27" t="s">
        <v>367</v>
      </c>
      <c r="AG232" s="54">
        <f t="shared" si="67"/>
        <v>9.2019487229599726</v>
      </c>
    </row>
    <row r="233" spans="1:33" ht="15" customHeight="1">
      <c r="A233" s="33" t="s">
        <v>229</v>
      </c>
      <c r="B233" s="52">
        <f>'Расчет субсидий'!AT233</f>
        <v>-132</v>
      </c>
      <c r="C233" s="54">
        <f>'Расчет субсидий'!D233-1</f>
        <v>-0.90288203753351204</v>
      </c>
      <c r="D233" s="54">
        <f>C233*'Расчет субсидий'!E233</f>
        <v>-9.0288203753351208</v>
      </c>
      <c r="E233" s="55">
        <f t="shared" si="84"/>
        <v>-51.595195465573362</v>
      </c>
      <c r="F233" s="27" t="s">
        <v>367</v>
      </c>
      <c r="G233" s="27" t="s">
        <v>367</v>
      </c>
      <c r="H233" s="27" t="s">
        <v>367</v>
      </c>
      <c r="I233" s="27" t="s">
        <v>367</v>
      </c>
      <c r="J233" s="27" t="s">
        <v>367</v>
      </c>
      <c r="K233" s="27" t="s">
        <v>367</v>
      </c>
      <c r="L233" s="54">
        <f>'Расчет субсидий'!P233-1</f>
        <v>-0.55285620485883125</v>
      </c>
      <c r="M233" s="54">
        <f>L233*'Расчет субсидий'!Q233</f>
        <v>-11.057124097176626</v>
      </c>
      <c r="N233" s="55">
        <f t="shared" si="85"/>
        <v>-63.185937405444776</v>
      </c>
      <c r="O233" s="54">
        <f>'Расчет субсидий'!T233-1</f>
        <v>-0.35555555555555562</v>
      </c>
      <c r="P233" s="54">
        <f>O233*'Расчет субсидий'!U233</f>
        <v>-5.3333333333333339</v>
      </c>
      <c r="Q233" s="55">
        <f t="shared" si="86"/>
        <v>-30.477334178461572</v>
      </c>
      <c r="R233" s="54">
        <f>'Расчет субсидий'!X233-1</f>
        <v>0.15384615384615374</v>
      </c>
      <c r="S233" s="54">
        <f>R233*'Расчет субсидий'!Y233</f>
        <v>5.3846153846153815</v>
      </c>
      <c r="T233" s="55">
        <f t="shared" si="87"/>
        <v>30.770385468639066</v>
      </c>
      <c r="U233" s="60">
        <f>'Расчет субсидий'!AB233-1</f>
        <v>-0.23194176319176318</v>
      </c>
      <c r="V233" s="60">
        <f>U233*'Расчет субсидий'!AC233</f>
        <v>-1.1597088159588158</v>
      </c>
      <c r="W233" s="55">
        <f t="shared" si="65"/>
        <v>-6.627156212565902</v>
      </c>
      <c r="X233" s="71">
        <f>'Расчет субсидий'!AF233-1</f>
        <v>-9.5238095238095233E-2</v>
      </c>
      <c r="Y233" s="71">
        <f>X233*'Расчет субсидий'!AG233</f>
        <v>-1.9047619047619047</v>
      </c>
      <c r="Z233" s="55">
        <f t="shared" si="66"/>
        <v>-10.884762206593416</v>
      </c>
      <c r="AA233" s="27" t="s">
        <v>367</v>
      </c>
      <c r="AB233" s="27" t="s">
        <v>367</v>
      </c>
      <c r="AC233" s="27" t="s">
        <v>367</v>
      </c>
      <c r="AD233" s="27" t="s">
        <v>367</v>
      </c>
      <c r="AE233" s="27" t="s">
        <v>367</v>
      </c>
      <c r="AF233" s="27" t="s">
        <v>367</v>
      </c>
      <c r="AG233" s="54">
        <f t="shared" si="67"/>
        <v>-23.099133141950425</v>
      </c>
    </row>
    <row r="234" spans="1:33" ht="15" customHeight="1">
      <c r="A234" s="33" t="s">
        <v>230</v>
      </c>
      <c r="B234" s="52">
        <f>'Расчет субсидий'!AT234</f>
        <v>-15.672727272727286</v>
      </c>
      <c r="C234" s="54">
        <f>'Расчет субсидий'!D234-1</f>
        <v>-1</v>
      </c>
      <c r="D234" s="54">
        <f>C234*'Расчет субсидий'!E234</f>
        <v>0</v>
      </c>
      <c r="E234" s="55">
        <f t="shared" si="84"/>
        <v>0</v>
      </c>
      <c r="F234" s="27" t="s">
        <v>367</v>
      </c>
      <c r="G234" s="27" t="s">
        <v>367</v>
      </c>
      <c r="H234" s="27" t="s">
        <v>367</v>
      </c>
      <c r="I234" s="27" t="s">
        <v>367</v>
      </c>
      <c r="J234" s="27" t="s">
        <v>367</v>
      </c>
      <c r="K234" s="27" t="s">
        <v>367</v>
      </c>
      <c r="L234" s="54">
        <f>'Расчет субсидий'!P234-1</f>
        <v>-0.24416594641313738</v>
      </c>
      <c r="M234" s="54">
        <f>L234*'Расчет субсидий'!Q234</f>
        <v>-4.8833189282627476</v>
      </c>
      <c r="N234" s="55">
        <f t="shared" si="85"/>
        <v>-12.234853488884404</v>
      </c>
      <c r="O234" s="54">
        <f>'Расчет субсидий'!T234-1</f>
        <v>0.28200000000000003</v>
      </c>
      <c r="P234" s="54">
        <f>O234*'Расчет субсидий'!U234</f>
        <v>5.6400000000000006</v>
      </c>
      <c r="Q234" s="55">
        <f t="shared" si="86"/>
        <v>14.130671105246977</v>
      </c>
      <c r="R234" s="54">
        <f>'Расчет субсидий'!X234-1</f>
        <v>-0.3666666666666667</v>
      </c>
      <c r="S234" s="54">
        <f>R234*'Расчет субсидий'!Y234</f>
        <v>-11</v>
      </c>
      <c r="T234" s="55">
        <f t="shared" si="87"/>
        <v>-27.559819531510058</v>
      </c>
      <c r="U234" s="60">
        <f>'Расчет субсидий'!AB234-1</f>
        <v>-3.0844155844155896E-2</v>
      </c>
      <c r="V234" s="60">
        <f>U234*'Расчет субсидий'!AC234</f>
        <v>-0.15422077922077948</v>
      </c>
      <c r="W234" s="55">
        <f t="shared" si="65"/>
        <v>-0.38639062212123082</v>
      </c>
      <c r="X234" s="71">
        <f>'Расчет субсидий'!AF234-1</f>
        <v>0.2071028037383178</v>
      </c>
      <c r="Y234" s="71">
        <f>X234*'Расчет субсидий'!AG234</f>
        <v>4.142056074766356</v>
      </c>
      <c r="Z234" s="55">
        <f t="shared" si="66"/>
        <v>10.377665264541427</v>
      </c>
      <c r="AA234" s="27" t="s">
        <v>367</v>
      </c>
      <c r="AB234" s="27" t="s">
        <v>367</v>
      </c>
      <c r="AC234" s="27" t="s">
        <v>367</v>
      </c>
      <c r="AD234" s="27" t="s">
        <v>367</v>
      </c>
      <c r="AE234" s="27" t="s">
        <v>367</v>
      </c>
      <c r="AF234" s="27" t="s">
        <v>367</v>
      </c>
      <c r="AG234" s="54">
        <f t="shared" si="67"/>
        <v>-6.2554836327171701</v>
      </c>
    </row>
    <row r="235" spans="1:33" ht="15" customHeight="1">
      <c r="A235" s="33" t="s">
        <v>231</v>
      </c>
      <c r="B235" s="52">
        <f>'Расчет субсидий'!AT235</f>
        <v>-65.481818181818142</v>
      </c>
      <c r="C235" s="54">
        <f>'Расчет субсидий'!D235-1</f>
        <v>-1</v>
      </c>
      <c r="D235" s="54">
        <f>C235*'Расчет субсидий'!E235</f>
        <v>0</v>
      </c>
      <c r="E235" s="55">
        <f t="shared" si="84"/>
        <v>0</v>
      </c>
      <c r="F235" s="27" t="s">
        <v>367</v>
      </c>
      <c r="G235" s="27" t="s">
        <v>367</v>
      </c>
      <c r="H235" s="27" t="s">
        <v>367</v>
      </c>
      <c r="I235" s="27" t="s">
        <v>367</v>
      </c>
      <c r="J235" s="27" t="s">
        <v>367</v>
      </c>
      <c r="K235" s="27" t="s">
        <v>367</v>
      </c>
      <c r="L235" s="54">
        <f>'Расчет субсидий'!P235-1</f>
        <v>-0.67088129835818078</v>
      </c>
      <c r="M235" s="54">
        <f>L235*'Расчет субсидий'!Q235</f>
        <v>-13.417625967163616</v>
      </c>
      <c r="N235" s="55">
        <f t="shared" si="85"/>
        <v>-80.80938493570774</v>
      </c>
      <c r="O235" s="54">
        <f>'Расчет субсидий'!T235-1</f>
        <v>8.0000000000000071E-3</v>
      </c>
      <c r="P235" s="54">
        <f>O235*'Расчет субсидий'!U235</f>
        <v>0.16000000000000014</v>
      </c>
      <c r="Q235" s="55">
        <f t="shared" si="86"/>
        <v>0.96362065997033064</v>
      </c>
      <c r="R235" s="54">
        <f>'Расчет субсидий'!X235-1</f>
        <v>0.30000000000000004</v>
      </c>
      <c r="S235" s="54">
        <f>R235*'Расчет субсидий'!Y235</f>
        <v>9.0000000000000018</v>
      </c>
      <c r="T235" s="55">
        <f t="shared" si="87"/>
        <v>54.203662123331071</v>
      </c>
      <c r="U235" s="60">
        <f>'Расчет субсидий'!AB235-1</f>
        <v>-9.1116751269035512E-2</v>
      </c>
      <c r="V235" s="60">
        <f>U235*'Расчет субсидий'!AC235</f>
        <v>-0.45558375634517756</v>
      </c>
      <c r="W235" s="55">
        <f t="shared" si="65"/>
        <v>-2.7438119997568871</v>
      </c>
      <c r="X235" s="71">
        <f>'Расчет субсидий'!AF235-1</f>
        <v>-0.30797101449275366</v>
      </c>
      <c r="Y235" s="71">
        <f>X235*'Расчет субсидий'!AG235</f>
        <v>-6.1594202898550732</v>
      </c>
      <c r="Z235" s="55">
        <f t="shared" si="66"/>
        <v>-37.095904029654918</v>
      </c>
      <c r="AA235" s="27" t="s">
        <v>367</v>
      </c>
      <c r="AB235" s="27" t="s">
        <v>367</v>
      </c>
      <c r="AC235" s="27" t="s">
        <v>367</v>
      </c>
      <c r="AD235" s="27" t="s">
        <v>367</v>
      </c>
      <c r="AE235" s="27" t="s">
        <v>367</v>
      </c>
      <c r="AF235" s="27" t="s">
        <v>367</v>
      </c>
      <c r="AG235" s="54">
        <f t="shared" si="67"/>
        <v>-10.872630013363864</v>
      </c>
    </row>
    <row r="236" spans="1:33" ht="15" customHeight="1">
      <c r="A236" s="33" t="s">
        <v>232</v>
      </c>
      <c r="B236" s="52">
        <f>'Расчет субсидий'!AT236</f>
        <v>146.81818181818176</v>
      </c>
      <c r="C236" s="54">
        <f>'Расчет субсидий'!D236-1</f>
        <v>0.21440684875662441</v>
      </c>
      <c r="D236" s="54">
        <f>C236*'Расчет субсидий'!E236</f>
        <v>2.1440684875662441</v>
      </c>
      <c r="E236" s="55">
        <f t="shared" si="84"/>
        <v>27.308582851162281</v>
      </c>
      <c r="F236" s="27" t="s">
        <v>367</v>
      </c>
      <c r="G236" s="27" t="s">
        <v>367</v>
      </c>
      <c r="H236" s="27" t="s">
        <v>367</v>
      </c>
      <c r="I236" s="27" t="s">
        <v>367</v>
      </c>
      <c r="J236" s="27" t="s">
        <v>367</v>
      </c>
      <c r="K236" s="27" t="s">
        <v>367</v>
      </c>
      <c r="L236" s="54">
        <f>'Расчет субсидий'!P236-1</f>
        <v>0.30000000000000004</v>
      </c>
      <c r="M236" s="54">
        <f>L236*'Расчет субсидий'!Q236</f>
        <v>6.0000000000000009</v>
      </c>
      <c r="N236" s="55">
        <f t="shared" si="85"/>
        <v>76.420831730502854</v>
      </c>
      <c r="O236" s="54">
        <f>'Расчет субсидий'!T236-1</f>
        <v>0.19999999999999996</v>
      </c>
      <c r="P236" s="54">
        <f>O236*'Расчет субсидий'!U236</f>
        <v>2.9999999999999991</v>
      </c>
      <c r="Q236" s="55">
        <f t="shared" si="86"/>
        <v>38.210415865251413</v>
      </c>
      <c r="R236" s="54">
        <f>'Расчет субсидий'!X236-1</f>
        <v>0.10714285714285721</v>
      </c>
      <c r="S236" s="54">
        <f>R236*'Расчет субсидий'!Y236</f>
        <v>3.7500000000000022</v>
      </c>
      <c r="T236" s="55">
        <f t="shared" si="87"/>
        <v>47.763019831564307</v>
      </c>
      <c r="U236" s="60">
        <f>'Расчет субсидий'!AB236-1</f>
        <v>-0.12414383561643838</v>
      </c>
      <c r="V236" s="60">
        <f>U236*'Расчет субсидий'!AC236</f>
        <v>-0.6207191780821919</v>
      </c>
      <c r="W236" s="55">
        <f t="shared" si="65"/>
        <v>-7.9059793100192026</v>
      </c>
      <c r="X236" s="71">
        <f>'Расчет субсидий'!AF236-1</f>
        <v>-0.13731343283582087</v>
      </c>
      <c r="Y236" s="71">
        <f>X236*'Расчет субсидий'!AG236</f>
        <v>-2.7462686567164174</v>
      </c>
      <c r="Z236" s="55">
        <f t="shared" si="66"/>
        <v>-34.978689150279905</v>
      </c>
      <c r="AA236" s="27" t="s">
        <v>367</v>
      </c>
      <c r="AB236" s="27" t="s">
        <v>367</v>
      </c>
      <c r="AC236" s="27" t="s">
        <v>367</v>
      </c>
      <c r="AD236" s="27" t="s">
        <v>367</v>
      </c>
      <c r="AE236" s="27" t="s">
        <v>367</v>
      </c>
      <c r="AF236" s="27" t="s">
        <v>367</v>
      </c>
      <c r="AG236" s="54">
        <f t="shared" si="67"/>
        <v>11.527080652767637</v>
      </c>
    </row>
    <row r="237" spans="1:33" ht="15" customHeight="1">
      <c r="A237" s="33" t="s">
        <v>233</v>
      </c>
      <c r="B237" s="52">
        <f>'Расчет субсидий'!AT237</f>
        <v>4.6909090909091447</v>
      </c>
      <c r="C237" s="54">
        <f>'Расчет субсидий'!D237-1</f>
        <v>4.0252241469118211E-2</v>
      </c>
      <c r="D237" s="54">
        <f>C237*'Расчет субсидий'!E237</f>
        <v>0.40252241469118211</v>
      </c>
      <c r="E237" s="55">
        <f t="shared" si="84"/>
        <v>2.3364199076084855</v>
      </c>
      <c r="F237" s="27" t="s">
        <v>367</v>
      </c>
      <c r="G237" s="27" t="s">
        <v>367</v>
      </c>
      <c r="H237" s="27" t="s">
        <v>367</v>
      </c>
      <c r="I237" s="27" t="s">
        <v>367</v>
      </c>
      <c r="J237" s="27" t="s">
        <v>367</v>
      </c>
      <c r="K237" s="27" t="s">
        <v>367</v>
      </c>
      <c r="L237" s="54">
        <f>'Расчет субсидий'!P237-1</f>
        <v>-0.16771902131018157</v>
      </c>
      <c r="M237" s="54">
        <f>L237*'Расчет субсидий'!Q237</f>
        <v>-3.3543804262036314</v>
      </c>
      <c r="N237" s="55">
        <f t="shared" si="85"/>
        <v>-19.47032244524118</v>
      </c>
      <c r="O237" s="54">
        <f>'Расчет субсидий'!T237-1</f>
        <v>5.3333333333333455E-2</v>
      </c>
      <c r="P237" s="54">
        <f>O237*'Расчет субсидий'!U237</f>
        <v>0.53333333333333455</v>
      </c>
      <c r="Q237" s="55">
        <f t="shared" si="86"/>
        <v>3.095704914587686</v>
      </c>
      <c r="R237" s="54">
        <f>'Расчет субсидий'!X237-1</f>
        <v>9.000000000000008E-2</v>
      </c>
      <c r="S237" s="54">
        <f>R237*'Расчет субсидий'!Y237</f>
        <v>3.6000000000000032</v>
      </c>
      <c r="T237" s="55">
        <f t="shared" si="87"/>
        <v>20.896008173466853</v>
      </c>
      <c r="U237" s="60">
        <f>'Расчет субсидий'!AB237-1</f>
        <v>-7.46634973482736E-2</v>
      </c>
      <c r="V237" s="60">
        <f>U237*'Расчет субсидий'!AC237</f>
        <v>-0.373317486741368</v>
      </c>
      <c r="W237" s="55">
        <f t="shared" si="65"/>
        <v>-2.1669014595127005</v>
      </c>
      <c r="X237" s="71">
        <f>'Расчет субсидий'!AF237-1</f>
        <v>0</v>
      </c>
      <c r="Y237" s="71">
        <f>X237*'Расчет субсидий'!AG237</f>
        <v>0</v>
      </c>
      <c r="Z237" s="55">
        <f t="shared" si="66"/>
        <v>0</v>
      </c>
      <c r="AA237" s="27" t="s">
        <v>367</v>
      </c>
      <c r="AB237" s="27" t="s">
        <v>367</v>
      </c>
      <c r="AC237" s="27" t="s">
        <v>367</v>
      </c>
      <c r="AD237" s="27" t="s">
        <v>367</v>
      </c>
      <c r="AE237" s="27" t="s">
        <v>367</v>
      </c>
      <c r="AF237" s="27" t="s">
        <v>367</v>
      </c>
      <c r="AG237" s="54">
        <f t="shared" si="67"/>
        <v>0.80815783507952044</v>
      </c>
    </row>
    <row r="238" spans="1:33" ht="15" customHeight="1">
      <c r="A238" s="32" t="s">
        <v>234</v>
      </c>
      <c r="B238" s="56"/>
      <c r="C238" s="57"/>
      <c r="D238" s="57"/>
      <c r="E238" s="58"/>
      <c r="F238" s="57"/>
      <c r="G238" s="57"/>
      <c r="H238" s="58"/>
      <c r="I238" s="58"/>
      <c r="J238" s="58"/>
      <c r="K238" s="58"/>
      <c r="L238" s="57"/>
      <c r="M238" s="57"/>
      <c r="N238" s="58"/>
      <c r="O238" s="57"/>
      <c r="P238" s="57"/>
      <c r="Q238" s="58"/>
      <c r="R238" s="57"/>
      <c r="S238" s="57"/>
      <c r="T238" s="58"/>
      <c r="U238" s="58"/>
      <c r="V238" s="58"/>
      <c r="W238" s="58"/>
      <c r="X238" s="73"/>
      <c r="Y238" s="73"/>
      <c r="Z238" s="58"/>
      <c r="AA238" s="58"/>
      <c r="AB238" s="58"/>
      <c r="AC238" s="58"/>
      <c r="AD238" s="58"/>
      <c r="AE238" s="58"/>
      <c r="AF238" s="58"/>
      <c r="AG238" s="58"/>
    </row>
    <row r="239" spans="1:33" ht="15" customHeight="1">
      <c r="A239" s="33" t="s">
        <v>235</v>
      </c>
      <c r="B239" s="52">
        <f>'Расчет субсидий'!AT239</f>
        <v>6.363636363636374</v>
      </c>
      <c r="C239" s="54">
        <f>'Расчет субсидий'!D239-1</f>
        <v>1.0993106018259757E-2</v>
      </c>
      <c r="D239" s="54">
        <f>C239*'Расчет субсидий'!E239</f>
        <v>0.10993106018259757</v>
      </c>
      <c r="E239" s="55">
        <f t="shared" ref="E239:E253" si="88">$B239*D239/$AG239</f>
        <v>0.28059683839119676</v>
      </c>
      <c r="F239" s="27" t="s">
        <v>367</v>
      </c>
      <c r="G239" s="27" t="s">
        <v>367</v>
      </c>
      <c r="H239" s="27" t="s">
        <v>367</v>
      </c>
      <c r="I239" s="27" t="s">
        <v>367</v>
      </c>
      <c r="J239" s="27" t="s">
        <v>367</v>
      </c>
      <c r="K239" s="27" t="s">
        <v>367</v>
      </c>
      <c r="L239" s="54">
        <f>'Расчет субсидий'!P239-1</f>
        <v>-0.43876114500234631</v>
      </c>
      <c r="M239" s="54">
        <f>L239*'Расчет субсидий'!Q239</f>
        <v>-8.7752229000469271</v>
      </c>
      <c r="N239" s="55">
        <f t="shared" ref="N239:N253" si="89">$B239*M239/$AG239</f>
        <v>-22.398581418584246</v>
      </c>
      <c r="O239" s="54">
        <f>'Расчет субсидий'!T239-1</f>
        <v>-6.5292096219931373E-2</v>
      </c>
      <c r="P239" s="54">
        <f>O239*'Расчет субсидий'!U239</f>
        <v>-1.3058419243986275</v>
      </c>
      <c r="Q239" s="55">
        <f t="shared" ref="Q239:Q253" si="90">$B239*P239/$AG239</f>
        <v>-3.3331354652298324</v>
      </c>
      <c r="R239" s="54">
        <f>'Расчет субсидий'!X239-1</f>
        <v>0.30000000000000004</v>
      </c>
      <c r="S239" s="54">
        <f>R239*'Расчет субсидий'!Y239</f>
        <v>9.0000000000000018</v>
      </c>
      <c r="T239" s="55">
        <f t="shared" ref="T239:T253" si="91">$B239*S239/$AG239</f>
        <v>22.972320482728733</v>
      </c>
      <c r="U239" s="60">
        <f>'Расчет субсидий'!AB239-1</f>
        <v>-0.16377497371188221</v>
      </c>
      <c r="V239" s="60">
        <f>U239*'Расчет субсидий'!AC239</f>
        <v>-0.81887486855941105</v>
      </c>
      <c r="W239" s="55">
        <f t="shared" ref="W239:W302" si="92">$B239*V239/$AG239</f>
        <v>-2.0901617684221283</v>
      </c>
      <c r="X239" s="71">
        <f>'Расчет субсидий'!AF239-1</f>
        <v>0.21415637860082293</v>
      </c>
      <c r="Y239" s="71">
        <f>X239*'Расчет субсидий'!AG239</f>
        <v>4.2831275720164586</v>
      </c>
      <c r="Z239" s="55">
        <f t="shared" si="66"/>
        <v>10.932597694752651</v>
      </c>
      <c r="AA239" s="27" t="s">
        <v>367</v>
      </c>
      <c r="AB239" s="27" t="s">
        <v>367</v>
      </c>
      <c r="AC239" s="27" t="s">
        <v>367</v>
      </c>
      <c r="AD239" s="27" t="s">
        <v>367</v>
      </c>
      <c r="AE239" s="27" t="s">
        <v>367</v>
      </c>
      <c r="AF239" s="27" t="s">
        <v>367</v>
      </c>
      <c r="AG239" s="54">
        <f t="shared" si="67"/>
        <v>2.4931189391940922</v>
      </c>
    </row>
    <row r="240" spans="1:33" ht="15" customHeight="1">
      <c r="A240" s="33" t="s">
        <v>236</v>
      </c>
      <c r="B240" s="52">
        <f>'Расчет субсидий'!AT240</f>
        <v>11.536363636363603</v>
      </c>
      <c r="C240" s="54">
        <f>'Расчет субсидий'!D240-1</f>
        <v>-1</v>
      </c>
      <c r="D240" s="54">
        <f>C240*'Расчет субсидий'!E240</f>
        <v>0</v>
      </c>
      <c r="E240" s="55">
        <f t="shared" si="88"/>
        <v>0</v>
      </c>
      <c r="F240" s="27" t="s">
        <v>367</v>
      </c>
      <c r="G240" s="27" t="s">
        <v>367</v>
      </c>
      <c r="H240" s="27" t="s">
        <v>367</v>
      </c>
      <c r="I240" s="27" t="s">
        <v>367</v>
      </c>
      <c r="J240" s="27" t="s">
        <v>367</v>
      </c>
      <c r="K240" s="27" t="s">
        <v>367</v>
      </c>
      <c r="L240" s="54">
        <f>'Расчет субсидий'!P240-1</f>
        <v>-0.46980609418282548</v>
      </c>
      <c r="M240" s="54">
        <f>L240*'Расчет субсидий'!Q240</f>
        <v>-9.3961218836565088</v>
      </c>
      <c r="N240" s="55">
        <f t="shared" si="89"/>
        <v>-38.102674915509226</v>
      </c>
      <c r="O240" s="54">
        <f>'Расчет субсидий'!T240-1</f>
        <v>2.2099447513812098E-2</v>
      </c>
      <c r="P240" s="54">
        <f>O240*'Расчет субсидий'!U240</f>
        <v>0.22099447513812098</v>
      </c>
      <c r="Q240" s="55">
        <f t="shared" si="90"/>
        <v>0.89616554027017059</v>
      </c>
      <c r="R240" s="54">
        <f>'Расчет субсидий'!X240-1</f>
        <v>0.20108108108108103</v>
      </c>
      <c r="S240" s="54">
        <f>R240*'Расчет субсидий'!Y240</f>
        <v>8.043243243243241</v>
      </c>
      <c r="T240" s="55">
        <f t="shared" si="91"/>
        <v>32.616550355389876</v>
      </c>
      <c r="U240" s="60">
        <f>'Расчет субсидий'!AB240-1</f>
        <v>0.22392185238784368</v>
      </c>
      <c r="V240" s="60">
        <f>U240*'Расчет субсидий'!AC240</f>
        <v>1.1196092619392184</v>
      </c>
      <c r="W240" s="55">
        <f t="shared" si="92"/>
        <v>4.5401824570055522</v>
      </c>
      <c r="X240" s="71">
        <f>'Расчет субсидий'!AF240-1</f>
        <v>0.14285714285714279</v>
      </c>
      <c r="Y240" s="71">
        <f>X240*'Расчет субсидий'!AG240</f>
        <v>2.8571428571428559</v>
      </c>
      <c r="Z240" s="55">
        <f t="shared" ref="Z240:Z303" si="93">$B240*Y240/$AG240</f>
        <v>11.586140199207231</v>
      </c>
      <c r="AA240" s="27" t="s">
        <v>367</v>
      </c>
      <c r="AB240" s="27" t="s">
        <v>367</v>
      </c>
      <c r="AC240" s="27" t="s">
        <v>367</v>
      </c>
      <c r="AD240" s="27" t="s">
        <v>367</v>
      </c>
      <c r="AE240" s="27" t="s">
        <v>367</v>
      </c>
      <c r="AF240" s="27" t="s">
        <v>367</v>
      </c>
      <c r="AG240" s="54">
        <f t="shared" ref="AG240:AG303" si="94">D240+M240+P240+S240+V240+Y240</f>
        <v>2.8448679538069266</v>
      </c>
    </row>
    <row r="241" spans="1:33" ht="15" customHeight="1">
      <c r="A241" s="33" t="s">
        <v>237</v>
      </c>
      <c r="B241" s="52">
        <f>'Расчет субсидий'!AT241</f>
        <v>-3.545454545454561</v>
      </c>
      <c r="C241" s="54">
        <f>'Расчет субсидий'!D241-1</f>
        <v>-0.21900753212228619</v>
      </c>
      <c r="D241" s="54">
        <f>C241*'Расчет субсидий'!E241</f>
        <v>-2.1900753212228619</v>
      </c>
      <c r="E241" s="55">
        <f t="shared" si="88"/>
        <v>-6.1327846392085128</v>
      </c>
      <c r="F241" s="27" t="s">
        <v>367</v>
      </c>
      <c r="G241" s="27" t="s">
        <v>367</v>
      </c>
      <c r="H241" s="27" t="s">
        <v>367</v>
      </c>
      <c r="I241" s="27" t="s">
        <v>367</v>
      </c>
      <c r="J241" s="27" t="s">
        <v>367</v>
      </c>
      <c r="K241" s="27" t="s">
        <v>367</v>
      </c>
      <c r="L241" s="54">
        <f>'Расчет субсидий'!P241-1</f>
        <v>-0.1015960712093309</v>
      </c>
      <c r="M241" s="54">
        <f>L241*'Расчет субсидий'!Q241</f>
        <v>-2.0319214241866179</v>
      </c>
      <c r="N241" s="55">
        <f t="shared" si="89"/>
        <v>-5.6899122955152057</v>
      </c>
      <c r="O241" s="54">
        <f>'Расчет субсидий'!T241-1</f>
        <v>7.5258701787392912E-3</v>
      </c>
      <c r="P241" s="54">
        <f>O241*'Расчет субсидий'!U241</f>
        <v>0.18814675446848228</v>
      </c>
      <c r="Q241" s="55">
        <f t="shared" si="90"/>
        <v>0.5268602018112174</v>
      </c>
      <c r="R241" s="54">
        <f>'Расчет субсидий'!X241-1</f>
        <v>8.8235294117647189E-2</v>
      </c>
      <c r="S241" s="54">
        <f>R241*'Расчет субсидий'!Y241</f>
        <v>2.2058823529411797</v>
      </c>
      <c r="T241" s="55">
        <f t="shared" si="91"/>
        <v>6.1770484690294216</v>
      </c>
      <c r="U241" s="60">
        <f>'Расчет субсидий'!AB241-1</f>
        <v>0.11237046632124348</v>
      </c>
      <c r="V241" s="60">
        <f>U241*'Расчет субсидий'!AC241</f>
        <v>0.56185233160621739</v>
      </c>
      <c r="W241" s="55">
        <f t="shared" si="92"/>
        <v>1.5733337184285185</v>
      </c>
      <c r="X241" s="71">
        <f>'Расчет субсидий'!AF241-1</f>
        <v>0</v>
      </c>
      <c r="Y241" s="71">
        <f>X241*'Расчет субсидий'!AG241</f>
        <v>0</v>
      </c>
      <c r="Z241" s="55">
        <f t="shared" si="93"/>
        <v>0</v>
      </c>
      <c r="AA241" s="27" t="s">
        <v>367</v>
      </c>
      <c r="AB241" s="27" t="s">
        <v>367</v>
      </c>
      <c r="AC241" s="27" t="s">
        <v>367</v>
      </c>
      <c r="AD241" s="27" t="s">
        <v>367</v>
      </c>
      <c r="AE241" s="27" t="s">
        <v>367</v>
      </c>
      <c r="AF241" s="27" t="s">
        <v>367</v>
      </c>
      <c r="AG241" s="54">
        <f t="shared" si="94"/>
        <v>-1.2661153063936006</v>
      </c>
    </row>
    <row r="242" spans="1:33" ht="15" customHeight="1">
      <c r="A242" s="33" t="s">
        <v>238</v>
      </c>
      <c r="B242" s="52">
        <f>'Расчет субсидий'!AT242</f>
        <v>37.863636363636374</v>
      </c>
      <c r="C242" s="54">
        <f>'Расчет субсидий'!D242-1</f>
        <v>-1</v>
      </c>
      <c r="D242" s="54">
        <f>C242*'Расчет субсидий'!E242</f>
        <v>0</v>
      </c>
      <c r="E242" s="55">
        <f t="shared" si="88"/>
        <v>0</v>
      </c>
      <c r="F242" s="27" t="s">
        <v>367</v>
      </c>
      <c r="G242" s="27" t="s">
        <v>367</v>
      </c>
      <c r="H242" s="27" t="s">
        <v>367</v>
      </c>
      <c r="I242" s="27" t="s">
        <v>367</v>
      </c>
      <c r="J242" s="27" t="s">
        <v>367</v>
      </c>
      <c r="K242" s="27" t="s">
        <v>367</v>
      </c>
      <c r="L242" s="54">
        <f>'Расчет субсидий'!P242-1</f>
        <v>0.203352165725047</v>
      </c>
      <c r="M242" s="54">
        <f>L242*'Расчет субсидий'!Q242</f>
        <v>4.0670433145009399</v>
      </c>
      <c r="N242" s="55">
        <f t="shared" si="89"/>
        <v>15.742617626953217</v>
      </c>
      <c r="O242" s="54">
        <f>'Расчет субсидий'!T242-1</f>
        <v>3.597122302158251E-3</v>
      </c>
      <c r="P242" s="54">
        <f>O242*'Расчет субсидий'!U242</f>
        <v>7.194244604316502E-2</v>
      </c>
      <c r="Q242" s="55">
        <f t="shared" si="90"/>
        <v>0.27847316382570553</v>
      </c>
      <c r="R242" s="54">
        <f>'Расчет субсидий'!X242-1</f>
        <v>0.20432432432432424</v>
      </c>
      <c r="S242" s="54">
        <f>R242*'Расчет субсидий'!Y242</f>
        <v>6.1297297297297266</v>
      </c>
      <c r="T242" s="55">
        <f t="shared" si="91"/>
        <v>23.726816714157245</v>
      </c>
      <c r="U242" s="60">
        <f>'Расчет субсидий'!AB242-1</f>
        <v>-3.7834997372569679E-2</v>
      </c>
      <c r="V242" s="60">
        <f>U242*'Расчет субсидий'!AC242</f>
        <v>-0.18917498686284839</v>
      </c>
      <c r="W242" s="55">
        <f t="shared" si="92"/>
        <v>-0.73225418380653751</v>
      </c>
      <c r="X242" s="71">
        <f>'Расчет субсидий'!AF242-1</f>
        <v>-1.4880952380952328E-2</v>
      </c>
      <c r="Y242" s="71">
        <f>X242*'Расчет субсидий'!AG242</f>
        <v>-0.29761904761904656</v>
      </c>
      <c r="Z242" s="55">
        <f t="shared" si="93"/>
        <v>-1.1520169574932491</v>
      </c>
      <c r="AA242" s="27" t="s">
        <v>367</v>
      </c>
      <c r="AB242" s="27" t="s">
        <v>367</v>
      </c>
      <c r="AC242" s="27" t="s">
        <v>367</v>
      </c>
      <c r="AD242" s="27" t="s">
        <v>367</v>
      </c>
      <c r="AE242" s="27" t="s">
        <v>367</v>
      </c>
      <c r="AF242" s="27" t="s">
        <v>367</v>
      </c>
      <c r="AG242" s="54">
        <f t="shared" si="94"/>
        <v>9.7819214557919345</v>
      </c>
    </row>
    <row r="243" spans="1:33" ht="15" customHeight="1">
      <c r="A243" s="33" t="s">
        <v>239</v>
      </c>
      <c r="B243" s="52">
        <f>'Расчет субсидий'!AT243</f>
        <v>20.536363636363632</v>
      </c>
      <c r="C243" s="54">
        <f>'Расчет субсидий'!D243-1</f>
        <v>-1</v>
      </c>
      <c r="D243" s="54">
        <f>C243*'Расчет субсидий'!E243</f>
        <v>0</v>
      </c>
      <c r="E243" s="55">
        <f t="shared" si="88"/>
        <v>0</v>
      </c>
      <c r="F243" s="27" t="s">
        <v>367</v>
      </c>
      <c r="G243" s="27" t="s">
        <v>367</v>
      </c>
      <c r="H243" s="27" t="s">
        <v>367</v>
      </c>
      <c r="I243" s="27" t="s">
        <v>367</v>
      </c>
      <c r="J243" s="27" t="s">
        <v>367</v>
      </c>
      <c r="K243" s="27" t="s">
        <v>367</v>
      </c>
      <c r="L243" s="54">
        <f>'Расчет субсидий'!P243-1</f>
        <v>-3.6451169188445709E-2</v>
      </c>
      <c r="M243" s="54">
        <f>L243*'Расчет субсидий'!Q243</f>
        <v>-0.72902338376891418</v>
      </c>
      <c r="N243" s="55">
        <f t="shared" si="89"/>
        <v>-1.7144876259307555</v>
      </c>
      <c r="O243" s="54">
        <f>'Расчет субсидий'!T243-1</f>
        <v>7.9545454545454364E-2</v>
      </c>
      <c r="P243" s="54">
        <f>O243*'Расчет субсидий'!U243</f>
        <v>1.9886363636363591</v>
      </c>
      <c r="Q243" s="55">
        <f t="shared" si="90"/>
        <v>4.6767943441046231</v>
      </c>
      <c r="R243" s="54">
        <f>'Расчет субсидий'!X243-1</f>
        <v>0.30000000000000004</v>
      </c>
      <c r="S243" s="54">
        <f>R243*'Расчет субсидий'!Y243</f>
        <v>7.5000000000000009</v>
      </c>
      <c r="T243" s="55">
        <f t="shared" si="91"/>
        <v>17.638195812051766</v>
      </c>
      <c r="U243" s="60">
        <f>'Расчет субсидий'!AB243-1</f>
        <v>-4.5454545454545414E-2</v>
      </c>
      <c r="V243" s="60">
        <f>U243*'Расчет субсидий'!AC243</f>
        <v>-0.22727272727272707</v>
      </c>
      <c r="W243" s="55">
        <f t="shared" si="92"/>
        <v>-0.53449078218338619</v>
      </c>
      <c r="X243" s="71">
        <f>'Расчет субсидий'!AF243-1</f>
        <v>1.0000000000000009E-2</v>
      </c>
      <c r="Y243" s="71">
        <f>X243*'Расчет субсидий'!AG243</f>
        <v>0.20000000000000018</v>
      </c>
      <c r="Z243" s="55">
        <f t="shared" si="93"/>
        <v>0.47035188832138075</v>
      </c>
      <c r="AA243" s="27" t="s">
        <v>367</v>
      </c>
      <c r="AB243" s="27" t="s">
        <v>367</v>
      </c>
      <c r="AC243" s="27" t="s">
        <v>367</v>
      </c>
      <c r="AD243" s="27" t="s">
        <v>367</v>
      </c>
      <c r="AE243" s="27" t="s">
        <v>367</v>
      </c>
      <c r="AF243" s="27" t="s">
        <v>367</v>
      </c>
      <c r="AG243" s="54">
        <f t="shared" si="94"/>
        <v>8.7323402525947209</v>
      </c>
    </row>
    <row r="244" spans="1:33" ht="15" customHeight="1">
      <c r="A244" s="33" t="s">
        <v>240</v>
      </c>
      <c r="B244" s="52">
        <f>'Расчет субсидий'!AT244</f>
        <v>-8.954545454545439</v>
      </c>
      <c r="C244" s="54">
        <f>'Расчет субсидий'!D244-1</f>
        <v>-1</v>
      </c>
      <c r="D244" s="54">
        <f>C244*'Расчет субсидий'!E244</f>
        <v>0</v>
      </c>
      <c r="E244" s="55">
        <f t="shared" si="88"/>
        <v>0</v>
      </c>
      <c r="F244" s="27" t="s">
        <v>367</v>
      </c>
      <c r="G244" s="27" t="s">
        <v>367</v>
      </c>
      <c r="H244" s="27" t="s">
        <v>367</v>
      </c>
      <c r="I244" s="27" t="s">
        <v>367</v>
      </c>
      <c r="J244" s="27" t="s">
        <v>367</v>
      </c>
      <c r="K244" s="27" t="s">
        <v>367</v>
      </c>
      <c r="L244" s="54">
        <f>'Расчет субсидий'!P244-1</f>
        <v>-7.0742799393633149E-2</v>
      </c>
      <c r="M244" s="54">
        <f>L244*'Расчет субсидий'!Q244</f>
        <v>-1.414855987872663</v>
      </c>
      <c r="N244" s="55">
        <f t="shared" si="89"/>
        <v>-4.4628915317029483</v>
      </c>
      <c r="O244" s="54">
        <f>'Расчет субсидий'!T244-1</f>
        <v>1.3584117032392928E-2</v>
      </c>
      <c r="P244" s="54">
        <f>O244*'Расчет субсидий'!U244</f>
        <v>0.54336468129571713</v>
      </c>
      <c r="Q244" s="55">
        <f t="shared" si="90"/>
        <v>1.7139395497256611</v>
      </c>
      <c r="R244" s="54">
        <f>'Расчет субсидий'!X244-1</f>
        <v>0.23652173913043484</v>
      </c>
      <c r="S244" s="54">
        <f>R244*'Расчет субсидий'!Y244</f>
        <v>2.3652173913043484</v>
      </c>
      <c r="T244" s="55">
        <f t="shared" si="91"/>
        <v>7.4606240894947726</v>
      </c>
      <c r="U244" s="60">
        <f>'Расчет субсидий'!AB244-1</f>
        <v>-0.68132611637347762</v>
      </c>
      <c r="V244" s="60">
        <f>U244*'Расчет субсидий'!AC244</f>
        <v>-3.4066305818673879</v>
      </c>
      <c r="W244" s="55">
        <f t="shared" si="92"/>
        <v>-10.745562025938543</v>
      </c>
      <c r="X244" s="71">
        <f>'Расчет субсидий'!AF244-1</f>
        <v>-4.629629629629628E-2</v>
      </c>
      <c r="Y244" s="71">
        <f>X244*'Расчет субсидий'!AG244</f>
        <v>-0.9259259259259256</v>
      </c>
      <c r="Z244" s="55">
        <f t="shared" si="93"/>
        <v>-2.9206555361243822</v>
      </c>
      <c r="AA244" s="27" t="s">
        <v>367</v>
      </c>
      <c r="AB244" s="27" t="s">
        <v>367</v>
      </c>
      <c r="AC244" s="27" t="s">
        <v>367</v>
      </c>
      <c r="AD244" s="27" t="s">
        <v>367</v>
      </c>
      <c r="AE244" s="27" t="s">
        <v>367</v>
      </c>
      <c r="AF244" s="27" t="s">
        <v>367</v>
      </c>
      <c r="AG244" s="54">
        <f t="shared" si="94"/>
        <v>-2.8388304230659109</v>
      </c>
    </row>
    <row r="245" spans="1:33" ht="15" customHeight="1">
      <c r="A245" s="33" t="s">
        <v>241</v>
      </c>
      <c r="B245" s="52">
        <f>'Расчет субсидий'!AT245</f>
        <v>60.636363636363626</v>
      </c>
      <c r="C245" s="54">
        <f>'Расчет субсидий'!D245-1</f>
        <v>-1</v>
      </c>
      <c r="D245" s="54">
        <f>C245*'Расчет субсидий'!E245</f>
        <v>0</v>
      </c>
      <c r="E245" s="55">
        <f t="shared" si="88"/>
        <v>0</v>
      </c>
      <c r="F245" s="27" t="s">
        <v>367</v>
      </c>
      <c r="G245" s="27" t="s">
        <v>367</v>
      </c>
      <c r="H245" s="27" t="s">
        <v>367</v>
      </c>
      <c r="I245" s="27" t="s">
        <v>367</v>
      </c>
      <c r="J245" s="27" t="s">
        <v>367</v>
      </c>
      <c r="K245" s="27" t="s">
        <v>367</v>
      </c>
      <c r="L245" s="54">
        <f>'Расчет субсидий'!P245-1</f>
        <v>0.21782771535580525</v>
      </c>
      <c r="M245" s="54">
        <f>L245*'Расчет субсидий'!Q245</f>
        <v>4.356554307116105</v>
      </c>
      <c r="N245" s="55">
        <f t="shared" si="89"/>
        <v>16.713096716589437</v>
      </c>
      <c r="O245" s="54">
        <f>'Расчет субсидий'!T245-1</f>
        <v>0.11165845648604278</v>
      </c>
      <c r="P245" s="54">
        <f>O245*'Расчет субсидий'!U245</f>
        <v>2.7914614121510697</v>
      </c>
      <c r="Q245" s="55">
        <f t="shared" si="90"/>
        <v>10.708913805045972</v>
      </c>
      <c r="R245" s="54">
        <f>'Расчет субсидий'!X245-1</f>
        <v>0.30000000000000004</v>
      </c>
      <c r="S245" s="54">
        <f>R245*'Расчет субсидий'!Y245</f>
        <v>7.5000000000000009</v>
      </c>
      <c r="T245" s="55">
        <f t="shared" si="91"/>
        <v>28.772331649733793</v>
      </c>
      <c r="U245" s="60">
        <f>'Расчет субсидий'!AB245-1</f>
        <v>-0.14538558786346401</v>
      </c>
      <c r="V245" s="60">
        <f>U245*'Расчет субсидий'!AC245</f>
        <v>-0.72692793931732003</v>
      </c>
      <c r="W245" s="55">
        <f t="shared" si="92"/>
        <v>-2.7887215673993988</v>
      </c>
      <c r="X245" s="71">
        <f>'Расчет субсидий'!AF245-1</f>
        <v>9.4240837696335067E-2</v>
      </c>
      <c r="Y245" s="71">
        <f>X245*'Расчет субсидий'!AG245</f>
        <v>1.8848167539267013</v>
      </c>
      <c r="Z245" s="55">
        <f t="shared" si="93"/>
        <v>7.2307430323938302</v>
      </c>
      <c r="AA245" s="27" t="s">
        <v>367</v>
      </c>
      <c r="AB245" s="27" t="s">
        <v>367</v>
      </c>
      <c r="AC245" s="27" t="s">
        <v>367</v>
      </c>
      <c r="AD245" s="27" t="s">
        <v>367</v>
      </c>
      <c r="AE245" s="27" t="s">
        <v>367</v>
      </c>
      <c r="AF245" s="27" t="s">
        <v>367</v>
      </c>
      <c r="AG245" s="54">
        <f t="shared" si="94"/>
        <v>15.805904533876555</v>
      </c>
    </row>
    <row r="246" spans="1:33" ht="15" customHeight="1">
      <c r="A246" s="33" t="s">
        <v>242</v>
      </c>
      <c r="B246" s="52">
        <f>'Расчет субсидий'!AT246</f>
        <v>36.363636363636374</v>
      </c>
      <c r="C246" s="54">
        <f>'Расчет субсидий'!D246-1</f>
        <v>-1</v>
      </c>
      <c r="D246" s="54">
        <f>C246*'Расчет субсидий'!E246</f>
        <v>0</v>
      </c>
      <c r="E246" s="55">
        <f t="shared" si="88"/>
        <v>0</v>
      </c>
      <c r="F246" s="27" t="s">
        <v>367</v>
      </c>
      <c r="G246" s="27" t="s">
        <v>367</v>
      </c>
      <c r="H246" s="27" t="s">
        <v>367</v>
      </c>
      <c r="I246" s="27" t="s">
        <v>367</v>
      </c>
      <c r="J246" s="27" t="s">
        <v>367</v>
      </c>
      <c r="K246" s="27" t="s">
        <v>367</v>
      </c>
      <c r="L246" s="54">
        <f>'Расчет субсидий'!P246-1</f>
        <v>-0.16719846841097641</v>
      </c>
      <c r="M246" s="54">
        <f>L246*'Расчет субсидий'!Q246</f>
        <v>-3.3439693682195282</v>
      </c>
      <c r="N246" s="55">
        <f t="shared" si="89"/>
        <v>-11.453395534952554</v>
      </c>
      <c r="O246" s="54">
        <f>'Расчет субсидий'!T246-1</f>
        <v>0.14205816554809836</v>
      </c>
      <c r="P246" s="54">
        <f>O246*'Расчет субсидий'!U246</f>
        <v>2.8411633109619672</v>
      </c>
      <c r="Q246" s="55">
        <f t="shared" si="90"/>
        <v>9.7312396127507004</v>
      </c>
      <c r="R246" s="54">
        <f>'Расчет субсидий'!X246-1</f>
        <v>0.30000000000000004</v>
      </c>
      <c r="S246" s="54">
        <f>R246*'Расчет субсидий'!Y246</f>
        <v>9.0000000000000018</v>
      </c>
      <c r="T246" s="55">
        <f t="shared" si="91"/>
        <v>30.825808631571729</v>
      </c>
      <c r="U246" s="60">
        <f>'Расчет субсидий'!AB246-1</f>
        <v>-0.10986596352450007</v>
      </c>
      <c r="V246" s="60">
        <f>U246*'Расчет субсидий'!AC246</f>
        <v>-0.54932981762250033</v>
      </c>
      <c r="W246" s="55">
        <f t="shared" si="92"/>
        <v>-1.881503981516377</v>
      </c>
      <c r="X246" s="71">
        <f>'Расчет субсидий'!AF246-1</f>
        <v>0.13344887348353551</v>
      </c>
      <c r="Y246" s="71">
        <f>X246*'Расчет субсидий'!AG246</f>
        <v>2.6689774696707103</v>
      </c>
      <c r="Z246" s="55">
        <f t="shared" si="93"/>
        <v>9.1414876357828714</v>
      </c>
      <c r="AA246" s="27" t="s">
        <v>367</v>
      </c>
      <c r="AB246" s="27" t="s">
        <v>367</v>
      </c>
      <c r="AC246" s="27" t="s">
        <v>367</v>
      </c>
      <c r="AD246" s="27" t="s">
        <v>367</v>
      </c>
      <c r="AE246" s="27" t="s">
        <v>367</v>
      </c>
      <c r="AF246" s="27" t="s">
        <v>367</v>
      </c>
      <c r="AG246" s="54">
        <f t="shared" si="94"/>
        <v>10.616841594790651</v>
      </c>
    </row>
    <row r="247" spans="1:33" ht="15" customHeight="1">
      <c r="A247" s="33" t="s">
        <v>243</v>
      </c>
      <c r="B247" s="52">
        <f>'Расчет субсидий'!AT247</f>
        <v>29.936363636363637</v>
      </c>
      <c r="C247" s="54">
        <f>'Расчет субсидий'!D247-1</f>
        <v>8.5087342497136342E-2</v>
      </c>
      <c r="D247" s="54">
        <f>C247*'Расчет субсидий'!E247</f>
        <v>0.85087342497136342</v>
      </c>
      <c r="E247" s="55">
        <f t="shared" si="88"/>
        <v>2.9308891385075437</v>
      </c>
      <c r="F247" s="27" t="s">
        <v>367</v>
      </c>
      <c r="G247" s="27" t="s">
        <v>367</v>
      </c>
      <c r="H247" s="27" t="s">
        <v>367</v>
      </c>
      <c r="I247" s="27" t="s">
        <v>367</v>
      </c>
      <c r="J247" s="27" t="s">
        <v>367</v>
      </c>
      <c r="K247" s="27" t="s">
        <v>367</v>
      </c>
      <c r="L247" s="54">
        <f>'Расчет субсидий'!P247-1</f>
        <v>0.18239202657807296</v>
      </c>
      <c r="M247" s="54">
        <f>L247*'Расчет субсидий'!Q247</f>
        <v>3.6478405315614593</v>
      </c>
      <c r="N247" s="55">
        <f t="shared" si="89"/>
        <v>12.565225190010949</v>
      </c>
      <c r="O247" s="54">
        <f>'Расчет субсидий'!T247-1</f>
        <v>-4.8076923076924016E-3</v>
      </c>
      <c r="P247" s="54">
        <f>O247*'Расчет субсидий'!U247</f>
        <v>-0.12019230769231004</v>
      </c>
      <c r="Q247" s="55">
        <f t="shared" si="90"/>
        <v>-0.41401026146680286</v>
      </c>
      <c r="R247" s="54">
        <f>'Расчет субсидий'!X247-1</f>
        <v>7.6923076923076872E-2</v>
      </c>
      <c r="S247" s="54">
        <f>R247*'Расчет субсидий'!Y247</f>
        <v>1.9230769230769218</v>
      </c>
      <c r="T247" s="55">
        <f t="shared" si="91"/>
        <v>6.6241641834687117</v>
      </c>
      <c r="U247" s="60">
        <f>'Расчет субсидий'!AB247-1</f>
        <v>0.24082269206615026</v>
      </c>
      <c r="V247" s="60">
        <f>U247*'Расчет субсидий'!AC247</f>
        <v>1.2041134603307513</v>
      </c>
      <c r="W247" s="55">
        <f t="shared" si="92"/>
        <v>4.147647533512882</v>
      </c>
      <c r="X247" s="71">
        <f>'Расчет субсидий'!AF247-1</f>
        <v>5.9259259259259345E-2</v>
      </c>
      <c r="Y247" s="71">
        <f>X247*'Расчет субсидий'!AG247</f>
        <v>1.1851851851851869</v>
      </c>
      <c r="Z247" s="55">
        <f t="shared" si="93"/>
        <v>4.0824478523303558</v>
      </c>
      <c r="AA247" s="27" t="s">
        <v>367</v>
      </c>
      <c r="AB247" s="27" t="s">
        <v>367</v>
      </c>
      <c r="AC247" s="27" t="s">
        <v>367</v>
      </c>
      <c r="AD247" s="27" t="s">
        <v>367</v>
      </c>
      <c r="AE247" s="27" t="s">
        <v>367</v>
      </c>
      <c r="AF247" s="27" t="s">
        <v>367</v>
      </c>
      <c r="AG247" s="54">
        <f t="shared" si="94"/>
        <v>8.6908972174333723</v>
      </c>
    </row>
    <row r="248" spans="1:33" ht="15" customHeight="1">
      <c r="A248" s="33" t="s">
        <v>244</v>
      </c>
      <c r="B248" s="52">
        <f>'Расчет субсидий'!AT248</f>
        <v>-11.354545454545445</v>
      </c>
      <c r="C248" s="54">
        <f>'Расчет субсидий'!D248-1</f>
        <v>-1</v>
      </c>
      <c r="D248" s="54">
        <f>C248*'Расчет субсидий'!E248</f>
        <v>0</v>
      </c>
      <c r="E248" s="55">
        <f t="shared" si="88"/>
        <v>0</v>
      </c>
      <c r="F248" s="27" t="s">
        <v>367</v>
      </c>
      <c r="G248" s="27" t="s">
        <v>367</v>
      </c>
      <c r="H248" s="27" t="s">
        <v>367</v>
      </c>
      <c r="I248" s="27" t="s">
        <v>367</v>
      </c>
      <c r="J248" s="27" t="s">
        <v>367</v>
      </c>
      <c r="K248" s="27" t="s">
        <v>367</v>
      </c>
      <c r="L248" s="54">
        <f>'Расчет субсидий'!P248-1</f>
        <v>-0.50300672090555354</v>
      </c>
      <c r="M248" s="54">
        <f>L248*'Расчет субсидий'!Q248</f>
        <v>-10.060134418111071</v>
      </c>
      <c r="N248" s="55">
        <f t="shared" si="89"/>
        <v>-27.922600834342461</v>
      </c>
      <c r="O248" s="54">
        <f>'Расчет субсидий'!T248-1</f>
        <v>3.2362459546925626E-2</v>
      </c>
      <c r="P248" s="54">
        <f>O248*'Расчет субсидий'!U248</f>
        <v>0.64724919093851252</v>
      </c>
      <c r="Q248" s="55">
        <f t="shared" si="90"/>
        <v>1.7964850217499007</v>
      </c>
      <c r="R248" s="54">
        <f>'Расчет субсидий'!X248-1</f>
        <v>0.14285714285714279</v>
      </c>
      <c r="S248" s="54">
        <f>R248*'Расчет субсидий'!Y248</f>
        <v>4.2857142857142838</v>
      </c>
      <c r="T248" s="55">
        <f t="shared" si="91"/>
        <v>11.895297251158244</v>
      </c>
      <c r="U248" s="60">
        <f>'Расчет субсидий'!AB248-1</f>
        <v>0.20725643896976487</v>
      </c>
      <c r="V248" s="60">
        <f>U248*'Расчет субсидий'!AC248</f>
        <v>1.0362821948488243</v>
      </c>
      <c r="W248" s="55">
        <f t="shared" si="92"/>
        <v>2.8762731068888732</v>
      </c>
      <c r="X248" s="71">
        <f>'Расчет субсидий'!AF248-1</f>
        <v>0</v>
      </c>
      <c r="Y248" s="71">
        <f>X248*'Расчет субсидий'!AG248</f>
        <v>0</v>
      </c>
      <c r="Z248" s="55">
        <f t="shared" si="93"/>
        <v>0</v>
      </c>
      <c r="AA248" s="27" t="s">
        <v>367</v>
      </c>
      <c r="AB248" s="27" t="s">
        <v>367</v>
      </c>
      <c r="AC248" s="27" t="s">
        <v>367</v>
      </c>
      <c r="AD248" s="27" t="s">
        <v>367</v>
      </c>
      <c r="AE248" s="27" t="s">
        <v>367</v>
      </c>
      <c r="AF248" s="27" t="s">
        <v>367</v>
      </c>
      <c r="AG248" s="54">
        <f t="shared" si="94"/>
        <v>-4.0908887466094512</v>
      </c>
    </row>
    <row r="249" spans="1:33" ht="15" customHeight="1">
      <c r="A249" s="33" t="s">
        <v>245</v>
      </c>
      <c r="B249" s="52">
        <f>'Расчет субсидий'!AT249</f>
        <v>16.509090909090901</v>
      </c>
      <c r="C249" s="54">
        <f>'Расчет субсидий'!D249-1</f>
        <v>-1.986163802722607E-2</v>
      </c>
      <c r="D249" s="54">
        <f>C249*'Расчет субсидий'!E249</f>
        <v>-0.1986163802722607</v>
      </c>
      <c r="E249" s="55">
        <f t="shared" si="88"/>
        <v>-0.78733952034564514</v>
      </c>
      <c r="F249" s="27" t="s">
        <v>367</v>
      </c>
      <c r="G249" s="27" t="s">
        <v>367</v>
      </c>
      <c r="H249" s="27" t="s">
        <v>367</v>
      </c>
      <c r="I249" s="27" t="s">
        <v>367</v>
      </c>
      <c r="J249" s="27" t="s">
        <v>367</v>
      </c>
      <c r="K249" s="27" t="s">
        <v>367</v>
      </c>
      <c r="L249" s="54">
        <f>'Расчет субсидий'!P249-1</f>
        <v>0.20514731984380541</v>
      </c>
      <c r="M249" s="54">
        <f>L249*'Расчет субсидий'!Q249</f>
        <v>4.1029463968761082</v>
      </c>
      <c r="N249" s="55">
        <f t="shared" si="89"/>
        <v>16.264579203850772</v>
      </c>
      <c r="O249" s="54">
        <f>'Расчет субсидий'!T249-1</f>
        <v>-7.2015431878259539E-2</v>
      </c>
      <c r="P249" s="54">
        <f>O249*'Расчет субсидий'!U249</f>
        <v>-0.72015431878259539</v>
      </c>
      <c r="Q249" s="55">
        <f t="shared" si="90"/>
        <v>-2.8547794252814862</v>
      </c>
      <c r="R249" s="54">
        <f>'Расчет субсидий'!X249-1</f>
        <v>9.2289468016368614E-2</v>
      </c>
      <c r="S249" s="54">
        <f>R249*'Расчет субсидий'!Y249</f>
        <v>3.6915787206547446</v>
      </c>
      <c r="T249" s="55">
        <f t="shared" si="91"/>
        <v>14.633867635963711</v>
      </c>
      <c r="U249" s="60">
        <f>'Расчет субсидий'!AB249-1</f>
        <v>-0.54222536853502123</v>
      </c>
      <c r="V249" s="60">
        <f>U249*'Расчет субсидий'!AC249</f>
        <v>-2.7111268426751063</v>
      </c>
      <c r="W249" s="55">
        <f t="shared" si="92"/>
        <v>-10.747236985096453</v>
      </c>
      <c r="X249" s="71">
        <f>'Расчет субсидий'!AF249-1</f>
        <v>0</v>
      </c>
      <c r="Y249" s="71">
        <f>X249*'Расчет субсидий'!AG249</f>
        <v>0</v>
      </c>
      <c r="Z249" s="55">
        <f t="shared" si="93"/>
        <v>0</v>
      </c>
      <c r="AA249" s="27" t="s">
        <v>367</v>
      </c>
      <c r="AB249" s="27" t="s">
        <v>367</v>
      </c>
      <c r="AC249" s="27" t="s">
        <v>367</v>
      </c>
      <c r="AD249" s="27" t="s">
        <v>367</v>
      </c>
      <c r="AE249" s="27" t="s">
        <v>367</v>
      </c>
      <c r="AF249" s="27" t="s">
        <v>367</v>
      </c>
      <c r="AG249" s="54">
        <f t="shared" si="94"/>
        <v>4.1646275758008908</v>
      </c>
    </row>
    <row r="250" spans="1:33" ht="15" customHeight="1">
      <c r="A250" s="33" t="s">
        <v>246</v>
      </c>
      <c r="B250" s="52">
        <f>'Расчет субсидий'!AT250</f>
        <v>36.436363636363581</v>
      </c>
      <c r="C250" s="54">
        <f>'Расчет субсидий'!D250-1</f>
        <v>-1</v>
      </c>
      <c r="D250" s="54">
        <f>C250*'Расчет субсидий'!E250</f>
        <v>0</v>
      </c>
      <c r="E250" s="55">
        <f t="shared" si="88"/>
        <v>0</v>
      </c>
      <c r="F250" s="27" t="s">
        <v>367</v>
      </c>
      <c r="G250" s="27" t="s">
        <v>367</v>
      </c>
      <c r="H250" s="27" t="s">
        <v>367</v>
      </c>
      <c r="I250" s="27" t="s">
        <v>367</v>
      </c>
      <c r="J250" s="27" t="s">
        <v>367</v>
      </c>
      <c r="K250" s="27" t="s">
        <v>367</v>
      </c>
      <c r="L250" s="54">
        <f>'Расчет субсидий'!P250-1</f>
        <v>0.23064442759666415</v>
      </c>
      <c r="M250" s="54">
        <f>L250*'Расчет субсидий'!Q250</f>
        <v>4.612888551933283</v>
      </c>
      <c r="N250" s="55">
        <f t="shared" si="89"/>
        <v>23.520228691763897</v>
      </c>
      <c r="O250" s="54">
        <f>'Расчет субсидий'!T250-1</f>
        <v>4.5729402872259906E-2</v>
      </c>
      <c r="P250" s="54">
        <f>O250*'Расчет субсидий'!U250</f>
        <v>1.3718820861677972</v>
      </c>
      <c r="Q250" s="55">
        <f t="shared" si="90"/>
        <v>6.9949620593537842</v>
      </c>
      <c r="R250" s="54">
        <f>'Расчет субсидий'!X250-1</f>
        <v>2.0547945205479534E-2</v>
      </c>
      <c r="S250" s="54">
        <f>R250*'Расчет субсидий'!Y250</f>
        <v>0.41095890410959068</v>
      </c>
      <c r="T250" s="55">
        <f t="shared" si="91"/>
        <v>2.09540015952114</v>
      </c>
      <c r="U250" s="60">
        <f>'Расчет субсидий'!AB250-1</f>
        <v>0.14284518828451875</v>
      </c>
      <c r="V250" s="60">
        <f>U250*'Расчет субсидий'!AC250</f>
        <v>0.71422594142259377</v>
      </c>
      <c r="W250" s="55">
        <f t="shared" si="92"/>
        <v>3.641700268871515</v>
      </c>
      <c r="X250" s="71">
        <f>'Расчет субсидий'!AF250-1</f>
        <v>1.8050541516245744E-3</v>
      </c>
      <c r="Y250" s="71">
        <f>X250*'Расчет субсидий'!AG250</f>
        <v>3.6101083032491488E-2</v>
      </c>
      <c r="Z250" s="55">
        <f t="shared" si="93"/>
        <v>0.18407245685324283</v>
      </c>
      <c r="AA250" s="27" t="s">
        <v>367</v>
      </c>
      <c r="AB250" s="27" t="s">
        <v>367</v>
      </c>
      <c r="AC250" s="27" t="s">
        <v>367</v>
      </c>
      <c r="AD250" s="27" t="s">
        <v>367</v>
      </c>
      <c r="AE250" s="27" t="s">
        <v>367</v>
      </c>
      <c r="AF250" s="27" t="s">
        <v>367</v>
      </c>
      <c r="AG250" s="54">
        <f t="shared" si="94"/>
        <v>7.1460565666657567</v>
      </c>
    </row>
    <row r="251" spans="1:33" ht="15" customHeight="1">
      <c r="A251" s="33" t="s">
        <v>247</v>
      </c>
      <c r="B251" s="52">
        <f>'Расчет субсидий'!AT251</f>
        <v>48.199999999999989</v>
      </c>
      <c r="C251" s="54">
        <f>'Расчет субсидий'!D251-1</f>
        <v>-1</v>
      </c>
      <c r="D251" s="54">
        <f>C251*'Расчет субсидий'!E251</f>
        <v>0</v>
      </c>
      <c r="E251" s="55">
        <f t="shared" si="88"/>
        <v>0</v>
      </c>
      <c r="F251" s="27" t="s">
        <v>367</v>
      </c>
      <c r="G251" s="27" t="s">
        <v>367</v>
      </c>
      <c r="H251" s="27" t="s">
        <v>367</v>
      </c>
      <c r="I251" s="27" t="s">
        <v>367</v>
      </c>
      <c r="J251" s="27" t="s">
        <v>367</v>
      </c>
      <c r="K251" s="27" t="s">
        <v>367</v>
      </c>
      <c r="L251" s="54">
        <f>'Расчет субсидий'!P251-1</f>
        <v>0.23824690531950488</v>
      </c>
      <c r="M251" s="54">
        <f>L251*'Расчет субсидий'!Q251</f>
        <v>4.7649381063900975</v>
      </c>
      <c r="N251" s="55">
        <f t="shared" si="89"/>
        <v>11.899028542139135</v>
      </c>
      <c r="O251" s="54">
        <f>'Расчет субсидий'!T251-1</f>
        <v>0.20960199004975122</v>
      </c>
      <c r="P251" s="54">
        <f>O251*'Расчет субсидий'!U251</f>
        <v>4.1920398009950244</v>
      </c>
      <c r="Q251" s="55">
        <f t="shared" si="90"/>
        <v>10.468383875737874</v>
      </c>
      <c r="R251" s="54">
        <f>'Расчет субсидий'!X251-1</f>
        <v>0.24</v>
      </c>
      <c r="S251" s="54">
        <f>R251*'Расчет субсидий'!Y251</f>
        <v>7.1999999999999993</v>
      </c>
      <c r="T251" s="55">
        <f t="shared" si="91"/>
        <v>17.979877931364648</v>
      </c>
      <c r="U251" s="60">
        <f>'Расчет субсидий'!AB251-1</f>
        <v>0.28109374999999992</v>
      </c>
      <c r="V251" s="60">
        <f>U251*'Расчет субсидий'!AC251</f>
        <v>1.4054687499999996</v>
      </c>
      <c r="W251" s="55">
        <f t="shared" si="92"/>
        <v>3.5097439668538399</v>
      </c>
      <c r="X251" s="71">
        <f>'Расчет субсидий'!AF251-1</f>
        <v>8.6956521739130377E-2</v>
      </c>
      <c r="Y251" s="71">
        <f>X251*'Расчет субсидий'!AG251</f>
        <v>1.7391304347826075</v>
      </c>
      <c r="Z251" s="55">
        <f t="shared" si="93"/>
        <v>4.3429656839045014</v>
      </c>
      <c r="AA251" s="27" t="s">
        <v>367</v>
      </c>
      <c r="AB251" s="27" t="s">
        <v>367</v>
      </c>
      <c r="AC251" s="27" t="s">
        <v>367</v>
      </c>
      <c r="AD251" s="27" t="s">
        <v>367</v>
      </c>
      <c r="AE251" s="27" t="s">
        <v>367</v>
      </c>
      <c r="AF251" s="27" t="s">
        <v>367</v>
      </c>
      <c r="AG251" s="54">
        <f t="shared" si="94"/>
        <v>19.301577092167726</v>
      </c>
    </row>
    <row r="252" spans="1:33" ht="15" customHeight="1">
      <c r="A252" s="33" t="s">
        <v>248</v>
      </c>
      <c r="B252" s="52">
        <f>'Расчет субсидий'!AT252</f>
        <v>29.636363636363626</v>
      </c>
      <c r="C252" s="54">
        <f>'Расчет субсидий'!D252-1</f>
        <v>-1</v>
      </c>
      <c r="D252" s="54">
        <f>C252*'Расчет субсидий'!E252</f>
        <v>0</v>
      </c>
      <c r="E252" s="55">
        <f t="shared" si="88"/>
        <v>0</v>
      </c>
      <c r="F252" s="27" t="s">
        <v>367</v>
      </c>
      <c r="G252" s="27" t="s">
        <v>367</v>
      </c>
      <c r="H252" s="27" t="s">
        <v>367</v>
      </c>
      <c r="I252" s="27" t="s">
        <v>367</v>
      </c>
      <c r="J252" s="27" t="s">
        <v>367</v>
      </c>
      <c r="K252" s="27" t="s">
        <v>367</v>
      </c>
      <c r="L252" s="54">
        <f>'Расчет субсидий'!P252-1</f>
        <v>0.21347840642785409</v>
      </c>
      <c r="M252" s="54">
        <f>L252*'Расчет субсидий'!Q252</f>
        <v>4.2695681285570819</v>
      </c>
      <c r="N252" s="55">
        <f t="shared" si="89"/>
        <v>10.593214601017763</v>
      </c>
      <c r="O252" s="54">
        <f>'Расчет субсидий'!T252-1</f>
        <v>5.8252427184465994E-2</v>
      </c>
      <c r="P252" s="54">
        <f>O252*'Расчет субсидий'!U252</f>
        <v>1.4563106796116498</v>
      </c>
      <c r="Q252" s="55">
        <f t="shared" si="90"/>
        <v>3.6132487151795027</v>
      </c>
      <c r="R252" s="54">
        <f>'Расчет субсидий'!X252-1</f>
        <v>0.30000000000000004</v>
      </c>
      <c r="S252" s="54">
        <f>R252*'Расчет субсидий'!Y252</f>
        <v>7.5000000000000009</v>
      </c>
      <c r="T252" s="55">
        <f t="shared" si="91"/>
        <v>18.60823088317445</v>
      </c>
      <c r="U252" s="60">
        <f>'Расчет субсидий'!AB252-1</f>
        <v>-0.25620360551431598</v>
      </c>
      <c r="V252" s="60">
        <f>U252*'Расчет субсидий'!AC252</f>
        <v>-1.2810180275715799</v>
      </c>
      <c r="W252" s="55">
        <f t="shared" si="92"/>
        <v>-3.178330563008092</v>
      </c>
      <c r="X252" s="71">
        <f>'Расчет субсидий'!AF252-1</f>
        <v>0</v>
      </c>
      <c r="Y252" s="71">
        <f>X252*'Расчет субсидий'!AG252</f>
        <v>0</v>
      </c>
      <c r="Z252" s="55">
        <f t="shared" si="93"/>
        <v>0</v>
      </c>
      <c r="AA252" s="27" t="s">
        <v>367</v>
      </c>
      <c r="AB252" s="27" t="s">
        <v>367</v>
      </c>
      <c r="AC252" s="27" t="s">
        <v>367</v>
      </c>
      <c r="AD252" s="27" t="s">
        <v>367</v>
      </c>
      <c r="AE252" s="27" t="s">
        <v>367</v>
      </c>
      <c r="AF252" s="27" t="s">
        <v>367</v>
      </c>
      <c r="AG252" s="54">
        <f t="shared" si="94"/>
        <v>11.944860780597153</v>
      </c>
    </row>
    <row r="253" spans="1:33" ht="15" customHeight="1">
      <c r="A253" s="33" t="s">
        <v>249</v>
      </c>
      <c r="B253" s="52">
        <f>'Расчет субсидий'!AT253</f>
        <v>35.28181818181821</v>
      </c>
      <c r="C253" s="54">
        <f>'Расчет субсидий'!D253-1</f>
        <v>-9.606318347509113E-2</v>
      </c>
      <c r="D253" s="54">
        <f>C253*'Расчет субсидий'!E253</f>
        <v>-0.9606318347509113</v>
      </c>
      <c r="E253" s="55">
        <f t="shared" si="88"/>
        <v>-2.8617351349798597</v>
      </c>
      <c r="F253" s="27" t="s">
        <v>367</v>
      </c>
      <c r="G253" s="27" t="s">
        <v>367</v>
      </c>
      <c r="H253" s="27" t="s">
        <v>367</v>
      </c>
      <c r="I253" s="27" t="s">
        <v>367</v>
      </c>
      <c r="J253" s="27" t="s">
        <v>367</v>
      </c>
      <c r="K253" s="27" t="s">
        <v>367</v>
      </c>
      <c r="L253" s="54">
        <f>'Расчет субсидий'!P253-1</f>
        <v>-5.1024279210925672E-2</v>
      </c>
      <c r="M253" s="54">
        <f>L253*'Расчет субсидий'!Q253</f>
        <v>-1.0204855842185134</v>
      </c>
      <c r="N253" s="55">
        <f t="shared" si="89"/>
        <v>-3.0400402583533039</v>
      </c>
      <c r="O253" s="54">
        <f>'Расчет субсидий'!T253-1</f>
        <v>0.21749385749385741</v>
      </c>
      <c r="P253" s="54">
        <f>O253*'Расчет субсидий'!U253</f>
        <v>6.5248157248157224</v>
      </c>
      <c r="Q253" s="55">
        <f t="shared" si="90"/>
        <v>19.437513658722228</v>
      </c>
      <c r="R253" s="54">
        <f>'Расчет субсидий'!X253-1</f>
        <v>0.30000000000000004</v>
      </c>
      <c r="S253" s="54">
        <f>R253*'Расчет субсидий'!Y253</f>
        <v>6.0000000000000009</v>
      </c>
      <c r="T253" s="55">
        <f t="shared" si="91"/>
        <v>17.874080567329305</v>
      </c>
      <c r="U253" s="60">
        <f>'Расчет субсидий'!AB253-1</f>
        <v>3.5415325177077239E-3</v>
      </c>
      <c r="V253" s="60">
        <f>U253*'Расчет субсидий'!AC253</f>
        <v>1.770766258853862E-2</v>
      </c>
      <c r="W253" s="55">
        <f t="shared" si="92"/>
        <v>5.2751364627770372E-2</v>
      </c>
      <c r="X253" s="71">
        <f>'Расчет субсидий'!AF253-1</f>
        <v>6.4102564102564097E-2</v>
      </c>
      <c r="Y253" s="71">
        <f>X253*'Расчет субсидий'!AG253</f>
        <v>1.2820512820512819</v>
      </c>
      <c r="Z253" s="55">
        <f t="shared" si="93"/>
        <v>3.819247984472073</v>
      </c>
      <c r="AA253" s="27" t="s">
        <v>367</v>
      </c>
      <c r="AB253" s="27" t="s">
        <v>367</v>
      </c>
      <c r="AC253" s="27" t="s">
        <v>367</v>
      </c>
      <c r="AD253" s="27" t="s">
        <v>367</v>
      </c>
      <c r="AE253" s="27" t="s">
        <v>367</v>
      </c>
      <c r="AF253" s="27" t="s">
        <v>367</v>
      </c>
      <c r="AG253" s="54">
        <f t="shared" si="94"/>
        <v>11.843457250486118</v>
      </c>
    </row>
    <row r="254" spans="1:33" ht="15" customHeight="1">
      <c r="A254" s="32" t="s">
        <v>250</v>
      </c>
      <c r="B254" s="56"/>
      <c r="C254" s="57"/>
      <c r="D254" s="57"/>
      <c r="E254" s="58"/>
      <c r="F254" s="57"/>
      <c r="G254" s="57"/>
      <c r="H254" s="58"/>
      <c r="I254" s="58"/>
      <c r="J254" s="58"/>
      <c r="K254" s="58"/>
      <c r="L254" s="57"/>
      <c r="M254" s="57"/>
      <c r="N254" s="58"/>
      <c r="O254" s="57"/>
      <c r="P254" s="57"/>
      <c r="Q254" s="58"/>
      <c r="R254" s="57"/>
      <c r="S254" s="57"/>
      <c r="T254" s="58"/>
      <c r="U254" s="58"/>
      <c r="V254" s="58"/>
      <c r="W254" s="58"/>
      <c r="X254" s="73"/>
      <c r="Y254" s="73"/>
      <c r="Z254" s="58"/>
      <c r="AA254" s="58"/>
      <c r="AB254" s="58"/>
      <c r="AC254" s="58"/>
      <c r="AD254" s="58"/>
      <c r="AE254" s="58"/>
      <c r="AF254" s="58"/>
      <c r="AG254" s="58"/>
    </row>
    <row r="255" spans="1:33" ht="15" customHeight="1">
      <c r="A255" s="33" t="s">
        <v>251</v>
      </c>
      <c r="B255" s="52">
        <f>'Расчет субсидий'!AT255</f>
        <v>-20.336363636363615</v>
      </c>
      <c r="C255" s="54">
        <f>'Расчет субсидий'!D255-1</f>
        <v>-1</v>
      </c>
      <c r="D255" s="54">
        <f>C255*'Расчет субсидий'!E255</f>
        <v>0</v>
      </c>
      <c r="E255" s="55">
        <f t="shared" ref="E255:E261" si="95">$B255*D255/$AG255</f>
        <v>0</v>
      </c>
      <c r="F255" s="27" t="s">
        <v>367</v>
      </c>
      <c r="G255" s="27" t="s">
        <v>367</v>
      </c>
      <c r="H255" s="27" t="s">
        <v>367</v>
      </c>
      <c r="I255" s="27" t="s">
        <v>367</v>
      </c>
      <c r="J255" s="27" t="s">
        <v>367</v>
      </c>
      <c r="K255" s="27" t="s">
        <v>367</v>
      </c>
      <c r="L255" s="54">
        <f>'Расчет субсидий'!P255-1</f>
        <v>-0.36868217054263563</v>
      </c>
      <c r="M255" s="54">
        <f>L255*'Расчет субсидий'!Q255</f>
        <v>-7.3736434108527131</v>
      </c>
      <c r="N255" s="55">
        <f t="shared" ref="N255:N261" si="96">$B255*M255/$AG255</f>
        <v>-27.643933668691162</v>
      </c>
      <c r="O255" s="54">
        <f>'Расчет субсидий'!T255-1</f>
        <v>4.8648648648648596E-2</v>
      </c>
      <c r="P255" s="54">
        <f>O255*'Расчет субсидий'!U255</f>
        <v>1.2162162162162149</v>
      </c>
      <c r="Q255" s="55">
        <f t="shared" ref="Q255:Q261" si="97">$B255*P255/$AG255</f>
        <v>4.5596184321014714</v>
      </c>
      <c r="R255" s="54">
        <f>'Расчет субсидий'!X255-1</f>
        <v>5.0000000000000044E-2</v>
      </c>
      <c r="S255" s="54">
        <f>R255*'Расчет субсидий'!Y255</f>
        <v>1.2500000000000011</v>
      </c>
      <c r="T255" s="55">
        <f t="shared" ref="T255:T261" si="98">$B255*S255/$AG255</f>
        <v>4.6862744996598549</v>
      </c>
      <c r="U255" s="60">
        <f>'Расчет субсидий'!AB255-1</f>
        <v>-0.10340425531914899</v>
      </c>
      <c r="V255" s="60">
        <f>U255*'Расчет субсидий'!AC255</f>
        <v>-0.51702127659574493</v>
      </c>
      <c r="W255" s="55">
        <f t="shared" si="92"/>
        <v>-1.9383228994337776</v>
      </c>
      <c r="X255" s="71">
        <f>'Расчет субсидий'!AF255-1</f>
        <v>0</v>
      </c>
      <c r="Y255" s="71">
        <f>X255*'Расчет субсидий'!AG255</f>
        <v>0</v>
      </c>
      <c r="Z255" s="55">
        <f t="shared" si="93"/>
        <v>0</v>
      </c>
      <c r="AA255" s="27" t="s">
        <v>367</v>
      </c>
      <c r="AB255" s="27" t="s">
        <v>367</v>
      </c>
      <c r="AC255" s="27" t="s">
        <v>367</v>
      </c>
      <c r="AD255" s="27" t="s">
        <v>367</v>
      </c>
      <c r="AE255" s="27" t="s">
        <v>367</v>
      </c>
      <c r="AF255" s="27" t="s">
        <v>367</v>
      </c>
      <c r="AG255" s="54">
        <f t="shared" si="94"/>
        <v>-5.4244484712322425</v>
      </c>
    </row>
    <row r="256" spans="1:33" ht="15" customHeight="1">
      <c r="A256" s="33" t="s">
        <v>252</v>
      </c>
      <c r="B256" s="52">
        <f>'Расчет субсидий'!AT256</f>
        <v>-21.409090909090907</v>
      </c>
      <c r="C256" s="54">
        <f>'Расчет субсидий'!D256-1</f>
        <v>-1</v>
      </c>
      <c r="D256" s="54">
        <f>C256*'Расчет субсидий'!E256</f>
        <v>0</v>
      </c>
      <c r="E256" s="55">
        <f t="shared" si="95"/>
        <v>0</v>
      </c>
      <c r="F256" s="27" t="s">
        <v>367</v>
      </c>
      <c r="G256" s="27" t="s">
        <v>367</v>
      </c>
      <c r="H256" s="27" t="s">
        <v>367</v>
      </c>
      <c r="I256" s="27" t="s">
        <v>367</v>
      </c>
      <c r="J256" s="27" t="s">
        <v>367</v>
      </c>
      <c r="K256" s="27" t="s">
        <v>367</v>
      </c>
      <c r="L256" s="54">
        <f>'Расчет субсидий'!P256-1</f>
        <v>-0.48313539192399046</v>
      </c>
      <c r="M256" s="54">
        <f>L256*'Расчет субсидий'!Q256</f>
        <v>-9.6627078384798093</v>
      </c>
      <c r="N256" s="55">
        <f t="shared" si="96"/>
        <v>-17.852249026676915</v>
      </c>
      <c r="O256" s="54">
        <f>'Расчет субсидий'!T256-1</f>
        <v>0</v>
      </c>
      <c r="P256" s="54">
        <f>O256*'Расчет субсидий'!U256</f>
        <v>0</v>
      </c>
      <c r="Q256" s="55">
        <f t="shared" si="97"/>
        <v>0</v>
      </c>
      <c r="R256" s="54">
        <f>'Расчет субсидий'!X256-1</f>
        <v>0</v>
      </c>
      <c r="S256" s="54">
        <f>R256*'Расчет субсидий'!Y256</f>
        <v>0</v>
      </c>
      <c r="T256" s="55">
        <f t="shared" si="98"/>
        <v>0</v>
      </c>
      <c r="U256" s="60">
        <f>'Расчет субсидий'!AB256-1</f>
        <v>-0.38503522873871188</v>
      </c>
      <c r="V256" s="60">
        <f>U256*'Расчет субсидий'!AC256</f>
        <v>-1.9251761436935593</v>
      </c>
      <c r="W256" s="55">
        <f t="shared" si="92"/>
        <v>-3.556841882413992</v>
      </c>
      <c r="X256" s="71">
        <f>'Расчет субсидий'!AF256-1</f>
        <v>0</v>
      </c>
      <c r="Y256" s="71">
        <f>X256*'Расчет субсидий'!AG256</f>
        <v>0</v>
      </c>
      <c r="Z256" s="55">
        <f t="shared" si="93"/>
        <v>0</v>
      </c>
      <c r="AA256" s="27" t="s">
        <v>367</v>
      </c>
      <c r="AB256" s="27" t="s">
        <v>367</v>
      </c>
      <c r="AC256" s="27" t="s">
        <v>367</v>
      </c>
      <c r="AD256" s="27" t="s">
        <v>367</v>
      </c>
      <c r="AE256" s="27" t="s">
        <v>367</v>
      </c>
      <c r="AF256" s="27" t="s">
        <v>367</v>
      </c>
      <c r="AG256" s="54">
        <f t="shared" si="94"/>
        <v>-11.587883982173368</v>
      </c>
    </row>
    <row r="257" spans="1:33" ht="15" customHeight="1">
      <c r="A257" s="33" t="s">
        <v>253</v>
      </c>
      <c r="B257" s="52">
        <f>'Расчет субсидий'!AT257</f>
        <v>29.409090909090935</v>
      </c>
      <c r="C257" s="54">
        <f>'Расчет субсидий'!D257-1</f>
        <v>-1</v>
      </c>
      <c r="D257" s="54">
        <f>C257*'Расчет субсидий'!E257</f>
        <v>0</v>
      </c>
      <c r="E257" s="55">
        <f t="shared" si="95"/>
        <v>0</v>
      </c>
      <c r="F257" s="27" t="s">
        <v>367</v>
      </c>
      <c r="G257" s="27" t="s">
        <v>367</v>
      </c>
      <c r="H257" s="27" t="s">
        <v>367</v>
      </c>
      <c r="I257" s="27" t="s">
        <v>367</v>
      </c>
      <c r="J257" s="27" t="s">
        <v>367</v>
      </c>
      <c r="K257" s="27" t="s">
        <v>367</v>
      </c>
      <c r="L257" s="54">
        <f>'Расчет субсидий'!P257-1</f>
        <v>0.23104370515329409</v>
      </c>
      <c r="M257" s="54">
        <f>L257*'Расчет субсидий'!Q257</f>
        <v>4.6208741030658818</v>
      </c>
      <c r="N257" s="55">
        <f t="shared" si="96"/>
        <v>15.985322022533884</v>
      </c>
      <c r="O257" s="54">
        <f>'Расчет субсидий'!T257-1</f>
        <v>0.13617021276595742</v>
      </c>
      <c r="P257" s="54">
        <f>O257*'Расчет субсидий'!U257</f>
        <v>3.4042553191489358</v>
      </c>
      <c r="Q257" s="55">
        <f t="shared" si="97"/>
        <v>11.776585189242439</v>
      </c>
      <c r="R257" s="54">
        <f>'Расчет субсидий'!X257-1</f>
        <v>2.2222222222222143E-2</v>
      </c>
      <c r="S257" s="54">
        <f>R257*'Расчет субсидий'!Y257</f>
        <v>0.55555555555555358</v>
      </c>
      <c r="T257" s="55">
        <f t="shared" si="98"/>
        <v>1.921873277411086</v>
      </c>
      <c r="U257" s="60">
        <f>'Расчет субсидий'!AB257-1</f>
        <v>-1.5880893300248111E-2</v>
      </c>
      <c r="V257" s="60">
        <f>U257*'Расчет субсидий'!AC257</f>
        <v>-7.9404466501240556E-2</v>
      </c>
      <c r="W257" s="55">
        <f t="shared" si="92"/>
        <v>-0.27468958009647332</v>
      </c>
      <c r="X257" s="71">
        <f>'Расчет субсидий'!AF257-1</f>
        <v>0</v>
      </c>
      <c r="Y257" s="71">
        <f>X257*'Расчет субсидий'!AG257</f>
        <v>0</v>
      </c>
      <c r="Z257" s="55">
        <f t="shared" si="93"/>
        <v>0</v>
      </c>
      <c r="AA257" s="27" t="s">
        <v>367</v>
      </c>
      <c r="AB257" s="27" t="s">
        <v>367</v>
      </c>
      <c r="AC257" s="27" t="s">
        <v>367</v>
      </c>
      <c r="AD257" s="27" t="s">
        <v>367</v>
      </c>
      <c r="AE257" s="27" t="s">
        <v>367</v>
      </c>
      <c r="AF257" s="27" t="s">
        <v>367</v>
      </c>
      <c r="AG257" s="54">
        <f t="shared" si="94"/>
        <v>8.5012805112691296</v>
      </c>
    </row>
    <row r="258" spans="1:33" ht="15" customHeight="1">
      <c r="A258" s="33" t="s">
        <v>254</v>
      </c>
      <c r="B258" s="52">
        <f>'Расчет субсидий'!AT258</f>
        <v>-5.9818181818181841</v>
      </c>
      <c r="C258" s="54">
        <f>'Расчет субсидий'!D258-1</f>
        <v>-0.9560140783106027</v>
      </c>
      <c r="D258" s="54">
        <f>C258*'Расчет субсидий'!E258</f>
        <v>-9.5601407831060268</v>
      </c>
      <c r="E258" s="55">
        <f t="shared" si="95"/>
        <v>-8.3860936690570895</v>
      </c>
      <c r="F258" s="27" t="s">
        <v>367</v>
      </c>
      <c r="G258" s="27" t="s">
        <v>367</v>
      </c>
      <c r="H258" s="27" t="s">
        <v>367</v>
      </c>
      <c r="I258" s="27" t="s">
        <v>367</v>
      </c>
      <c r="J258" s="27" t="s">
        <v>367</v>
      </c>
      <c r="K258" s="27" t="s">
        <v>367</v>
      </c>
      <c r="L258" s="54">
        <f>'Расчет субсидий'!P258-1</f>
        <v>-0.48949579831932777</v>
      </c>
      <c r="M258" s="54">
        <f>L258*'Расчет субсидий'!Q258</f>
        <v>-9.7899159663865554</v>
      </c>
      <c r="N258" s="55">
        <f t="shared" si="96"/>
        <v>-8.5876509738637701</v>
      </c>
      <c r="O258" s="54">
        <f>'Расчет субсидий'!T258-1</f>
        <v>0.19795918367346954</v>
      </c>
      <c r="P258" s="54">
        <f>O258*'Расчет субсидий'!U258</f>
        <v>1.9795918367346954</v>
      </c>
      <c r="Q258" s="55">
        <f t="shared" si="97"/>
        <v>1.7364851570694502</v>
      </c>
      <c r="R258" s="54">
        <f>'Расчет субсидий'!X258-1</f>
        <v>0.18148148148148135</v>
      </c>
      <c r="S258" s="54">
        <f>R258*'Расчет субсидий'!Y258</f>
        <v>7.2592592592592542</v>
      </c>
      <c r="T258" s="55">
        <f t="shared" si="98"/>
        <v>6.3677752762485582</v>
      </c>
      <c r="U258" s="60">
        <f>'Расчет субсидий'!AB258-1</f>
        <v>-0.17111826226870475</v>
      </c>
      <c r="V258" s="60">
        <f>U258*'Расчет субсидий'!AC258</f>
        <v>-0.85559131134352373</v>
      </c>
      <c r="W258" s="55">
        <f t="shared" si="92"/>
        <v>-0.75051916516098061</v>
      </c>
      <c r="X258" s="71">
        <f>'Расчет субсидий'!AF258-1</f>
        <v>0.2073764258555133</v>
      </c>
      <c r="Y258" s="71">
        <f>X258*'Расчет субсидий'!AG258</f>
        <v>4.147528517110266</v>
      </c>
      <c r="Z258" s="55">
        <f t="shared" si="93"/>
        <v>3.6381851929456461</v>
      </c>
      <c r="AA258" s="27" t="s">
        <v>367</v>
      </c>
      <c r="AB258" s="27" t="s">
        <v>367</v>
      </c>
      <c r="AC258" s="27" t="s">
        <v>367</v>
      </c>
      <c r="AD258" s="27" t="s">
        <v>367</v>
      </c>
      <c r="AE258" s="27" t="s">
        <v>367</v>
      </c>
      <c r="AF258" s="27" t="s">
        <v>367</v>
      </c>
      <c r="AG258" s="54">
        <f t="shared" si="94"/>
        <v>-6.819268447731889</v>
      </c>
    </row>
    <row r="259" spans="1:33" ht="15" customHeight="1">
      <c r="A259" s="33" t="s">
        <v>255</v>
      </c>
      <c r="B259" s="52">
        <f>'Расчет субсидий'!AT259</f>
        <v>61.481818181818085</v>
      </c>
      <c r="C259" s="54">
        <f>'Расчет субсидий'!D259-1</f>
        <v>0.21477572559366753</v>
      </c>
      <c r="D259" s="54">
        <f>C259*'Расчет субсидий'!E259</f>
        <v>2.1477572559366753</v>
      </c>
      <c r="E259" s="55">
        <f t="shared" si="95"/>
        <v>12.529147417880869</v>
      </c>
      <c r="F259" s="27" t="s">
        <v>367</v>
      </c>
      <c r="G259" s="27" t="s">
        <v>367</v>
      </c>
      <c r="H259" s="27" t="s">
        <v>367</v>
      </c>
      <c r="I259" s="27" t="s">
        <v>367</v>
      </c>
      <c r="J259" s="27" t="s">
        <v>367</v>
      </c>
      <c r="K259" s="27" t="s">
        <v>367</v>
      </c>
      <c r="L259" s="54">
        <f>'Расчет субсидий'!P259-1</f>
        <v>0.21523139745916509</v>
      </c>
      <c r="M259" s="54">
        <f>L259*'Расчет субсидий'!Q259</f>
        <v>4.3046279491833017</v>
      </c>
      <c r="N259" s="55">
        <f t="shared" si="96"/>
        <v>25.111458944147063</v>
      </c>
      <c r="O259" s="54">
        <f>'Расчет субсидий'!T259-1</f>
        <v>0.1827586206896552</v>
      </c>
      <c r="P259" s="54">
        <f>O259*'Расчет субсидий'!U259</f>
        <v>1.827586206896552</v>
      </c>
      <c r="Q259" s="55">
        <f t="shared" si="97"/>
        <v>10.66139897411561</v>
      </c>
      <c r="R259" s="54">
        <f>'Расчет субсидий'!X259-1</f>
        <v>3.7037037037037646E-3</v>
      </c>
      <c r="S259" s="54">
        <f>R259*'Расчет субсидий'!Y259</f>
        <v>0.14814814814815058</v>
      </c>
      <c r="T259" s="55">
        <f t="shared" si="98"/>
        <v>0.86423639482699566</v>
      </c>
      <c r="U259" s="60">
        <f>'Расчет субсидий'!AB259-1</f>
        <v>-1.2425571921027889E-2</v>
      </c>
      <c r="V259" s="60">
        <f>U259*'Расчет субсидий'!AC259</f>
        <v>-6.2127859605139446E-2</v>
      </c>
      <c r="W259" s="55">
        <f t="shared" si="92"/>
        <v>-0.36242881247337233</v>
      </c>
      <c r="X259" s="71">
        <f>'Расчет субсидий'!AF259-1</f>
        <v>0.10866372980910421</v>
      </c>
      <c r="Y259" s="71">
        <f>X259*'Расчет субсидий'!AG259</f>
        <v>2.1732745961820843</v>
      </c>
      <c r="Z259" s="55">
        <f t="shared" si="93"/>
        <v>12.678005263320914</v>
      </c>
      <c r="AA259" s="27" t="s">
        <v>367</v>
      </c>
      <c r="AB259" s="27" t="s">
        <v>367</v>
      </c>
      <c r="AC259" s="27" t="s">
        <v>367</v>
      </c>
      <c r="AD259" s="27" t="s">
        <v>367</v>
      </c>
      <c r="AE259" s="27" t="s">
        <v>367</v>
      </c>
      <c r="AF259" s="27" t="s">
        <v>367</v>
      </c>
      <c r="AG259" s="54">
        <f t="shared" si="94"/>
        <v>10.539266296741625</v>
      </c>
    </row>
    <row r="260" spans="1:33" ht="15" customHeight="1">
      <c r="A260" s="33" t="s">
        <v>256</v>
      </c>
      <c r="B260" s="52">
        <f>'Расчет субсидий'!AT260</f>
        <v>10.654545454545428</v>
      </c>
      <c r="C260" s="54">
        <f>'Расчет субсидий'!D260-1</f>
        <v>-2.0998352179101065E-2</v>
      </c>
      <c r="D260" s="54">
        <f>C260*'Расчет субсидий'!E260</f>
        <v>-0.20998352179101065</v>
      </c>
      <c r="E260" s="55">
        <f t="shared" si="95"/>
        <v>-0.84695582881257681</v>
      </c>
      <c r="F260" s="27" t="s">
        <v>367</v>
      </c>
      <c r="G260" s="27" t="s">
        <v>367</v>
      </c>
      <c r="H260" s="27" t="s">
        <v>367</v>
      </c>
      <c r="I260" s="27" t="s">
        <v>367</v>
      </c>
      <c r="J260" s="27" t="s">
        <v>367</v>
      </c>
      <c r="K260" s="27" t="s">
        <v>367</v>
      </c>
      <c r="L260" s="54">
        <f>'Расчет субсидий'!P260-1</f>
        <v>2.9173887926054354E-2</v>
      </c>
      <c r="M260" s="54">
        <f>L260*'Расчет субсидий'!Q260</f>
        <v>0.58347775852108708</v>
      </c>
      <c r="N260" s="55">
        <f t="shared" si="96"/>
        <v>2.353422232120538</v>
      </c>
      <c r="O260" s="54">
        <f>'Расчет субсидий'!T260-1</f>
        <v>3.3898305084745672E-2</v>
      </c>
      <c r="P260" s="54">
        <f>O260*'Расчет субсидий'!U260</f>
        <v>0.84745762711864181</v>
      </c>
      <c r="Q260" s="55">
        <f t="shared" si="97"/>
        <v>3.4181690583995916</v>
      </c>
      <c r="R260" s="54">
        <f>'Расчет субсидий'!X260-1</f>
        <v>8.4375000000000089E-2</v>
      </c>
      <c r="S260" s="54">
        <f>R260*'Расчет субсидий'!Y260</f>
        <v>2.1093750000000022</v>
      </c>
      <c r="T260" s="55">
        <f t="shared" si="98"/>
        <v>8.5080364219227658</v>
      </c>
      <c r="U260" s="60">
        <f>'Расчет субсидий'!AB260-1</f>
        <v>-7.7046446613369901E-2</v>
      </c>
      <c r="V260" s="60">
        <f>U260*'Расчет субсидий'!AC260</f>
        <v>-0.38523223306684951</v>
      </c>
      <c r="W260" s="55">
        <f t="shared" si="92"/>
        <v>-1.5538109012534003</v>
      </c>
      <c r="X260" s="71">
        <f>'Расчет субсидий'!AF260-1</f>
        <v>-1.5177065767284947E-2</v>
      </c>
      <c r="Y260" s="71">
        <f>X260*'Расчет субсидий'!AG260</f>
        <v>-0.30354131534569895</v>
      </c>
      <c r="Z260" s="55">
        <f t="shared" si="93"/>
        <v>-1.224315527831489</v>
      </c>
      <c r="AA260" s="27" t="s">
        <v>367</v>
      </c>
      <c r="AB260" s="27" t="s">
        <v>367</v>
      </c>
      <c r="AC260" s="27" t="s">
        <v>367</v>
      </c>
      <c r="AD260" s="27" t="s">
        <v>367</v>
      </c>
      <c r="AE260" s="27" t="s">
        <v>367</v>
      </c>
      <c r="AF260" s="27" t="s">
        <v>367</v>
      </c>
      <c r="AG260" s="54">
        <f t="shared" si="94"/>
        <v>2.6415533154361719</v>
      </c>
    </row>
    <row r="261" spans="1:33" ht="15" customHeight="1">
      <c r="A261" s="33" t="s">
        <v>257</v>
      </c>
      <c r="B261" s="52">
        <f>'Расчет субсидий'!AT261</f>
        <v>1.7272727272727195</v>
      </c>
      <c r="C261" s="54">
        <f>'Расчет субсидий'!D261-1</f>
        <v>-0.16413099535843223</v>
      </c>
      <c r="D261" s="54">
        <f>C261*'Расчет субсидий'!E261</f>
        <v>-1.6413099535843223</v>
      </c>
      <c r="E261" s="55">
        <f t="shared" si="95"/>
        <v>-1.5576353370646747</v>
      </c>
      <c r="F261" s="27" t="s">
        <v>367</v>
      </c>
      <c r="G261" s="27" t="s">
        <v>367</v>
      </c>
      <c r="H261" s="27" t="s">
        <v>367</v>
      </c>
      <c r="I261" s="27" t="s">
        <v>367</v>
      </c>
      <c r="J261" s="27" t="s">
        <v>367</v>
      </c>
      <c r="K261" s="27" t="s">
        <v>367</v>
      </c>
      <c r="L261" s="54">
        <f>'Расчет субсидий'!P261-1</f>
        <v>0.13288224790903125</v>
      </c>
      <c r="M261" s="54">
        <f>L261*'Расчет субсидий'!Q261</f>
        <v>2.657644958180625</v>
      </c>
      <c r="N261" s="55">
        <f t="shared" si="96"/>
        <v>2.5221571898675728</v>
      </c>
      <c r="O261" s="54">
        <f>'Расчет субсидий'!T261-1</f>
        <v>8.7499999999999911E-2</v>
      </c>
      <c r="P261" s="54">
        <f>O261*'Расчет субсидий'!U261</f>
        <v>1.3124999999999987</v>
      </c>
      <c r="Q261" s="55">
        <f t="shared" si="97"/>
        <v>1.2455882421432916</v>
      </c>
      <c r="R261" s="54">
        <f>'Расчет субсидий'!X261-1</f>
        <v>-8.6956521739129933E-3</v>
      </c>
      <c r="S261" s="54">
        <f>R261*'Расчет субсидий'!Y261</f>
        <v>-0.30434782608695476</v>
      </c>
      <c r="T261" s="55">
        <f t="shared" si="98"/>
        <v>-0.28883205614916768</v>
      </c>
      <c r="U261" s="60">
        <f>'Расчет субсидий'!AB261-1</f>
        <v>-4.0885416666666674E-2</v>
      </c>
      <c r="V261" s="60">
        <f>U261*'Расчет субсидий'!AC261</f>
        <v>-0.20442708333333337</v>
      </c>
      <c r="W261" s="55">
        <f t="shared" si="92"/>
        <v>-0.19400531152430259</v>
      </c>
      <c r="X261" s="71">
        <f>'Расчет субсидий'!AF261-1</f>
        <v>0</v>
      </c>
      <c r="Y261" s="71">
        <f>X261*'Расчет субсидий'!AG261</f>
        <v>0</v>
      </c>
      <c r="Z261" s="55">
        <f t="shared" si="93"/>
        <v>0</v>
      </c>
      <c r="AA261" s="27" t="s">
        <v>367</v>
      </c>
      <c r="AB261" s="27" t="s">
        <v>367</v>
      </c>
      <c r="AC261" s="27" t="s">
        <v>367</v>
      </c>
      <c r="AD261" s="27" t="s">
        <v>367</v>
      </c>
      <c r="AE261" s="27" t="s">
        <v>367</v>
      </c>
      <c r="AF261" s="27" t="s">
        <v>367</v>
      </c>
      <c r="AG261" s="54">
        <f t="shared" si="94"/>
        <v>1.8200600951760131</v>
      </c>
    </row>
    <row r="262" spans="1:33" ht="15" customHeight="1">
      <c r="A262" s="32" t="s">
        <v>258</v>
      </c>
      <c r="B262" s="56"/>
      <c r="C262" s="57"/>
      <c r="D262" s="57"/>
      <c r="E262" s="58"/>
      <c r="F262" s="57"/>
      <c r="G262" s="57"/>
      <c r="H262" s="58"/>
      <c r="I262" s="58"/>
      <c r="J262" s="58"/>
      <c r="K262" s="58"/>
      <c r="L262" s="57"/>
      <c r="M262" s="57"/>
      <c r="N262" s="58"/>
      <c r="O262" s="57"/>
      <c r="P262" s="57"/>
      <c r="Q262" s="58"/>
      <c r="R262" s="57"/>
      <c r="S262" s="57"/>
      <c r="T262" s="58"/>
      <c r="U262" s="58"/>
      <c r="V262" s="58"/>
      <c r="W262" s="58"/>
      <c r="X262" s="73"/>
      <c r="Y262" s="73"/>
      <c r="Z262" s="58"/>
      <c r="AA262" s="58"/>
      <c r="AB262" s="58"/>
      <c r="AC262" s="58"/>
      <c r="AD262" s="58"/>
      <c r="AE262" s="58"/>
      <c r="AF262" s="58"/>
      <c r="AG262" s="58"/>
    </row>
    <row r="263" spans="1:33" ht="15" customHeight="1">
      <c r="A263" s="33" t="s">
        <v>259</v>
      </c>
      <c r="B263" s="52">
        <f>'Расчет субсидий'!AT263</f>
        <v>8.9454545454545524</v>
      </c>
      <c r="C263" s="54">
        <f>'Расчет субсидий'!D263-1</f>
        <v>-1</v>
      </c>
      <c r="D263" s="54">
        <f>C263*'Расчет субсидий'!E263</f>
        <v>0</v>
      </c>
      <c r="E263" s="55">
        <f t="shared" ref="E263:E279" si="99">$B263*D263/$AG263</f>
        <v>0</v>
      </c>
      <c r="F263" s="27" t="s">
        <v>367</v>
      </c>
      <c r="G263" s="27" t="s">
        <v>367</v>
      </c>
      <c r="H263" s="27" t="s">
        <v>367</v>
      </c>
      <c r="I263" s="27" t="s">
        <v>367</v>
      </c>
      <c r="J263" s="27" t="s">
        <v>367</v>
      </c>
      <c r="K263" s="27" t="s">
        <v>367</v>
      </c>
      <c r="L263" s="54">
        <f>'Расчет субсидий'!P263-1</f>
        <v>0.30000000000000004</v>
      </c>
      <c r="M263" s="54">
        <f>L263*'Расчет субсидий'!Q263</f>
        <v>6.0000000000000009</v>
      </c>
      <c r="N263" s="55">
        <f t="shared" ref="N263:N279" si="100">$B263*M263/$AG263</f>
        <v>5.4830677434387258</v>
      </c>
      <c r="O263" s="54">
        <f>'Расчет субсидий'!T263-1</f>
        <v>0</v>
      </c>
      <c r="P263" s="54">
        <f>O263*'Расчет субсидий'!U263</f>
        <v>0</v>
      </c>
      <c r="Q263" s="55">
        <f t="shared" ref="Q263:Q279" si="101">$B263*P263/$AG263</f>
        <v>0</v>
      </c>
      <c r="R263" s="54">
        <f>'Расчет субсидий'!X263-1</f>
        <v>0</v>
      </c>
      <c r="S263" s="54">
        <f>R263*'Расчет субсидий'!Y263</f>
        <v>0</v>
      </c>
      <c r="T263" s="55">
        <f t="shared" ref="T263:T279" si="102">$B263*S263/$AG263</f>
        <v>0</v>
      </c>
      <c r="U263" s="60">
        <f>'Расчет субсидий'!AB263-1</f>
        <v>-0.22890397672162943</v>
      </c>
      <c r="V263" s="60">
        <f>U263*'Расчет субсидий'!AC263</f>
        <v>-1.1445198836081472</v>
      </c>
      <c r="W263" s="55">
        <f t="shared" si="92"/>
        <v>-1.0459133425893459</v>
      </c>
      <c r="X263" s="71">
        <f>'Расчет субсидий'!AF263-1</f>
        <v>0.24666666666666659</v>
      </c>
      <c r="Y263" s="71">
        <f>X263*'Расчет субсидий'!AG263</f>
        <v>4.9333333333333318</v>
      </c>
      <c r="Z263" s="55">
        <f t="shared" si="93"/>
        <v>4.5083001446051725</v>
      </c>
      <c r="AA263" s="27" t="s">
        <v>367</v>
      </c>
      <c r="AB263" s="27" t="s">
        <v>367</v>
      </c>
      <c r="AC263" s="27" t="s">
        <v>367</v>
      </c>
      <c r="AD263" s="27" t="s">
        <v>367</v>
      </c>
      <c r="AE263" s="27" t="s">
        <v>367</v>
      </c>
      <c r="AF263" s="27" t="s">
        <v>367</v>
      </c>
      <c r="AG263" s="54">
        <f t="shared" si="94"/>
        <v>9.7888134497251862</v>
      </c>
    </row>
    <row r="264" spans="1:33" ht="15" customHeight="1">
      <c r="A264" s="33" t="s">
        <v>260</v>
      </c>
      <c r="B264" s="52">
        <f>'Расчет субсидий'!AT264</f>
        <v>14.327272727272714</v>
      </c>
      <c r="C264" s="54">
        <f>'Расчет субсидий'!D264-1</f>
        <v>-1</v>
      </c>
      <c r="D264" s="54">
        <f>C264*'Расчет субсидий'!E264</f>
        <v>0</v>
      </c>
      <c r="E264" s="55">
        <f t="shared" si="99"/>
        <v>0</v>
      </c>
      <c r="F264" s="27" t="s">
        <v>367</v>
      </c>
      <c r="G264" s="27" t="s">
        <v>367</v>
      </c>
      <c r="H264" s="27" t="s">
        <v>367</v>
      </c>
      <c r="I264" s="27" t="s">
        <v>367</v>
      </c>
      <c r="J264" s="27" t="s">
        <v>367</v>
      </c>
      <c r="K264" s="27" t="s">
        <v>367</v>
      </c>
      <c r="L264" s="54">
        <f>'Расчет субсидий'!P264-1</f>
        <v>0.16628830874006817</v>
      </c>
      <c r="M264" s="54">
        <f>L264*'Расчет субсидий'!Q264</f>
        <v>3.3257661748013634</v>
      </c>
      <c r="N264" s="55">
        <f t="shared" si="100"/>
        <v>4.9600384469173555</v>
      </c>
      <c r="O264" s="54">
        <f>'Расчет субсидий'!T264-1</f>
        <v>0</v>
      </c>
      <c r="P264" s="54">
        <f>O264*'Расчет субсидий'!U264</f>
        <v>0</v>
      </c>
      <c r="Q264" s="55">
        <f t="shared" si="101"/>
        <v>0</v>
      </c>
      <c r="R264" s="54">
        <f>'Расчет субсидий'!X264-1</f>
        <v>0.21333333333333337</v>
      </c>
      <c r="S264" s="54">
        <f>R264*'Расчет субсидий'!Y264</f>
        <v>6.4000000000000012</v>
      </c>
      <c r="T264" s="55">
        <f t="shared" si="102"/>
        <v>9.5449422454262169</v>
      </c>
      <c r="U264" s="60">
        <f>'Расчет субсидий'!AB264-1</f>
        <v>-2.3831070889894446E-2</v>
      </c>
      <c r="V264" s="60">
        <f>U264*'Расчет субсидий'!AC264</f>
        <v>-0.11915535444947223</v>
      </c>
      <c r="W264" s="55">
        <f t="shared" si="92"/>
        <v>-0.17770796507085967</v>
      </c>
      <c r="X264" s="71">
        <f>'Расчет субсидий'!AF264-1</f>
        <v>0</v>
      </c>
      <c r="Y264" s="71">
        <f>X264*'Расчет субсидий'!AG264</f>
        <v>0</v>
      </c>
      <c r="Z264" s="55">
        <f t="shared" si="93"/>
        <v>0</v>
      </c>
      <c r="AA264" s="27" t="s">
        <v>367</v>
      </c>
      <c r="AB264" s="27" t="s">
        <v>367</v>
      </c>
      <c r="AC264" s="27" t="s">
        <v>367</v>
      </c>
      <c r="AD264" s="27" t="s">
        <v>367</v>
      </c>
      <c r="AE264" s="27" t="s">
        <v>367</v>
      </c>
      <c r="AF264" s="27" t="s">
        <v>367</v>
      </c>
      <c r="AG264" s="54">
        <f t="shared" si="94"/>
        <v>9.606610820351893</v>
      </c>
    </row>
    <row r="265" spans="1:33" ht="15" customHeight="1">
      <c r="A265" s="33" t="s">
        <v>261</v>
      </c>
      <c r="B265" s="52">
        <f>'Расчет субсидий'!AT265</f>
        <v>-0.33636363636364308</v>
      </c>
      <c r="C265" s="54">
        <f>'Расчет субсидий'!D265-1</f>
        <v>-1</v>
      </c>
      <c r="D265" s="54">
        <f>C265*'Расчет субсидий'!E265</f>
        <v>0</v>
      </c>
      <c r="E265" s="55">
        <f t="shared" si="99"/>
        <v>0</v>
      </c>
      <c r="F265" s="27" t="s">
        <v>367</v>
      </c>
      <c r="G265" s="27" t="s">
        <v>367</v>
      </c>
      <c r="H265" s="27" t="s">
        <v>367</v>
      </c>
      <c r="I265" s="27" t="s">
        <v>367</v>
      </c>
      <c r="J265" s="27" t="s">
        <v>367</v>
      </c>
      <c r="K265" s="27" t="s">
        <v>367</v>
      </c>
      <c r="L265" s="54">
        <f>'Расчет субсидий'!P265-1</f>
        <v>-0.10193970946343112</v>
      </c>
      <c r="M265" s="54">
        <f>L265*'Расчет субсидий'!Q265</f>
        <v>-2.0387941892686223</v>
      </c>
      <c r="N265" s="55">
        <f t="shared" si="100"/>
        <v>-2.5531767897785467</v>
      </c>
      <c r="O265" s="54">
        <f>'Расчет субсидий'!T265-1</f>
        <v>0</v>
      </c>
      <c r="P265" s="54">
        <f>O265*'Расчет субсидий'!U265</f>
        <v>0</v>
      </c>
      <c r="Q265" s="55">
        <f t="shared" si="101"/>
        <v>0</v>
      </c>
      <c r="R265" s="54">
        <f>'Расчет субсидий'!X265-1</f>
        <v>0</v>
      </c>
      <c r="S265" s="54">
        <f>R265*'Расчет субсидий'!Y265</f>
        <v>0</v>
      </c>
      <c r="T265" s="55">
        <f t="shared" si="102"/>
        <v>0</v>
      </c>
      <c r="U265" s="60">
        <f>'Расчет субсидий'!AB265-1</f>
        <v>0.20970949386043714</v>
      </c>
      <c r="V265" s="60">
        <f>U265*'Расчет субсидий'!AC265</f>
        <v>1.0485474693021857</v>
      </c>
      <c r="W265" s="55">
        <f t="shared" si="92"/>
        <v>1.3130933351167442</v>
      </c>
      <c r="X265" s="71">
        <f>'Расчет субсидий'!AF265-1</f>
        <v>3.6082474226804218E-2</v>
      </c>
      <c r="Y265" s="71">
        <f>X265*'Расчет субсидий'!AG265</f>
        <v>0.72164948453608435</v>
      </c>
      <c r="Z265" s="55">
        <f t="shared" si="93"/>
        <v>0.90371981829815951</v>
      </c>
      <c r="AA265" s="27" t="s">
        <v>367</v>
      </c>
      <c r="AB265" s="27" t="s">
        <v>367</v>
      </c>
      <c r="AC265" s="27" t="s">
        <v>367</v>
      </c>
      <c r="AD265" s="27" t="s">
        <v>367</v>
      </c>
      <c r="AE265" s="27" t="s">
        <v>367</v>
      </c>
      <c r="AF265" s="27" t="s">
        <v>367</v>
      </c>
      <c r="AG265" s="54">
        <f t="shared" si="94"/>
        <v>-0.2685972354303523</v>
      </c>
    </row>
    <row r="266" spans="1:33" ht="15" customHeight="1">
      <c r="A266" s="33" t="s">
        <v>262</v>
      </c>
      <c r="B266" s="52">
        <f>'Расчет субсидий'!AT266</f>
        <v>-9.136363636363626</v>
      </c>
      <c r="C266" s="54">
        <f>'Расчет субсидий'!D266-1</f>
        <v>-1</v>
      </c>
      <c r="D266" s="54">
        <f>C266*'Расчет субсидий'!E266</f>
        <v>0</v>
      </c>
      <c r="E266" s="55">
        <f t="shared" si="99"/>
        <v>0</v>
      </c>
      <c r="F266" s="27" t="s">
        <v>367</v>
      </c>
      <c r="G266" s="27" t="s">
        <v>367</v>
      </c>
      <c r="H266" s="27" t="s">
        <v>367</v>
      </c>
      <c r="I266" s="27" t="s">
        <v>367</v>
      </c>
      <c r="J266" s="27" t="s">
        <v>367</v>
      </c>
      <c r="K266" s="27" t="s">
        <v>367</v>
      </c>
      <c r="L266" s="54">
        <f>'Расчет субсидий'!P266-1</f>
        <v>-0.16798642533936659</v>
      </c>
      <c r="M266" s="54">
        <f>L266*'Расчет субсидий'!Q266</f>
        <v>-3.3597285067873317</v>
      </c>
      <c r="N266" s="55">
        <f t="shared" si="100"/>
        <v>-10.624462146759239</v>
      </c>
      <c r="O266" s="54">
        <f>'Расчет субсидий'!T266-1</f>
        <v>4.0000000000000036E-2</v>
      </c>
      <c r="P266" s="54">
        <f>O266*'Расчет субсидий'!U266</f>
        <v>0.80000000000000071</v>
      </c>
      <c r="Q266" s="55">
        <f t="shared" si="101"/>
        <v>2.5298382593226054</v>
      </c>
      <c r="R266" s="54">
        <f>'Расчет субсидий'!X266-1</f>
        <v>0</v>
      </c>
      <c r="S266" s="54">
        <f>R266*'Расчет субсидий'!Y266</f>
        <v>0</v>
      </c>
      <c r="T266" s="55">
        <f t="shared" si="102"/>
        <v>0</v>
      </c>
      <c r="U266" s="60">
        <f>'Расчет субсидий'!AB266-1</f>
        <v>2.0136518771331158E-2</v>
      </c>
      <c r="V266" s="60">
        <f>U266*'Расчет субсидий'!AC266</f>
        <v>0.10068259385665579</v>
      </c>
      <c r="W266" s="55">
        <f t="shared" si="92"/>
        <v>0.31838834748300837</v>
      </c>
      <c r="X266" s="71">
        <f>'Расчет субсидий'!AF266-1</f>
        <v>-2.1505376344086002E-2</v>
      </c>
      <c r="Y266" s="71">
        <f>X266*'Расчет субсидий'!AG266</f>
        <v>-0.43010752688172005</v>
      </c>
      <c r="Z266" s="55">
        <f t="shared" si="93"/>
        <v>-1.3601280964100004</v>
      </c>
      <c r="AA266" s="27" t="s">
        <v>367</v>
      </c>
      <c r="AB266" s="27" t="s">
        <v>367</v>
      </c>
      <c r="AC266" s="27" t="s">
        <v>367</v>
      </c>
      <c r="AD266" s="27" t="s">
        <v>367</v>
      </c>
      <c r="AE266" s="27" t="s">
        <v>367</v>
      </c>
      <c r="AF266" s="27" t="s">
        <v>367</v>
      </c>
      <c r="AG266" s="54">
        <f t="shared" si="94"/>
        <v>-2.8891534398123953</v>
      </c>
    </row>
    <row r="267" spans="1:33" ht="15" customHeight="1">
      <c r="A267" s="33" t="s">
        <v>263</v>
      </c>
      <c r="B267" s="52">
        <f>'Расчет субсидий'!AT267</f>
        <v>-8.8727272727272748</v>
      </c>
      <c r="C267" s="54">
        <f>'Расчет субсидий'!D267-1</f>
        <v>-6.4575645756457578E-2</v>
      </c>
      <c r="D267" s="54">
        <f>C267*'Расчет субсидий'!E267</f>
        <v>-0.64575645756457578</v>
      </c>
      <c r="E267" s="55">
        <f t="shared" si="99"/>
        <v>-1.0025160563871833</v>
      </c>
      <c r="F267" s="27" t="s">
        <v>367</v>
      </c>
      <c r="G267" s="27" t="s">
        <v>367</v>
      </c>
      <c r="H267" s="27" t="s">
        <v>367</v>
      </c>
      <c r="I267" s="27" t="s">
        <v>367</v>
      </c>
      <c r="J267" s="27" t="s">
        <v>367</v>
      </c>
      <c r="K267" s="27" t="s">
        <v>367</v>
      </c>
      <c r="L267" s="54">
        <f>'Расчет субсидий'!P267-1</f>
        <v>-0.4284742303112774</v>
      </c>
      <c r="M267" s="54">
        <f>L267*'Расчет субсидий'!Q267</f>
        <v>-8.5694846062255472</v>
      </c>
      <c r="N267" s="55">
        <f t="shared" si="100"/>
        <v>-13.303848241958624</v>
      </c>
      <c r="O267" s="54">
        <f>'Расчет субсидий'!T267-1</f>
        <v>0</v>
      </c>
      <c r="P267" s="54">
        <f>O267*'Расчет субсидий'!U267</f>
        <v>0</v>
      </c>
      <c r="Q267" s="55">
        <f t="shared" si="101"/>
        <v>0</v>
      </c>
      <c r="R267" s="54">
        <f>'Расчет субсидий'!X267-1</f>
        <v>6.6666666666666652E-2</v>
      </c>
      <c r="S267" s="54">
        <f>R267*'Расчет субсидий'!Y267</f>
        <v>1.9999999999999996</v>
      </c>
      <c r="T267" s="55">
        <f t="shared" si="102"/>
        <v>3.1049354432105898</v>
      </c>
      <c r="U267" s="60">
        <f>'Расчет субсидий'!AB267-1</f>
        <v>0.30000000000000004</v>
      </c>
      <c r="V267" s="60">
        <f>U267*'Расчет субсидий'!AC267</f>
        <v>1.5000000000000002</v>
      </c>
      <c r="W267" s="55">
        <f t="shared" si="92"/>
        <v>2.3287015824079429</v>
      </c>
      <c r="X267" s="71">
        <f>'Расчет субсидий'!AF267-1</f>
        <v>0</v>
      </c>
      <c r="Y267" s="71">
        <f>X267*'Расчет субсидий'!AG267</f>
        <v>0</v>
      </c>
      <c r="Z267" s="55">
        <f t="shared" si="93"/>
        <v>0</v>
      </c>
      <c r="AA267" s="27" t="s">
        <v>367</v>
      </c>
      <c r="AB267" s="27" t="s">
        <v>367</v>
      </c>
      <c r="AC267" s="27" t="s">
        <v>367</v>
      </c>
      <c r="AD267" s="27" t="s">
        <v>367</v>
      </c>
      <c r="AE267" s="27" t="s">
        <v>367</v>
      </c>
      <c r="AF267" s="27" t="s">
        <v>367</v>
      </c>
      <c r="AG267" s="54">
        <f t="shared" si="94"/>
        <v>-5.7152410637901223</v>
      </c>
    </row>
    <row r="268" spans="1:33" ht="15" customHeight="1">
      <c r="A268" s="33" t="s">
        <v>264</v>
      </c>
      <c r="B268" s="52">
        <f>'Расчет субсидий'!AT268</f>
        <v>9.7545454545454788</v>
      </c>
      <c r="C268" s="54">
        <f>'Расчет субсидий'!D268-1</f>
        <v>-1</v>
      </c>
      <c r="D268" s="54">
        <f>C268*'Расчет субсидий'!E268</f>
        <v>0</v>
      </c>
      <c r="E268" s="55">
        <f t="shared" si="99"/>
        <v>0</v>
      </c>
      <c r="F268" s="27" t="s">
        <v>367</v>
      </c>
      <c r="G268" s="27" t="s">
        <v>367</v>
      </c>
      <c r="H268" s="27" t="s">
        <v>367</v>
      </c>
      <c r="I268" s="27" t="s">
        <v>367</v>
      </c>
      <c r="J268" s="27" t="s">
        <v>367</v>
      </c>
      <c r="K268" s="27" t="s">
        <v>367</v>
      </c>
      <c r="L268" s="54">
        <f>'Расчет субсидий'!P268-1</f>
        <v>-0.12144955925563172</v>
      </c>
      <c r="M268" s="54">
        <f>L268*'Расчет субсидий'!Q268</f>
        <v>-2.4289911851126345</v>
      </c>
      <c r="N268" s="55">
        <f t="shared" si="100"/>
        <v>-4.7551005623321601</v>
      </c>
      <c r="O268" s="54">
        <f>'Расчет субсидий'!T268-1</f>
        <v>5.0000000000000044E-2</v>
      </c>
      <c r="P268" s="54">
        <f>O268*'Расчет субсидий'!U268</f>
        <v>0.75000000000000067</v>
      </c>
      <c r="Q268" s="55">
        <f t="shared" si="101"/>
        <v>1.4682331675830063</v>
      </c>
      <c r="R268" s="54">
        <f>'Расчет субсидий'!X268-1</f>
        <v>0.20999999999999996</v>
      </c>
      <c r="S268" s="54">
        <f>R268*'Расчет субсидий'!Y268</f>
        <v>7.3499999999999988</v>
      </c>
      <c r="T268" s="55">
        <f t="shared" si="102"/>
        <v>14.388685042313446</v>
      </c>
      <c r="U268" s="60">
        <f>'Расчет субсидий'!AB268-1</f>
        <v>-0.17367822626492324</v>
      </c>
      <c r="V268" s="60">
        <f>U268*'Расчет субсидий'!AC268</f>
        <v>-0.86839113132461621</v>
      </c>
      <c r="W268" s="55">
        <f t="shared" si="92"/>
        <v>-1.7000008819276407</v>
      </c>
      <c r="X268" s="71">
        <f>'Расчет субсидий'!AF268-1</f>
        <v>9.009009009008917E-3</v>
      </c>
      <c r="Y268" s="71">
        <f>X268*'Расчет субсидий'!AG268</f>
        <v>0.18018018018017834</v>
      </c>
      <c r="Z268" s="55">
        <f t="shared" si="93"/>
        <v>0.35272868890882642</v>
      </c>
      <c r="AA268" s="27" t="s">
        <v>367</v>
      </c>
      <c r="AB268" s="27" t="s">
        <v>367</v>
      </c>
      <c r="AC268" s="27" t="s">
        <v>367</v>
      </c>
      <c r="AD268" s="27" t="s">
        <v>367</v>
      </c>
      <c r="AE268" s="27" t="s">
        <v>367</v>
      </c>
      <c r="AF268" s="27" t="s">
        <v>367</v>
      </c>
      <c r="AG268" s="54">
        <f t="shared" si="94"/>
        <v>4.9827978637429275</v>
      </c>
    </row>
    <row r="269" spans="1:33" ht="15" customHeight="1">
      <c r="A269" s="33" t="s">
        <v>265</v>
      </c>
      <c r="B269" s="52">
        <f>'Расчет субсидий'!AT269</f>
        <v>4.3909090909090764</v>
      </c>
      <c r="C269" s="54">
        <f>'Расчет субсидий'!D269-1</f>
        <v>-1</v>
      </c>
      <c r="D269" s="54">
        <f>C269*'Расчет субсидий'!E269</f>
        <v>0</v>
      </c>
      <c r="E269" s="55">
        <f t="shared" si="99"/>
        <v>0</v>
      </c>
      <c r="F269" s="27" t="s">
        <v>367</v>
      </c>
      <c r="G269" s="27" t="s">
        <v>367</v>
      </c>
      <c r="H269" s="27" t="s">
        <v>367</v>
      </c>
      <c r="I269" s="27" t="s">
        <v>367</v>
      </c>
      <c r="J269" s="27" t="s">
        <v>367</v>
      </c>
      <c r="K269" s="27" t="s">
        <v>367</v>
      </c>
      <c r="L269" s="54">
        <f>'Расчет субсидий'!P269-1</f>
        <v>-0.14752441899629498</v>
      </c>
      <c r="M269" s="54">
        <f>L269*'Расчет субсидий'!Q269</f>
        <v>-2.9504883799258996</v>
      </c>
      <c r="N269" s="55">
        <f t="shared" si="100"/>
        <v>-6.7771147309369653</v>
      </c>
      <c r="O269" s="54">
        <f>'Расчет субсидий'!T269-1</f>
        <v>0.21399999999999997</v>
      </c>
      <c r="P269" s="54">
        <f>O269*'Расчет субсидий'!U269</f>
        <v>4.2799999999999994</v>
      </c>
      <c r="Q269" s="55">
        <f t="shared" si="101"/>
        <v>9.8309321418641478</v>
      </c>
      <c r="R269" s="54">
        <f>'Расчет субсидий'!X269-1</f>
        <v>0</v>
      </c>
      <c r="S269" s="54">
        <f>R269*'Расчет субсидий'!Y269</f>
        <v>0</v>
      </c>
      <c r="T269" s="55">
        <f t="shared" si="102"/>
        <v>0</v>
      </c>
      <c r="U269" s="60">
        <f>'Расчет субсидий'!AB269-1</f>
        <v>1.3197586726998445E-2</v>
      </c>
      <c r="V269" s="60">
        <f>U269*'Расчет субсидий'!AC269</f>
        <v>6.5987933634992224E-2</v>
      </c>
      <c r="W269" s="55">
        <f t="shared" si="92"/>
        <v>0.15157077050173914</v>
      </c>
      <c r="X269" s="71">
        <f>'Расчет субсидий'!AF269-1</f>
        <v>2.5806451612903292E-2</v>
      </c>
      <c r="Y269" s="71">
        <f>X269*'Расчет субсидий'!AG269</f>
        <v>0.51612903225806583</v>
      </c>
      <c r="Z269" s="55">
        <f t="shared" si="93"/>
        <v>1.185520909480154</v>
      </c>
      <c r="AA269" s="27" t="s">
        <v>367</v>
      </c>
      <c r="AB269" s="27" t="s">
        <v>367</v>
      </c>
      <c r="AC269" s="27" t="s">
        <v>367</v>
      </c>
      <c r="AD269" s="27" t="s">
        <v>367</v>
      </c>
      <c r="AE269" s="27" t="s">
        <v>367</v>
      </c>
      <c r="AF269" s="27" t="s">
        <v>367</v>
      </c>
      <c r="AG269" s="54">
        <f t="shared" si="94"/>
        <v>1.9116285859671578</v>
      </c>
    </row>
    <row r="270" spans="1:33" ht="15" customHeight="1">
      <c r="A270" s="33" t="s">
        <v>266</v>
      </c>
      <c r="B270" s="52">
        <f>'Расчет субсидий'!AT270</f>
        <v>-21.599999999999994</v>
      </c>
      <c r="C270" s="54">
        <f>'Расчет субсидий'!D270-1</f>
        <v>-1</v>
      </c>
      <c r="D270" s="54">
        <f>C270*'Расчет субсидий'!E270</f>
        <v>0</v>
      </c>
      <c r="E270" s="55">
        <f t="shared" si="99"/>
        <v>0</v>
      </c>
      <c r="F270" s="27" t="s">
        <v>367</v>
      </c>
      <c r="G270" s="27" t="s">
        <v>367</v>
      </c>
      <c r="H270" s="27" t="s">
        <v>367</v>
      </c>
      <c r="I270" s="27" t="s">
        <v>367</v>
      </c>
      <c r="J270" s="27" t="s">
        <v>367</v>
      </c>
      <c r="K270" s="27" t="s">
        <v>367</v>
      </c>
      <c r="L270" s="54">
        <f>'Расчет субсидий'!P270-1</f>
        <v>-0.4626931567328918</v>
      </c>
      <c r="M270" s="54">
        <f>L270*'Расчет субсидий'!Q270</f>
        <v>-9.2538631346578359</v>
      </c>
      <c r="N270" s="55">
        <f t="shared" si="100"/>
        <v>-22.243932120641109</v>
      </c>
      <c r="O270" s="54">
        <f>'Расчет субсидий'!T270-1</f>
        <v>0</v>
      </c>
      <c r="P270" s="54">
        <f>O270*'Расчет субсидий'!U270</f>
        <v>0</v>
      </c>
      <c r="Q270" s="55">
        <f t="shared" si="101"/>
        <v>0</v>
      </c>
      <c r="R270" s="54">
        <f>'Расчет субсидий'!X270-1</f>
        <v>3.3333333333333437E-2</v>
      </c>
      <c r="S270" s="54">
        <f>R270*'Расчет субсидий'!Y270</f>
        <v>0.66666666666666874</v>
      </c>
      <c r="T270" s="55">
        <f t="shared" si="102"/>
        <v>1.6024970182332148</v>
      </c>
      <c r="U270" s="60">
        <f>'Расчет субсидий'!AB270-1</f>
        <v>-7.9755938112878622E-2</v>
      </c>
      <c r="V270" s="60">
        <f>U270*'Расчет субсидий'!AC270</f>
        <v>-0.39877969056439311</v>
      </c>
      <c r="W270" s="55">
        <f t="shared" si="92"/>
        <v>-0.95856489759210295</v>
      </c>
      <c r="X270" s="71">
        <f>'Расчет субсидий'!AF270-1</f>
        <v>0</v>
      </c>
      <c r="Y270" s="71">
        <f>X270*'Расчет субсидий'!AG270</f>
        <v>0</v>
      </c>
      <c r="Z270" s="55">
        <f t="shared" si="93"/>
        <v>0</v>
      </c>
      <c r="AA270" s="27" t="s">
        <v>367</v>
      </c>
      <c r="AB270" s="27" t="s">
        <v>367</v>
      </c>
      <c r="AC270" s="27" t="s">
        <v>367</v>
      </c>
      <c r="AD270" s="27" t="s">
        <v>367</v>
      </c>
      <c r="AE270" s="27" t="s">
        <v>367</v>
      </c>
      <c r="AF270" s="27" t="s">
        <v>367</v>
      </c>
      <c r="AG270" s="54">
        <f t="shared" si="94"/>
        <v>-8.9859761585555589</v>
      </c>
    </row>
    <row r="271" spans="1:33" ht="15" customHeight="1">
      <c r="A271" s="33" t="s">
        <v>267</v>
      </c>
      <c r="B271" s="52">
        <f>'Расчет субсидий'!AT271</f>
        <v>-56.5</v>
      </c>
      <c r="C271" s="54">
        <f>'Расчет субсидий'!D271-1</f>
        <v>-1</v>
      </c>
      <c r="D271" s="54">
        <f>C271*'Расчет субсидий'!E271</f>
        <v>0</v>
      </c>
      <c r="E271" s="55">
        <f t="shared" si="99"/>
        <v>0</v>
      </c>
      <c r="F271" s="27" t="s">
        <v>367</v>
      </c>
      <c r="G271" s="27" t="s">
        <v>367</v>
      </c>
      <c r="H271" s="27" t="s">
        <v>367</v>
      </c>
      <c r="I271" s="27" t="s">
        <v>367</v>
      </c>
      <c r="J271" s="27" t="s">
        <v>367</v>
      </c>
      <c r="K271" s="27" t="s">
        <v>367</v>
      </c>
      <c r="L271" s="54">
        <f>'Расчет субсидий'!P271-1</f>
        <v>-0.12193877551020416</v>
      </c>
      <c r="M271" s="54">
        <f>L271*'Расчет субсидий'!Q271</f>
        <v>-2.4387755102040831</v>
      </c>
      <c r="N271" s="55">
        <f t="shared" si="100"/>
        <v>-4.3888741545400842</v>
      </c>
      <c r="O271" s="54">
        <f>'Расчет субсидий'!T271-1</f>
        <v>0</v>
      </c>
      <c r="P271" s="54">
        <f>O271*'Расчет субсидий'!U271</f>
        <v>0</v>
      </c>
      <c r="Q271" s="55">
        <f t="shared" si="101"/>
        <v>0</v>
      </c>
      <c r="R271" s="54">
        <f>'Расчет субсидий'!X271-1</f>
        <v>-1</v>
      </c>
      <c r="S271" s="54">
        <f>R271*'Расчет субсидий'!Y271</f>
        <v>-30</v>
      </c>
      <c r="T271" s="55">
        <f t="shared" si="102"/>
        <v>-53.988661147898917</v>
      </c>
      <c r="U271" s="60">
        <f>'Расчет субсидий'!AB271-1</f>
        <v>0.20865884752677211</v>
      </c>
      <c r="V271" s="60">
        <f>U271*'Расчет субсидий'!AC271</f>
        <v>1.0432942376338605</v>
      </c>
      <c r="W271" s="55">
        <f t="shared" si="92"/>
        <v>1.8775353024390009</v>
      </c>
      <c r="X271" s="71">
        <f>'Расчет субсидий'!AF271-1</f>
        <v>0</v>
      </c>
      <c r="Y271" s="71">
        <f>X271*'Расчет субсидий'!AG271</f>
        <v>0</v>
      </c>
      <c r="Z271" s="55">
        <f t="shared" si="93"/>
        <v>0</v>
      </c>
      <c r="AA271" s="27" t="s">
        <v>367</v>
      </c>
      <c r="AB271" s="27" t="s">
        <v>367</v>
      </c>
      <c r="AC271" s="27" t="s">
        <v>367</v>
      </c>
      <c r="AD271" s="27" t="s">
        <v>367</v>
      </c>
      <c r="AE271" s="27" t="s">
        <v>367</v>
      </c>
      <c r="AF271" s="27" t="s">
        <v>367</v>
      </c>
      <c r="AG271" s="54">
        <f t="shared" si="94"/>
        <v>-31.395481272570223</v>
      </c>
    </row>
    <row r="272" spans="1:33" ht="15" customHeight="1">
      <c r="A272" s="33" t="s">
        <v>268</v>
      </c>
      <c r="B272" s="52">
        <f>'Расчет субсидий'!AT272</f>
        <v>13.663636363636385</v>
      </c>
      <c r="C272" s="54">
        <f>'Расчет субсидий'!D272-1</f>
        <v>-1</v>
      </c>
      <c r="D272" s="54">
        <f>C272*'Расчет субсидий'!E272</f>
        <v>0</v>
      </c>
      <c r="E272" s="55">
        <f t="shared" si="99"/>
        <v>0</v>
      </c>
      <c r="F272" s="27" t="s">
        <v>367</v>
      </c>
      <c r="G272" s="27" t="s">
        <v>367</v>
      </c>
      <c r="H272" s="27" t="s">
        <v>367</v>
      </c>
      <c r="I272" s="27" t="s">
        <v>367</v>
      </c>
      <c r="J272" s="27" t="s">
        <v>367</v>
      </c>
      <c r="K272" s="27" t="s">
        <v>367</v>
      </c>
      <c r="L272" s="54">
        <f>'Расчет субсидий'!P272-1</f>
        <v>-2.289683560586564E-2</v>
      </c>
      <c r="M272" s="54">
        <f>L272*'Расчет субсидий'!Q272</f>
        <v>-0.45793671211731279</v>
      </c>
      <c r="N272" s="55">
        <f t="shared" si="100"/>
        <v>-0.97888700366439185</v>
      </c>
      <c r="O272" s="54">
        <f>'Расчет субсидий'!T272-1</f>
        <v>1.6666666666666607E-2</v>
      </c>
      <c r="P272" s="54">
        <f>O272*'Расчет субсидий'!U272</f>
        <v>0.24999999999999911</v>
      </c>
      <c r="Q272" s="55">
        <f t="shared" si="101"/>
        <v>0.53440081225329905</v>
      </c>
      <c r="R272" s="54">
        <f>'Расчет субсидий'!X272-1</f>
        <v>7.4999999999999956E-2</v>
      </c>
      <c r="S272" s="54">
        <f>R272*'Расчет субсидий'!Y272</f>
        <v>2.6249999999999982</v>
      </c>
      <c r="T272" s="55">
        <f t="shared" si="102"/>
        <v>5.611208528659656</v>
      </c>
      <c r="U272" s="60">
        <f>'Расчет субсидий'!AB272-1</f>
        <v>-7.6025917926565878E-2</v>
      </c>
      <c r="V272" s="60">
        <f>U272*'Расчет субсидий'!AC272</f>
        <v>-0.38012958963282939</v>
      </c>
      <c r="W272" s="55">
        <f t="shared" si="92"/>
        <v>-0.81256624584519188</v>
      </c>
      <c r="X272" s="71">
        <f>'Расчет субсидий'!AF272-1</f>
        <v>0.21775510204081638</v>
      </c>
      <c r="Y272" s="71">
        <f>X272*'Расчет субсидий'!AG272</f>
        <v>4.3551020408163277</v>
      </c>
      <c r="Z272" s="55">
        <f t="shared" si="93"/>
        <v>9.3094802722330154</v>
      </c>
      <c r="AA272" s="27" t="s">
        <v>367</v>
      </c>
      <c r="AB272" s="27" t="s">
        <v>367</v>
      </c>
      <c r="AC272" s="27" t="s">
        <v>367</v>
      </c>
      <c r="AD272" s="27" t="s">
        <v>367</v>
      </c>
      <c r="AE272" s="27" t="s">
        <v>367</v>
      </c>
      <c r="AF272" s="27" t="s">
        <v>367</v>
      </c>
      <c r="AG272" s="54">
        <f t="shared" si="94"/>
        <v>6.3920357390661824</v>
      </c>
    </row>
    <row r="273" spans="1:33" ht="15" customHeight="1">
      <c r="A273" s="33" t="s">
        <v>269</v>
      </c>
      <c r="B273" s="52">
        <f>'Расчет субсидий'!AT273</f>
        <v>-15.418181818181807</v>
      </c>
      <c r="C273" s="54">
        <f>'Расчет субсидий'!D273-1</f>
        <v>-1</v>
      </c>
      <c r="D273" s="54">
        <f>C273*'Расчет субсидий'!E273</f>
        <v>0</v>
      </c>
      <c r="E273" s="55">
        <f t="shared" si="99"/>
        <v>0</v>
      </c>
      <c r="F273" s="27" t="s">
        <v>367</v>
      </c>
      <c r="G273" s="27" t="s">
        <v>367</v>
      </c>
      <c r="H273" s="27" t="s">
        <v>367</v>
      </c>
      <c r="I273" s="27" t="s">
        <v>367</v>
      </c>
      <c r="J273" s="27" t="s">
        <v>367</v>
      </c>
      <c r="K273" s="27" t="s">
        <v>367</v>
      </c>
      <c r="L273" s="54">
        <f>'Расчет субсидий'!P273-1</f>
        <v>-0.41652613827993257</v>
      </c>
      <c r="M273" s="54">
        <f>L273*'Расчет субсидий'!Q273</f>
        <v>-8.3305227655986513</v>
      </c>
      <c r="N273" s="55">
        <f t="shared" si="100"/>
        <v>-17.749026325153903</v>
      </c>
      <c r="O273" s="54">
        <f>'Расчет субсидий'!T273-1</f>
        <v>1.4285714285714235E-2</v>
      </c>
      <c r="P273" s="54">
        <f>O273*'Расчет субсидий'!U273</f>
        <v>0.35714285714285587</v>
      </c>
      <c r="Q273" s="55">
        <f t="shared" si="101"/>
        <v>0.76092919395721703</v>
      </c>
      <c r="R273" s="54">
        <f>'Расчет субсидий'!X273-1</f>
        <v>2.7777777777777901E-2</v>
      </c>
      <c r="S273" s="54">
        <f>R273*'Расчет субсидий'!Y273</f>
        <v>0.69444444444444753</v>
      </c>
      <c r="T273" s="55">
        <f t="shared" si="102"/>
        <v>1.4795845438057114</v>
      </c>
      <c r="U273" s="60">
        <f>'Расчет субсидий'!AB273-1</f>
        <v>-7.9140757490107072E-3</v>
      </c>
      <c r="V273" s="60">
        <f>U273*'Расчет субсидий'!AC273</f>
        <v>-3.9570378745053536E-2</v>
      </c>
      <c r="W273" s="55">
        <f t="shared" si="92"/>
        <v>-8.4308717928555363E-2</v>
      </c>
      <c r="X273" s="71">
        <f>'Расчет субсидий'!AF273-1</f>
        <v>4.098360655737654E-3</v>
      </c>
      <c r="Y273" s="71">
        <f>X273*'Расчет субсидий'!AG273</f>
        <v>8.1967213114753079E-2</v>
      </c>
      <c r="Z273" s="55">
        <f t="shared" si="93"/>
        <v>0.1746394871377204</v>
      </c>
      <c r="AA273" s="27" t="s">
        <v>367</v>
      </c>
      <c r="AB273" s="27" t="s">
        <v>367</v>
      </c>
      <c r="AC273" s="27" t="s">
        <v>367</v>
      </c>
      <c r="AD273" s="27" t="s">
        <v>367</v>
      </c>
      <c r="AE273" s="27" t="s">
        <v>367</v>
      </c>
      <c r="AF273" s="27" t="s">
        <v>367</v>
      </c>
      <c r="AG273" s="54">
        <f t="shared" si="94"/>
        <v>-7.2365386296416485</v>
      </c>
    </row>
    <row r="274" spans="1:33" ht="15" customHeight="1">
      <c r="A274" s="33" t="s">
        <v>270</v>
      </c>
      <c r="B274" s="52">
        <f>'Расчет субсидий'!AT274</f>
        <v>-23.300000000000011</v>
      </c>
      <c r="C274" s="54">
        <f>'Расчет субсидий'!D274-1</f>
        <v>-1</v>
      </c>
      <c r="D274" s="54">
        <f>C274*'Расчет субсидий'!E274</f>
        <v>0</v>
      </c>
      <c r="E274" s="55">
        <f t="shared" si="99"/>
        <v>0</v>
      </c>
      <c r="F274" s="27" t="s">
        <v>367</v>
      </c>
      <c r="G274" s="27" t="s">
        <v>367</v>
      </c>
      <c r="H274" s="27" t="s">
        <v>367</v>
      </c>
      <c r="I274" s="27" t="s">
        <v>367</v>
      </c>
      <c r="J274" s="27" t="s">
        <v>367</v>
      </c>
      <c r="K274" s="27" t="s">
        <v>367</v>
      </c>
      <c r="L274" s="54">
        <f>'Расчет субсидий'!P274-1</f>
        <v>-0.56252573781743309</v>
      </c>
      <c r="M274" s="54">
        <f>L274*'Расчет субсидий'!Q274</f>
        <v>-11.250514756348661</v>
      </c>
      <c r="N274" s="55">
        <f t="shared" si="100"/>
        <v>-28.794301326171855</v>
      </c>
      <c r="O274" s="54">
        <f>'Расчет субсидий'!T274-1</f>
        <v>0</v>
      </c>
      <c r="P274" s="54">
        <f>O274*'Расчет субсидий'!U274</f>
        <v>0</v>
      </c>
      <c r="Q274" s="55">
        <f t="shared" si="101"/>
        <v>0</v>
      </c>
      <c r="R274" s="54">
        <f>'Расчет субсидий'!X274-1</f>
        <v>7.2727272727272751E-2</v>
      </c>
      <c r="S274" s="54">
        <f>R274*'Расчет субсидий'!Y274</f>
        <v>2.1818181818181825</v>
      </c>
      <c r="T274" s="55">
        <f t="shared" si="102"/>
        <v>5.5840938416388131</v>
      </c>
      <c r="U274" s="60">
        <f>'Расчет субсидий'!AB274-1</f>
        <v>-7.0167496604798263E-3</v>
      </c>
      <c r="V274" s="60">
        <f>U274*'Расчет субсидий'!AC274</f>
        <v>-3.5083748302399131E-2</v>
      </c>
      <c r="W274" s="55">
        <f t="shared" si="92"/>
        <v>-8.9792515466973505E-2</v>
      </c>
      <c r="X274" s="71">
        <f>'Расчет субсидий'!AF274-1</f>
        <v>0</v>
      </c>
      <c r="Y274" s="71">
        <f>X274*'Расчет субсидий'!AG274</f>
        <v>0</v>
      </c>
      <c r="Z274" s="55">
        <f t="shared" si="93"/>
        <v>0</v>
      </c>
      <c r="AA274" s="27" t="s">
        <v>367</v>
      </c>
      <c r="AB274" s="27" t="s">
        <v>367</v>
      </c>
      <c r="AC274" s="27" t="s">
        <v>367</v>
      </c>
      <c r="AD274" s="27" t="s">
        <v>367</v>
      </c>
      <c r="AE274" s="27" t="s">
        <v>367</v>
      </c>
      <c r="AF274" s="27" t="s">
        <v>367</v>
      </c>
      <c r="AG274" s="54">
        <f t="shared" si="94"/>
        <v>-9.1037803228328773</v>
      </c>
    </row>
    <row r="275" spans="1:33" ht="15" customHeight="1">
      <c r="A275" s="33" t="s">
        <v>271</v>
      </c>
      <c r="B275" s="52">
        <f>'Расчет субсидий'!AT275</f>
        <v>12.527272727272759</v>
      </c>
      <c r="C275" s="54">
        <f>'Расчет субсидий'!D275-1</f>
        <v>9.3114524564510193E-2</v>
      </c>
      <c r="D275" s="54">
        <f>C275*'Расчет субсидий'!E275</f>
        <v>0.93114524564510193</v>
      </c>
      <c r="E275" s="55">
        <f t="shared" si="99"/>
        <v>2.2895681047213663</v>
      </c>
      <c r="F275" s="27" t="s">
        <v>367</v>
      </c>
      <c r="G275" s="27" t="s">
        <v>367</v>
      </c>
      <c r="H275" s="27" t="s">
        <v>367</v>
      </c>
      <c r="I275" s="27" t="s">
        <v>367</v>
      </c>
      <c r="J275" s="27" t="s">
        <v>367</v>
      </c>
      <c r="K275" s="27" t="s">
        <v>367</v>
      </c>
      <c r="L275" s="54">
        <f>'Расчет субсидий'!P275-1</f>
        <v>5.0912737300303323E-2</v>
      </c>
      <c r="M275" s="54">
        <f>L275*'Расчет субсидий'!Q275</f>
        <v>1.0182547460060665</v>
      </c>
      <c r="N275" s="55">
        <f t="shared" si="100"/>
        <v>2.5037593220179799</v>
      </c>
      <c r="O275" s="54">
        <f>'Расчет субсидий'!T275-1</f>
        <v>3.3333333333333437E-2</v>
      </c>
      <c r="P275" s="54">
        <f>O275*'Расчет субсидий'!U275</f>
        <v>0.50000000000000155</v>
      </c>
      <c r="Q275" s="55">
        <f t="shared" si="101"/>
        <v>1.229436607999405</v>
      </c>
      <c r="R275" s="54">
        <f>'Расчет субсидий'!X275-1</f>
        <v>6.6666666666666652E-2</v>
      </c>
      <c r="S275" s="54">
        <f>R275*'Расчет субсидий'!Y275</f>
        <v>2.333333333333333</v>
      </c>
      <c r="T275" s="55">
        <f t="shared" si="102"/>
        <v>5.7373708373305377</v>
      </c>
      <c r="U275" s="60">
        <f>'Расчет субсидий'!AB275-1</f>
        <v>9.2027141645462329E-2</v>
      </c>
      <c r="V275" s="60">
        <f>U275*'Расчет субсидий'!AC275</f>
        <v>0.46013570822731165</v>
      </c>
      <c r="W275" s="55">
        <f t="shared" si="92"/>
        <v>1.1314153686847763</v>
      </c>
      <c r="X275" s="71">
        <f>'Расчет субсидий'!AF275-1</f>
        <v>-7.4074074074074181E-3</v>
      </c>
      <c r="Y275" s="71">
        <f>X275*'Расчет субсидий'!AG275</f>
        <v>-0.14814814814814836</v>
      </c>
      <c r="Z275" s="55">
        <f t="shared" si="93"/>
        <v>-0.36427751348130455</v>
      </c>
      <c r="AA275" s="27" t="s">
        <v>367</v>
      </c>
      <c r="AB275" s="27" t="s">
        <v>367</v>
      </c>
      <c r="AC275" s="27" t="s">
        <v>367</v>
      </c>
      <c r="AD275" s="27" t="s">
        <v>367</v>
      </c>
      <c r="AE275" s="27" t="s">
        <v>367</v>
      </c>
      <c r="AF275" s="27" t="s">
        <v>367</v>
      </c>
      <c r="AG275" s="54">
        <f t="shared" si="94"/>
        <v>5.0947208850636656</v>
      </c>
    </row>
    <row r="276" spans="1:33" ht="15" customHeight="1">
      <c r="A276" s="33" t="s">
        <v>272</v>
      </c>
      <c r="B276" s="52">
        <f>'Расчет субсидий'!AT276</f>
        <v>-10.154545454545456</v>
      </c>
      <c r="C276" s="54">
        <f>'Расчет субсидий'!D276-1</f>
        <v>-0.37063529411764706</v>
      </c>
      <c r="D276" s="54">
        <f>C276*'Расчет субсидий'!E276</f>
        <v>-3.7063529411764708</v>
      </c>
      <c r="E276" s="55">
        <f t="shared" si="99"/>
        <v>-5.4647420943863212</v>
      </c>
      <c r="F276" s="27" t="s">
        <v>367</v>
      </c>
      <c r="G276" s="27" t="s">
        <v>367</v>
      </c>
      <c r="H276" s="27" t="s">
        <v>367</v>
      </c>
      <c r="I276" s="27" t="s">
        <v>367</v>
      </c>
      <c r="J276" s="27" t="s">
        <v>367</v>
      </c>
      <c r="K276" s="27" t="s">
        <v>367</v>
      </c>
      <c r="L276" s="54">
        <f>'Расчет субсидий'!P276-1</f>
        <v>-0.11097391572773574</v>
      </c>
      <c r="M276" s="54">
        <f>L276*'Расчет субсидий'!Q276</f>
        <v>-2.2194783145547148</v>
      </c>
      <c r="N276" s="55">
        <f t="shared" si="100"/>
        <v>-3.2724559062836596</v>
      </c>
      <c r="O276" s="54">
        <f>'Расчет субсидий'!T276-1</f>
        <v>0</v>
      </c>
      <c r="P276" s="54">
        <f>O276*'Расчет субсидий'!U276</f>
        <v>0</v>
      </c>
      <c r="Q276" s="55">
        <f t="shared" si="101"/>
        <v>0</v>
      </c>
      <c r="R276" s="54">
        <f>'Расчет субсидий'!X276-1</f>
        <v>0</v>
      </c>
      <c r="S276" s="54">
        <f>R276*'Расчет субсидий'!Y276</f>
        <v>0</v>
      </c>
      <c r="T276" s="55">
        <f t="shared" si="102"/>
        <v>0</v>
      </c>
      <c r="U276" s="60">
        <f>'Расчет субсидий'!AB276-1</f>
        <v>-0.19225755995828986</v>
      </c>
      <c r="V276" s="60">
        <f>U276*'Расчет субсидий'!AC276</f>
        <v>-0.96128779979144929</v>
      </c>
      <c r="W276" s="55">
        <f t="shared" si="92"/>
        <v>-1.4173474538754738</v>
      </c>
      <c r="X276" s="71">
        <f>'Расчет субсидий'!AF276-1</f>
        <v>0</v>
      </c>
      <c r="Y276" s="71">
        <f>X276*'Расчет субсидий'!AG276</f>
        <v>0</v>
      </c>
      <c r="Z276" s="55">
        <f t="shared" si="93"/>
        <v>0</v>
      </c>
      <c r="AA276" s="27" t="s">
        <v>367</v>
      </c>
      <c r="AB276" s="27" t="s">
        <v>367</v>
      </c>
      <c r="AC276" s="27" t="s">
        <v>367</v>
      </c>
      <c r="AD276" s="27" t="s">
        <v>367</v>
      </c>
      <c r="AE276" s="27" t="s">
        <v>367</v>
      </c>
      <c r="AF276" s="27" t="s">
        <v>367</v>
      </c>
      <c r="AG276" s="54">
        <f t="shared" si="94"/>
        <v>-6.8871190555226356</v>
      </c>
    </row>
    <row r="277" spans="1:33" ht="15" customHeight="1">
      <c r="A277" s="33" t="s">
        <v>273</v>
      </c>
      <c r="B277" s="52">
        <f>'Расчет субсидий'!AT277</f>
        <v>2.6454545454545553</v>
      </c>
      <c r="C277" s="54">
        <f>'Расчет субсидий'!D277-1</f>
        <v>-4.562883380435645E-2</v>
      </c>
      <c r="D277" s="54">
        <f>C277*'Расчет субсидий'!E277</f>
        <v>-0.4562883380435645</v>
      </c>
      <c r="E277" s="55">
        <f t="shared" si="99"/>
        <v>-1.0438200655662182</v>
      </c>
      <c r="F277" s="27" t="s">
        <v>367</v>
      </c>
      <c r="G277" s="27" t="s">
        <v>367</v>
      </c>
      <c r="H277" s="27" t="s">
        <v>367</v>
      </c>
      <c r="I277" s="27" t="s">
        <v>367</v>
      </c>
      <c r="J277" s="27" t="s">
        <v>367</v>
      </c>
      <c r="K277" s="27" t="s">
        <v>367</v>
      </c>
      <c r="L277" s="54">
        <f>'Расчет субсидий'!P277-1</f>
        <v>-0.18383592433039897</v>
      </c>
      <c r="M277" s="54">
        <f>L277*'Расчет субсидий'!Q277</f>
        <v>-3.6767184866079794</v>
      </c>
      <c r="N277" s="55">
        <f t="shared" si="100"/>
        <v>-8.4109809779824953</v>
      </c>
      <c r="O277" s="54">
        <f>'Расчет субсидий'!T277-1</f>
        <v>-1.9999999999999907E-2</v>
      </c>
      <c r="P277" s="54">
        <f>O277*'Расчет субсидий'!U277</f>
        <v>-9.9999999999999534E-2</v>
      </c>
      <c r="Q277" s="55">
        <f t="shared" si="101"/>
        <v>-0.22876325747044488</v>
      </c>
      <c r="R277" s="54">
        <f>'Расчет субсидий'!X277-1</f>
        <v>0.2088888888888889</v>
      </c>
      <c r="S277" s="54">
        <f>R277*'Расчет субсидий'!Y277</f>
        <v>9.4</v>
      </c>
      <c r="T277" s="55">
        <f t="shared" si="102"/>
        <v>21.503746202221919</v>
      </c>
      <c r="U277" s="60">
        <f>'Расчет субсидий'!AB277-1</f>
        <v>-4.950222665451609E-2</v>
      </c>
      <c r="V277" s="60">
        <f>U277*'Расчет субсидий'!AC277</f>
        <v>-0.24751113327258045</v>
      </c>
      <c r="W277" s="55">
        <f t="shared" si="92"/>
        <v>-0.56621453107637176</v>
      </c>
      <c r="X277" s="71">
        <f>'Расчет субсидий'!AF277-1</f>
        <v>-0.18815331010452963</v>
      </c>
      <c r="Y277" s="71">
        <f>X277*'Расчет субсидий'!AG277</f>
        <v>-3.7630662020905925</v>
      </c>
      <c r="Z277" s="55">
        <f t="shared" si="93"/>
        <v>-8.6085128246718341</v>
      </c>
      <c r="AA277" s="27" t="s">
        <v>367</v>
      </c>
      <c r="AB277" s="27" t="s">
        <v>367</v>
      </c>
      <c r="AC277" s="27" t="s">
        <v>367</v>
      </c>
      <c r="AD277" s="27" t="s">
        <v>367</v>
      </c>
      <c r="AE277" s="27" t="s">
        <v>367</v>
      </c>
      <c r="AF277" s="27" t="s">
        <v>367</v>
      </c>
      <c r="AG277" s="54">
        <f t="shared" si="94"/>
        <v>1.156415839985284</v>
      </c>
    </row>
    <row r="278" spans="1:33" ht="15" customHeight="1">
      <c r="A278" s="33" t="s">
        <v>274</v>
      </c>
      <c r="B278" s="52">
        <f>'Расчет субсидий'!AT278</f>
        <v>0</v>
      </c>
      <c r="C278" s="54">
        <f>'Расчет субсидий'!D278-1</f>
        <v>2.703078381537849E-2</v>
      </c>
      <c r="D278" s="54">
        <f>C278*'Расчет субсидий'!E278</f>
        <v>0.2703078381537849</v>
      </c>
      <c r="E278" s="55">
        <f t="shared" si="99"/>
        <v>0</v>
      </c>
      <c r="F278" s="27" t="s">
        <v>367</v>
      </c>
      <c r="G278" s="27" t="s">
        <v>367</v>
      </c>
      <c r="H278" s="27" t="s">
        <v>367</v>
      </c>
      <c r="I278" s="27" t="s">
        <v>367</v>
      </c>
      <c r="J278" s="27" t="s">
        <v>367</v>
      </c>
      <c r="K278" s="27" t="s">
        <v>367</v>
      </c>
      <c r="L278" s="54">
        <f>'Расчет субсидий'!P278-1</f>
        <v>0.20229820899309203</v>
      </c>
      <c r="M278" s="54">
        <f>L278*'Расчет субсидий'!Q278</f>
        <v>4.0459641798618406</v>
      </c>
      <c r="N278" s="55">
        <f t="shared" si="100"/>
        <v>0</v>
      </c>
      <c r="O278" s="54">
        <f>'Расчет субсидий'!T278-1</f>
        <v>0</v>
      </c>
      <c r="P278" s="54">
        <f>O278*'Расчет субсидий'!U278</f>
        <v>0</v>
      </c>
      <c r="Q278" s="55">
        <f t="shared" si="101"/>
        <v>0</v>
      </c>
      <c r="R278" s="54">
        <f>'Расчет субсидий'!X278-1</f>
        <v>0.21333333333333337</v>
      </c>
      <c r="S278" s="54">
        <f>R278*'Расчет субсидий'!Y278</f>
        <v>8.533333333333335</v>
      </c>
      <c r="T278" s="55">
        <f t="shared" si="102"/>
        <v>0</v>
      </c>
      <c r="U278" s="60">
        <f>'Расчет субсидий'!AB278-1</f>
        <v>6.4515870663900854E-2</v>
      </c>
      <c r="V278" s="60">
        <f>U278*'Расчет субсидий'!AC278</f>
        <v>0.32257935331950427</v>
      </c>
      <c r="W278" s="55">
        <f t="shared" si="92"/>
        <v>0</v>
      </c>
      <c r="X278" s="71">
        <f>'Расчет субсидий'!AF278-1</f>
        <v>-0.19354838709677424</v>
      </c>
      <c r="Y278" s="71">
        <f>X278*'Расчет субсидий'!AG278</f>
        <v>-3.8709677419354849</v>
      </c>
      <c r="Z278" s="55">
        <f t="shared" si="93"/>
        <v>0</v>
      </c>
      <c r="AA278" s="27" t="s">
        <v>367</v>
      </c>
      <c r="AB278" s="27" t="s">
        <v>367</v>
      </c>
      <c r="AC278" s="27" t="s">
        <v>367</v>
      </c>
      <c r="AD278" s="27" t="s">
        <v>367</v>
      </c>
      <c r="AE278" s="27" t="s">
        <v>367</v>
      </c>
      <c r="AF278" s="27" t="s">
        <v>367</v>
      </c>
      <c r="AG278" s="54">
        <f t="shared" si="94"/>
        <v>9.3012169627329797</v>
      </c>
    </row>
    <row r="279" spans="1:33" ht="15" customHeight="1">
      <c r="A279" s="33" t="s">
        <v>167</v>
      </c>
      <c r="B279" s="52">
        <f>'Расчет субсидий'!AT279</f>
        <v>13.372727272727275</v>
      </c>
      <c r="C279" s="54">
        <f>'Расчет субсидий'!D279-1</f>
        <v>-1</v>
      </c>
      <c r="D279" s="54">
        <f>C279*'Расчет субсидий'!E279</f>
        <v>0</v>
      </c>
      <c r="E279" s="55">
        <f t="shared" si="99"/>
        <v>0</v>
      </c>
      <c r="F279" s="27" t="s">
        <v>367</v>
      </c>
      <c r="G279" s="27" t="s">
        <v>367</v>
      </c>
      <c r="H279" s="27" t="s">
        <v>367</v>
      </c>
      <c r="I279" s="27" t="s">
        <v>367</v>
      </c>
      <c r="J279" s="27" t="s">
        <v>367</v>
      </c>
      <c r="K279" s="27" t="s">
        <v>367</v>
      </c>
      <c r="L279" s="54">
        <f>'Расчет субсидий'!P279-1</f>
        <v>0.22441489361702116</v>
      </c>
      <c r="M279" s="54">
        <f>L279*'Расчет субсидий'!Q279</f>
        <v>4.4882978723404232</v>
      </c>
      <c r="N279" s="55">
        <f t="shared" si="100"/>
        <v>11.015624882640028</v>
      </c>
      <c r="O279" s="54">
        <f>'Расчет субсидий'!T279-1</f>
        <v>1.513761467889907E-2</v>
      </c>
      <c r="P279" s="54">
        <f>O279*'Расчет субсидий'!U279</f>
        <v>0.37844036697247674</v>
      </c>
      <c r="Q279" s="55">
        <f t="shared" si="101"/>
        <v>0.92880580602901008</v>
      </c>
      <c r="R279" s="54">
        <f>'Расчет субсидий'!X279-1</f>
        <v>1.0000000000000009E-2</v>
      </c>
      <c r="S279" s="54">
        <f>R279*'Расчет субсидий'!Y279</f>
        <v>0.25000000000000022</v>
      </c>
      <c r="T279" s="55">
        <f t="shared" si="102"/>
        <v>0.6135747445888623</v>
      </c>
      <c r="U279" s="60">
        <f>'Расчет субсидий'!AB279-1</f>
        <v>-5.9098786828422845E-2</v>
      </c>
      <c r="V279" s="60">
        <f>U279*'Расчет субсидий'!AC279</f>
        <v>-0.29549393414211422</v>
      </c>
      <c r="W279" s="55">
        <f t="shared" si="92"/>
        <v>-0.72523046067522257</v>
      </c>
      <c r="X279" s="71">
        <f>'Расчет субсидий'!AF279-1</f>
        <v>3.1372549019607954E-2</v>
      </c>
      <c r="Y279" s="71">
        <f>X279*'Расчет субсидий'!AG279</f>
        <v>0.62745098039215907</v>
      </c>
      <c r="Z279" s="55">
        <f t="shared" si="93"/>
        <v>1.5399523001445994</v>
      </c>
      <c r="AA279" s="27" t="s">
        <v>367</v>
      </c>
      <c r="AB279" s="27" t="s">
        <v>367</v>
      </c>
      <c r="AC279" s="27" t="s">
        <v>367</v>
      </c>
      <c r="AD279" s="27" t="s">
        <v>367</v>
      </c>
      <c r="AE279" s="27" t="s">
        <v>367</v>
      </c>
      <c r="AF279" s="27" t="s">
        <v>367</v>
      </c>
      <c r="AG279" s="54">
        <f t="shared" si="94"/>
        <v>5.4486952855629447</v>
      </c>
    </row>
    <row r="280" spans="1:33" ht="15" customHeight="1">
      <c r="A280" s="32" t="s">
        <v>275</v>
      </c>
      <c r="B280" s="56"/>
      <c r="C280" s="57"/>
      <c r="D280" s="57"/>
      <c r="E280" s="58"/>
      <c r="F280" s="57"/>
      <c r="G280" s="57"/>
      <c r="H280" s="58"/>
      <c r="I280" s="58"/>
      <c r="J280" s="58"/>
      <c r="K280" s="58"/>
      <c r="L280" s="57"/>
      <c r="M280" s="57"/>
      <c r="N280" s="58"/>
      <c r="O280" s="57"/>
      <c r="P280" s="57"/>
      <c r="Q280" s="58"/>
      <c r="R280" s="57"/>
      <c r="S280" s="57"/>
      <c r="T280" s="58"/>
      <c r="U280" s="58"/>
      <c r="V280" s="58"/>
      <c r="W280" s="58"/>
      <c r="X280" s="73"/>
      <c r="Y280" s="73"/>
      <c r="Z280" s="58"/>
      <c r="AA280" s="58"/>
      <c r="AB280" s="58"/>
      <c r="AC280" s="58"/>
      <c r="AD280" s="58"/>
      <c r="AE280" s="58"/>
      <c r="AF280" s="58"/>
      <c r="AG280" s="58"/>
    </row>
    <row r="281" spans="1:33" ht="15" customHeight="1">
      <c r="A281" s="33" t="s">
        <v>71</v>
      </c>
      <c r="B281" s="52">
        <f>'Расчет субсидий'!AT281</f>
        <v>-23.409090909090907</v>
      </c>
      <c r="C281" s="54">
        <f>'Расчет субсидий'!D281-1</f>
        <v>-0.10684504462943933</v>
      </c>
      <c r="D281" s="54">
        <f>C281*'Расчет субсидий'!E281</f>
        <v>-1.0684504462943933</v>
      </c>
      <c r="E281" s="55">
        <f t="shared" ref="E281:E304" si="103">$B281*D281/$AG281</f>
        <v>-1.5323951916816929</v>
      </c>
      <c r="F281" s="27" t="s">
        <v>367</v>
      </c>
      <c r="G281" s="27" t="s">
        <v>367</v>
      </c>
      <c r="H281" s="27" t="s">
        <v>367</v>
      </c>
      <c r="I281" s="27" t="s">
        <v>367</v>
      </c>
      <c r="J281" s="27" t="s">
        <v>367</v>
      </c>
      <c r="K281" s="27" t="s">
        <v>367</v>
      </c>
      <c r="L281" s="54">
        <f>'Расчет субсидий'!P281-1</f>
        <v>-0.37860513896171999</v>
      </c>
      <c r="M281" s="54">
        <f>L281*'Расчет субсидий'!Q281</f>
        <v>-7.5721027792343998</v>
      </c>
      <c r="N281" s="55">
        <f t="shared" ref="N281:N304" si="104">$B281*M281/$AG281</f>
        <v>-10.860076786959612</v>
      </c>
      <c r="O281" s="54">
        <f>'Расчет субсидий'!T281-1</f>
        <v>0</v>
      </c>
      <c r="P281" s="54">
        <f>O281*'Расчет субсидий'!U281</f>
        <v>0</v>
      </c>
      <c r="Q281" s="55">
        <f t="shared" ref="Q281:Q304" si="105">$B281*P281/$AG281</f>
        <v>0</v>
      </c>
      <c r="R281" s="54">
        <f>'Расчет субсидий'!X281-1</f>
        <v>9.7873015873015889E-2</v>
      </c>
      <c r="S281" s="54">
        <f>R281*'Расчет субсидий'!Y281</f>
        <v>4.4042857142857148</v>
      </c>
      <c r="T281" s="55">
        <f t="shared" ref="T281:T304" si="106">$B281*S281/$AG281</f>
        <v>6.3167236953020076</v>
      </c>
      <c r="U281" s="60">
        <f>'Расчет субсидий'!AB281-1</f>
        <v>-0.22816146982501417</v>
      </c>
      <c r="V281" s="60">
        <f>U281*'Расчет субсидий'!AC281</f>
        <v>-2.2816146982501415</v>
      </c>
      <c r="W281" s="55">
        <f t="shared" si="92"/>
        <v>-3.2723421146903036</v>
      </c>
      <c r="X281" s="71">
        <f>'Расчет субсидий'!AF281-1</f>
        <v>-0.49019607843137258</v>
      </c>
      <c r="Y281" s="71">
        <f>X281*'Расчет субсидий'!AG281</f>
        <v>-9.8039215686274517</v>
      </c>
      <c r="Z281" s="55">
        <f t="shared" si="93"/>
        <v>-14.061000511061309</v>
      </c>
      <c r="AA281" s="27" t="s">
        <v>367</v>
      </c>
      <c r="AB281" s="27" t="s">
        <v>367</v>
      </c>
      <c r="AC281" s="27" t="s">
        <v>367</v>
      </c>
      <c r="AD281" s="27" t="s">
        <v>367</v>
      </c>
      <c r="AE281" s="27" t="s">
        <v>367</v>
      </c>
      <c r="AF281" s="27" t="s">
        <v>367</v>
      </c>
      <c r="AG281" s="54">
        <f t="shared" si="94"/>
        <v>-16.321803778120671</v>
      </c>
    </row>
    <row r="282" spans="1:33" ht="15" customHeight="1">
      <c r="A282" s="33" t="s">
        <v>276</v>
      </c>
      <c r="B282" s="52">
        <f>'Расчет субсидий'!AT282</f>
        <v>12.400000000000006</v>
      </c>
      <c r="C282" s="54">
        <f>'Расчет субсидий'!D282-1</f>
        <v>0</v>
      </c>
      <c r="D282" s="54">
        <f>C282*'Расчет субсидий'!E282</f>
        <v>0</v>
      </c>
      <c r="E282" s="55">
        <f t="shared" si="103"/>
        <v>0</v>
      </c>
      <c r="F282" s="27" t="s">
        <v>367</v>
      </c>
      <c r="G282" s="27" t="s">
        <v>367</v>
      </c>
      <c r="H282" s="27" t="s">
        <v>367</v>
      </c>
      <c r="I282" s="27" t="s">
        <v>367</v>
      </c>
      <c r="J282" s="27" t="s">
        <v>367</v>
      </c>
      <c r="K282" s="27" t="s">
        <v>367</v>
      </c>
      <c r="L282" s="54">
        <f>'Расчет субсидий'!P282-1</f>
        <v>0.23481120584652859</v>
      </c>
      <c r="M282" s="54">
        <f>L282*'Расчет субсидий'!Q282</f>
        <v>4.6962241169305718</v>
      </c>
      <c r="N282" s="55">
        <f t="shared" si="104"/>
        <v>6.528668137516159</v>
      </c>
      <c r="O282" s="54">
        <f>'Расчет субсидий'!T282-1</f>
        <v>0</v>
      </c>
      <c r="P282" s="54">
        <f>O282*'Расчет субсидий'!U282</f>
        <v>0</v>
      </c>
      <c r="Q282" s="55">
        <f t="shared" si="105"/>
        <v>0</v>
      </c>
      <c r="R282" s="54">
        <f>'Расчет субсидий'!X282-1</f>
        <v>0</v>
      </c>
      <c r="S282" s="54">
        <f>R282*'Расчет субсидий'!Y282</f>
        <v>0</v>
      </c>
      <c r="T282" s="55">
        <f t="shared" si="106"/>
        <v>0</v>
      </c>
      <c r="U282" s="60">
        <f>'Расчет субсидий'!AB282-1</f>
        <v>0.14961139896373066</v>
      </c>
      <c r="V282" s="60">
        <f>U282*'Расчет субсидий'!AC282</f>
        <v>1.4961139896373066</v>
      </c>
      <c r="W282" s="55">
        <f t="shared" si="92"/>
        <v>2.0798904590229266</v>
      </c>
      <c r="X282" s="71">
        <f>'Расчет субсидий'!AF282-1</f>
        <v>0.13636363636363646</v>
      </c>
      <c r="Y282" s="71">
        <f>X282*'Расчет субсидий'!AG282</f>
        <v>2.7272727272727293</v>
      </c>
      <c r="Z282" s="55">
        <f t="shared" si="93"/>
        <v>3.7914414034609196</v>
      </c>
      <c r="AA282" s="27" t="s">
        <v>367</v>
      </c>
      <c r="AB282" s="27" t="s">
        <v>367</v>
      </c>
      <c r="AC282" s="27" t="s">
        <v>367</v>
      </c>
      <c r="AD282" s="27" t="s">
        <v>367</v>
      </c>
      <c r="AE282" s="27" t="s">
        <v>367</v>
      </c>
      <c r="AF282" s="27" t="s">
        <v>367</v>
      </c>
      <c r="AG282" s="54">
        <f t="shared" si="94"/>
        <v>8.9196108338406077</v>
      </c>
    </row>
    <row r="283" spans="1:33" ht="15" customHeight="1">
      <c r="A283" s="33" t="s">
        <v>277</v>
      </c>
      <c r="B283" s="52">
        <f>'Расчет субсидий'!AT283</f>
        <v>-9.9909090909090992</v>
      </c>
      <c r="C283" s="54">
        <f>'Расчет субсидий'!D283-1</f>
        <v>-1</v>
      </c>
      <c r="D283" s="54">
        <f>C283*'Расчет субсидий'!E283</f>
        <v>0</v>
      </c>
      <c r="E283" s="55">
        <f t="shared" si="103"/>
        <v>0</v>
      </c>
      <c r="F283" s="27" t="s">
        <v>367</v>
      </c>
      <c r="G283" s="27" t="s">
        <v>367</v>
      </c>
      <c r="H283" s="27" t="s">
        <v>367</v>
      </c>
      <c r="I283" s="27" t="s">
        <v>367</v>
      </c>
      <c r="J283" s="27" t="s">
        <v>367</v>
      </c>
      <c r="K283" s="27" t="s">
        <v>367</v>
      </c>
      <c r="L283" s="54">
        <f>'Расчет субсидий'!P283-1</f>
        <v>-0.38050945988796114</v>
      </c>
      <c r="M283" s="54">
        <f>L283*'Расчет субсидий'!Q283</f>
        <v>-7.6101891977592224</v>
      </c>
      <c r="N283" s="55">
        <f t="shared" si="104"/>
        <v>-9.9262570135740127</v>
      </c>
      <c r="O283" s="54">
        <f>'Расчет субсидий'!T283-1</f>
        <v>0</v>
      </c>
      <c r="P283" s="54">
        <f>O283*'Расчет субсидий'!U283</f>
        <v>0</v>
      </c>
      <c r="Q283" s="55">
        <f t="shared" si="105"/>
        <v>0</v>
      </c>
      <c r="R283" s="54">
        <f>'Расчет субсидий'!X283-1</f>
        <v>0</v>
      </c>
      <c r="S283" s="54">
        <f>R283*'Расчет субсидий'!Y283</f>
        <v>0</v>
      </c>
      <c r="T283" s="55">
        <f t="shared" si="106"/>
        <v>0</v>
      </c>
      <c r="U283" s="60">
        <f>'Расчет субсидий'!AB283-1</f>
        <v>-7.7028769645743123E-2</v>
      </c>
      <c r="V283" s="60">
        <f>U283*'Расчет субсидий'!AC283</f>
        <v>-0.77028769645743123</v>
      </c>
      <c r="W283" s="55">
        <f t="shared" si="92"/>
        <v>-1.0047153166286182</v>
      </c>
      <c r="X283" s="71">
        <f>'Расчет субсидий'!AF283-1</f>
        <v>3.6036036036036112E-2</v>
      </c>
      <c r="Y283" s="71">
        <f>X283*'Расчет субсидий'!AG283</f>
        <v>0.72072072072072224</v>
      </c>
      <c r="Z283" s="55">
        <f t="shared" si="93"/>
        <v>0.94006323929353286</v>
      </c>
      <c r="AA283" s="27" t="s">
        <v>367</v>
      </c>
      <c r="AB283" s="27" t="s">
        <v>367</v>
      </c>
      <c r="AC283" s="27" t="s">
        <v>367</v>
      </c>
      <c r="AD283" s="27" t="s">
        <v>367</v>
      </c>
      <c r="AE283" s="27" t="s">
        <v>367</v>
      </c>
      <c r="AF283" s="27" t="s">
        <v>367</v>
      </c>
      <c r="AG283" s="54">
        <f t="shared" si="94"/>
        <v>-7.6597561734959321</v>
      </c>
    </row>
    <row r="284" spans="1:33" ht="15" customHeight="1">
      <c r="A284" s="33" t="s">
        <v>53</v>
      </c>
      <c r="B284" s="52">
        <f>'Расчет субсидий'!AT284</f>
        <v>-1.6090909090909093</v>
      </c>
      <c r="C284" s="54">
        <f>'Расчет субсидий'!D284-1</f>
        <v>-0.36982253010573007</v>
      </c>
      <c r="D284" s="54">
        <f>C284*'Расчет субсидий'!E284</f>
        <v>-3.6982253010573007</v>
      </c>
      <c r="E284" s="55">
        <f t="shared" si="103"/>
        <v>-0.55551416080195548</v>
      </c>
      <c r="F284" s="27" t="s">
        <v>367</v>
      </c>
      <c r="G284" s="27" t="s">
        <v>367</v>
      </c>
      <c r="H284" s="27" t="s">
        <v>367</v>
      </c>
      <c r="I284" s="27" t="s">
        <v>367</v>
      </c>
      <c r="J284" s="27" t="s">
        <v>367</v>
      </c>
      <c r="K284" s="27" t="s">
        <v>367</v>
      </c>
      <c r="L284" s="54">
        <f>'Расчет субсидий'!P284-1</f>
        <v>-0.22403240622890208</v>
      </c>
      <c r="M284" s="54">
        <f>L284*'Расчет субсидий'!Q284</f>
        <v>-4.4806481245780416</v>
      </c>
      <c r="N284" s="55">
        <f t="shared" si="104"/>
        <v>-0.67304268403069378</v>
      </c>
      <c r="O284" s="54">
        <f>'Расчет субсидий'!T284-1</f>
        <v>-8.7613636363636394E-2</v>
      </c>
      <c r="P284" s="54">
        <f>O284*'Расчет субсидий'!U284</f>
        <v>-3.0664772727272736</v>
      </c>
      <c r="Q284" s="55">
        <f t="shared" si="105"/>
        <v>-0.46061865086757919</v>
      </c>
      <c r="R284" s="54">
        <f>'Расчет субсидий'!X284-1</f>
        <v>0</v>
      </c>
      <c r="S284" s="54">
        <f>R284*'Расчет субсидий'!Y284</f>
        <v>0</v>
      </c>
      <c r="T284" s="55">
        <f t="shared" si="106"/>
        <v>0</v>
      </c>
      <c r="U284" s="60">
        <f>'Расчет субсидий'!AB284-1</f>
        <v>-4.2302805374492825E-2</v>
      </c>
      <c r="V284" s="60">
        <f>U284*'Расчет субсидий'!AC284</f>
        <v>-0.42302805374492825</v>
      </c>
      <c r="W284" s="55">
        <f t="shared" si="92"/>
        <v>-6.3543471568542287E-2</v>
      </c>
      <c r="X284" s="71">
        <f>'Расчет субсидий'!AF284-1</f>
        <v>4.7808764940239001E-2</v>
      </c>
      <c r="Y284" s="71">
        <f>X284*'Расчет субсидий'!AG284</f>
        <v>0.95617529880478003</v>
      </c>
      <c r="Z284" s="55">
        <f t="shared" si="93"/>
        <v>0.14362805817786126</v>
      </c>
      <c r="AA284" s="27" t="s">
        <v>367</v>
      </c>
      <c r="AB284" s="27" t="s">
        <v>367</v>
      </c>
      <c r="AC284" s="27" t="s">
        <v>367</v>
      </c>
      <c r="AD284" s="27" t="s">
        <v>367</v>
      </c>
      <c r="AE284" s="27" t="s">
        <v>367</v>
      </c>
      <c r="AF284" s="27" t="s">
        <v>367</v>
      </c>
      <c r="AG284" s="54">
        <f t="shared" si="94"/>
        <v>-10.712203453302763</v>
      </c>
    </row>
    <row r="285" spans="1:33" ht="15" customHeight="1">
      <c r="A285" s="33" t="s">
        <v>278</v>
      </c>
      <c r="B285" s="52">
        <f>'Расчет субсидий'!AT285</f>
        <v>-73.15454545454547</v>
      </c>
      <c r="C285" s="54">
        <f>'Расчет субсидий'!D285-1</f>
        <v>2.2208737864077621E-2</v>
      </c>
      <c r="D285" s="54">
        <f>C285*'Расчет субсидий'!E285</f>
        <v>0.22208737864077621</v>
      </c>
      <c r="E285" s="55">
        <f t="shared" si="103"/>
        <v>0.31982229133714346</v>
      </c>
      <c r="F285" s="27" t="s">
        <v>367</v>
      </c>
      <c r="G285" s="27" t="s">
        <v>367</v>
      </c>
      <c r="H285" s="27" t="s">
        <v>367</v>
      </c>
      <c r="I285" s="27" t="s">
        <v>367</v>
      </c>
      <c r="J285" s="27" t="s">
        <v>367</v>
      </c>
      <c r="K285" s="27" t="s">
        <v>367</v>
      </c>
      <c r="L285" s="54">
        <f>'Расчет субсидий'!P285-1</f>
        <v>-0.32548863183087351</v>
      </c>
      <c r="M285" s="54">
        <f>L285*'Расчет субсидий'!Q285</f>
        <v>-6.5097726366174697</v>
      </c>
      <c r="N285" s="55">
        <f t="shared" si="104"/>
        <v>-9.3745552469886189</v>
      </c>
      <c r="O285" s="54">
        <f>'Расчет субсидий'!T285-1</f>
        <v>-1</v>
      </c>
      <c r="P285" s="54">
        <f>O285*'Расчет субсидий'!U285</f>
        <v>-35</v>
      </c>
      <c r="Q285" s="55">
        <f t="shared" si="105"/>
        <v>-50.402594984498563</v>
      </c>
      <c r="R285" s="54">
        <f>'Расчет субсидий'!X285-1</f>
        <v>0</v>
      </c>
      <c r="S285" s="54">
        <f>R285*'Расчет субсидий'!Y285</f>
        <v>0</v>
      </c>
      <c r="T285" s="55">
        <f t="shared" si="106"/>
        <v>0</v>
      </c>
      <c r="U285" s="60">
        <f>'Расчет субсидий'!AB285-1</f>
        <v>0.15683453237410072</v>
      </c>
      <c r="V285" s="60">
        <f>U285*'Расчет субсидий'!AC285</f>
        <v>1.5683453237410072</v>
      </c>
      <c r="W285" s="55">
        <f t="shared" si="92"/>
        <v>2.258533547095722</v>
      </c>
      <c r="X285" s="71">
        <f>'Расчет субсидий'!AF285-1</f>
        <v>-0.5539906103286385</v>
      </c>
      <c r="Y285" s="71">
        <f>X285*'Расчет субсидий'!AG285</f>
        <v>-11.07981220657277</v>
      </c>
      <c r="Z285" s="55">
        <f t="shared" si="93"/>
        <v>-15.955751061491162</v>
      </c>
      <c r="AA285" s="27" t="s">
        <v>367</v>
      </c>
      <c r="AB285" s="27" t="s">
        <v>367</v>
      </c>
      <c r="AC285" s="27" t="s">
        <v>367</v>
      </c>
      <c r="AD285" s="27" t="s">
        <v>367</v>
      </c>
      <c r="AE285" s="27" t="s">
        <v>367</v>
      </c>
      <c r="AF285" s="27" t="s">
        <v>367</v>
      </c>
      <c r="AG285" s="54">
        <f t="shared" si="94"/>
        <v>-50.799152140808452</v>
      </c>
    </row>
    <row r="286" spans="1:33" ht="15" customHeight="1">
      <c r="A286" s="33" t="s">
        <v>279</v>
      </c>
      <c r="B286" s="52">
        <f>'Расчет субсидий'!AT286</f>
        <v>-37.74545454545455</v>
      </c>
      <c r="C286" s="54">
        <f>'Расчет субсидий'!D286-1</f>
        <v>-1</v>
      </c>
      <c r="D286" s="54">
        <f>C286*'Расчет субсидий'!E286</f>
        <v>0</v>
      </c>
      <c r="E286" s="55">
        <f t="shared" si="103"/>
        <v>0</v>
      </c>
      <c r="F286" s="27" t="s">
        <v>367</v>
      </c>
      <c r="G286" s="27" t="s">
        <v>367</v>
      </c>
      <c r="H286" s="27" t="s">
        <v>367</v>
      </c>
      <c r="I286" s="27" t="s">
        <v>367</v>
      </c>
      <c r="J286" s="27" t="s">
        <v>367</v>
      </c>
      <c r="K286" s="27" t="s">
        <v>367</v>
      </c>
      <c r="L286" s="54">
        <f>'Расчет субсидий'!P286-1</f>
        <v>-0.62424999999999997</v>
      </c>
      <c r="M286" s="54">
        <f>L286*'Расчет субсидий'!Q286</f>
        <v>-12.484999999999999</v>
      </c>
      <c r="N286" s="55">
        <f t="shared" si="104"/>
        <v>-31.528984037530641</v>
      </c>
      <c r="O286" s="54">
        <f>'Расчет субсидий'!T286-1</f>
        <v>-0.37717948717948713</v>
      </c>
      <c r="P286" s="54">
        <f>O286*'Расчет субсидий'!U286</f>
        <v>-11.315384615384614</v>
      </c>
      <c r="Q286" s="55">
        <f t="shared" si="105"/>
        <v>-28.575296829553974</v>
      </c>
      <c r="R286" s="54">
        <f>'Расчет субсидий'!X286-1</f>
        <v>0</v>
      </c>
      <c r="S286" s="54">
        <f>R286*'Расчет субсидий'!Y286</f>
        <v>0</v>
      </c>
      <c r="T286" s="55">
        <f t="shared" si="106"/>
        <v>0</v>
      </c>
      <c r="U286" s="60">
        <f>'Расчет субсидий'!AB286-1</f>
        <v>0.28537564766839374</v>
      </c>
      <c r="V286" s="60">
        <f>U286*'Расчет субсидий'!AC286</f>
        <v>2.8537564766839374</v>
      </c>
      <c r="W286" s="55">
        <f t="shared" si="92"/>
        <v>7.2067314697931568</v>
      </c>
      <c r="X286" s="71">
        <f>'Расчет субсидий'!AF286-1</f>
        <v>0.30000000000000004</v>
      </c>
      <c r="Y286" s="71">
        <f>X286*'Расчет субсидий'!AG286</f>
        <v>6.0000000000000009</v>
      </c>
      <c r="Z286" s="55">
        <f t="shared" si="93"/>
        <v>15.152094851836916</v>
      </c>
      <c r="AA286" s="27" t="s">
        <v>367</v>
      </c>
      <c r="AB286" s="27" t="s">
        <v>367</v>
      </c>
      <c r="AC286" s="27" t="s">
        <v>367</v>
      </c>
      <c r="AD286" s="27" t="s">
        <v>367</v>
      </c>
      <c r="AE286" s="27" t="s">
        <v>367</v>
      </c>
      <c r="AF286" s="27" t="s">
        <v>367</v>
      </c>
      <c r="AG286" s="54">
        <f t="shared" si="94"/>
        <v>-14.946628138700678</v>
      </c>
    </row>
    <row r="287" spans="1:33" ht="15" customHeight="1">
      <c r="A287" s="33" t="s">
        <v>280</v>
      </c>
      <c r="B287" s="52">
        <f>'Расчет субсидий'!AT287</f>
        <v>-2.5818181818181785</v>
      </c>
      <c r="C287" s="54">
        <f>'Расчет субсидий'!D287-1</f>
        <v>-1</v>
      </c>
      <c r="D287" s="54">
        <f>C287*'Расчет субсидий'!E287</f>
        <v>0</v>
      </c>
      <c r="E287" s="55">
        <f t="shared" si="103"/>
        <v>0</v>
      </c>
      <c r="F287" s="27" t="s">
        <v>367</v>
      </c>
      <c r="G287" s="27" t="s">
        <v>367</v>
      </c>
      <c r="H287" s="27" t="s">
        <v>367</v>
      </c>
      <c r="I287" s="27" t="s">
        <v>367</v>
      </c>
      <c r="J287" s="27" t="s">
        <v>367</v>
      </c>
      <c r="K287" s="27" t="s">
        <v>367</v>
      </c>
      <c r="L287" s="54">
        <f>'Расчет субсидий'!P287-1</f>
        <v>-0.31653878154756399</v>
      </c>
      <c r="M287" s="54">
        <f>L287*'Расчет субсидий'!Q287</f>
        <v>-6.3307756309512797</v>
      </c>
      <c r="N287" s="55">
        <f t="shared" si="104"/>
        <v>-2.0650445924742584</v>
      </c>
      <c r="O287" s="54">
        <f>'Расчет субсидий'!T287-1</f>
        <v>0</v>
      </c>
      <c r="P287" s="54">
        <f>O287*'Расчет субсидий'!U287</f>
        <v>0</v>
      </c>
      <c r="Q287" s="55">
        <f t="shared" si="105"/>
        <v>0</v>
      </c>
      <c r="R287" s="54">
        <f>'Расчет субсидий'!X287-1</f>
        <v>0</v>
      </c>
      <c r="S287" s="54">
        <f>R287*'Расчет субсидий'!Y287</f>
        <v>0</v>
      </c>
      <c r="T287" s="55">
        <f t="shared" si="106"/>
        <v>0</v>
      </c>
      <c r="U287" s="60">
        <f>'Расчет субсидий'!AB287-1</f>
        <v>3.9920618341341196E-2</v>
      </c>
      <c r="V287" s="60">
        <f>U287*'Расчет субсидий'!AC287</f>
        <v>0.39920618341341196</v>
      </c>
      <c r="W287" s="55">
        <f t="shared" si="92"/>
        <v>0.13021762551649299</v>
      </c>
      <c r="X287" s="71">
        <f>'Расчет субсидий'!AF287-1</f>
        <v>-9.9173553719008267E-2</v>
      </c>
      <c r="Y287" s="71">
        <f>X287*'Расчет субсидий'!AG287</f>
        <v>-1.9834710743801653</v>
      </c>
      <c r="Z287" s="55">
        <f t="shared" si="93"/>
        <v>-0.64699121486041322</v>
      </c>
      <c r="AA287" s="27" t="s">
        <v>367</v>
      </c>
      <c r="AB287" s="27" t="s">
        <v>367</v>
      </c>
      <c r="AC287" s="27" t="s">
        <v>367</v>
      </c>
      <c r="AD287" s="27" t="s">
        <v>367</v>
      </c>
      <c r="AE287" s="27" t="s">
        <v>367</v>
      </c>
      <c r="AF287" s="27" t="s">
        <v>367</v>
      </c>
      <c r="AG287" s="54">
        <f t="shared" si="94"/>
        <v>-7.9150405219180335</v>
      </c>
    </row>
    <row r="288" spans="1:33" ht="15" customHeight="1">
      <c r="A288" s="33" t="s">
        <v>281</v>
      </c>
      <c r="B288" s="52">
        <f>'Расчет субсидий'!AT288</f>
        <v>28.190909090909088</v>
      </c>
      <c r="C288" s="54">
        <f>'Расчет субсидий'!D288-1</f>
        <v>-1</v>
      </c>
      <c r="D288" s="54">
        <f>C288*'Расчет субсидий'!E288</f>
        <v>0</v>
      </c>
      <c r="E288" s="55">
        <f t="shared" si="103"/>
        <v>0</v>
      </c>
      <c r="F288" s="27" t="s">
        <v>367</v>
      </c>
      <c r="G288" s="27" t="s">
        <v>367</v>
      </c>
      <c r="H288" s="27" t="s">
        <v>367</v>
      </c>
      <c r="I288" s="27" t="s">
        <v>367</v>
      </c>
      <c r="J288" s="27" t="s">
        <v>367</v>
      </c>
      <c r="K288" s="27" t="s">
        <v>367</v>
      </c>
      <c r="L288" s="54">
        <f>'Расчет субсидий'!P288-1</f>
        <v>0.2382932692307691</v>
      </c>
      <c r="M288" s="54">
        <f>L288*'Расчет субсидий'!Q288</f>
        <v>4.765865384615382</v>
      </c>
      <c r="N288" s="55">
        <f t="shared" si="104"/>
        <v>15.242279059281314</v>
      </c>
      <c r="O288" s="54">
        <f>'Расчет субсидий'!T288-1</f>
        <v>9.8611111111111205E-2</v>
      </c>
      <c r="P288" s="54">
        <f>O288*'Расчет субсидий'!U288</f>
        <v>3.9444444444444482</v>
      </c>
      <c r="Q288" s="55">
        <f t="shared" si="105"/>
        <v>12.615195374618446</v>
      </c>
      <c r="R288" s="54">
        <f>'Расчет субсидий'!X288-1</f>
        <v>0</v>
      </c>
      <c r="S288" s="54">
        <f>R288*'Расчет субсидий'!Y288</f>
        <v>0</v>
      </c>
      <c r="T288" s="55">
        <f t="shared" si="106"/>
        <v>0</v>
      </c>
      <c r="U288" s="60">
        <f>'Расчет субсидий'!AB288-1</f>
        <v>-5.1350424745723933E-2</v>
      </c>
      <c r="V288" s="60">
        <f>U288*'Расчет субсидий'!AC288</f>
        <v>-0.51350424745723933</v>
      </c>
      <c r="W288" s="55">
        <f t="shared" si="92"/>
        <v>-1.642298807502123</v>
      </c>
      <c r="X288" s="71">
        <f>'Расчет субсидий'!AF288-1</f>
        <v>3.0888030888030826E-2</v>
      </c>
      <c r="Y288" s="71">
        <f>X288*'Расчет субсидий'!AG288</f>
        <v>0.61776061776061653</v>
      </c>
      <c r="Z288" s="55">
        <f t="shared" si="93"/>
        <v>1.9757334645114479</v>
      </c>
      <c r="AA288" s="27" t="s">
        <v>367</v>
      </c>
      <c r="AB288" s="27" t="s">
        <v>367</v>
      </c>
      <c r="AC288" s="27" t="s">
        <v>367</v>
      </c>
      <c r="AD288" s="27" t="s">
        <v>367</v>
      </c>
      <c r="AE288" s="27" t="s">
        <v>367</v>
      </c>
      <c r="AF288" s="27" t="s">
        <v>367</v>
      </c>
      <c r="AG288" s="54">
        <f t="shared" si="94"/>
        <v>8.8145661993632078</v>
      </c>
    </row>
    <row r="289" spans="1:33" ht="15" customHeight="1">
      <c r="A289" s="33" t="s">
        <v>282</v>
      </c>
      <c r="B289" s="52">
        <f>'Расчет субсидий'!AT289</f>
        <v>7.6545454545454561</v>
      </c>
      <c r="C289" s="54">
        <f>'Расчет субсидий'!D289-1</f>
        <v>-1</v>
      </c>
      <c r="D289" s="54">
        <f>C289*'Расчет субсидий'!E289</f>
        <v>0</v>
      </c>
      <c r="E289" s="55">
        <f t="shared" si="103"/>
        <v>0</v>
      </c>
      <c r="F289" s="27" t="s">
        <v>367</v>
      </c>
      <c r="G289" s="27" t="s">
        <v>367</v>
      </c>
      <c r="H289" s="27" t="s">
        <v>367</v>
      </c>
      <c r="I289" s="27" t="s">
        <v>367</v>
      </c>
      <c r="J289" s="27" t="s">
        <v>367</v>
      </c>
      <c r="K289" s="27" t="s">
        <v>367</v>
      </c>
      <c r="L289" s="54">
        <f>'Расчет субсидий'!P289-1</f>
        <v>0.20869174620999442</v>
      </c>
      <c r="M289" s="54">
        <f>L289*'Расчет субсидий'!Q289</f>
        <v>4.1738349241998884</v>
      </c>
      <c r="N289" s="55">
        <f t="shared" si="104"/>
        <v>5.9388019439125523</v>
      </c>
      <c r="O289" s="54">
        <f>'Расчет субсидий'!T289-1</f>
        <v>0</v>
      </c>
      <c r="P289" s="54">
        <f>O289*'Расчет субсидий'!U289</f>
        <v>0</v>
      </c>
      <c r="Q289" s="55">
        <f t="shared" si="105"/>
        <v>0</v>
      </c>
      <c r="R289" s="54">
        <f>'Расчет субсидий'!X289-1</f>
        <v>0</v>
      </c>
      <c r="S289" s="54">
        <f>R289*'Расчет субсидий'!Y289</f>
        <v>0</v>
      </c>
      <c r="T289" s="55">
        <f t="shared" si="106"/>
        <v>0</v>
      </c>
      <c r="U289" s="60">
        <f>'Расчет субсидий'!AB289-1</f>
        <v>0.21149284253578737</v>
      </c>
      <c r="V289" s="60">
        <f>U289*'Расчет субсидий'!AC289</f>
        <v>2.1149284253578737</v>
      </c>
      <c r="W289" s="55">
        <f t="shared" si="92"/>
        <v>3.009256779880674</v>
      </c>
      <c r="X289" s="71">
        <f>'Расчет субсидий'!AF289-1</f>
        <v>-4.5454545454545414E-2</v>
      </c>
      <c r="Y289" s="71">
        <f>X289*'Расчет субсидий'!AG289</f>
        <v>-0.90909090909090828</v>
      </c>
      <c r="Z289" s="55">
        <f t="shared" si="93"/>
        <v>-1.2935132692477698</v>
      </c>
      <c r="AA289" s="27" t="s">
        <v>367</v>
      </c>
      <c r="AB289" s="27" t="s">
        <v>367</v>
      </c>
      <c r="AC289" s="27" t="s">
        <v>367</v>
      </c>
      <c r="AD289" s="27" t="s">
        <v>367</v>
      </c>
      <c r="AE289" s="27" t="s">
        <v>367</v>
      </c>
      <c r="AF289" s="27" t="s">
        <v>367</v>
      </c>
      <c r="AG289" s="54">
        <f t="shared" si="94"/>
        <v>5.3796724404668534</v>
      </c>
    </row>
    <row r="290" spans="1:33" ht="15" customHeight="1">
      <c r="A290" s="33" t="s">
        <v>283</v>
      </c>
      <c r="B290" s="52">
        <f>'Расчет субсидий'!AT290</f>
        <v>7.1636363636363853</v>
      </c>
      <c r="C290" s="54">
        <f>'Расчет субсидий'!D290-1</f>
        <v>-0.60864745011086474</v>
      </c>
      <c r="D290" s="54">
        <f>C290*'Расчет субсидий'!E290</f>
        <v>-6.086474501108647</v>
      </c>
      <c r="E290" s="55">
        <f t="shared" si="103"/>
        <v>-9.0240410841995633</v>
      </c>
      <c r="F290" s="27" t="s">
        <v>367</v>
      </c>
      <c r="G290" s="27" t="s">
        <v>367</v>
      </c>
      <c r="H290" s="27" t="s">
        <v>367</v>
      </c>
      <c r="I290" s="27" t="s">
        <v>367</v>
      </c>
      <c r="J290" s="27" t="s">
        <v>367</v>
      </c>
      <c r="K290" s="27" t="s">
        <v>367</v>
      </c>
      <c r="L290" s="54">
        <f>'Расчет субсидий'!P290-1</f>
        <v>0.22495691839837795</v>
      </c>
      <c r="M290" s="54">
        <f>L290*'Расчет субсидий'!Q290</f>
        <v>4.4991383679675589</v>
      </c>
      <c r="N290" s="55">
        <f t="shared" si="104"/>
        <v>6.6705955095420979</v>
      </c>
      <c r="O290" s="54">
        <f>'Расчет субсидий'!T290-1</f>
        <v>0.20500763358778618</v>
      </c>
      <c r="P290" s="54">
        <f>O290*'Расчет субсидий'!U290</f>
        <v>7.1752671755725164</v>
      </c>
      <c r="Q290" s="55">
        <f t="shared" si="105"/>
        <v>10.638326960982223</v>
      </c>
      <c r="R290" s="54">
        <f>'Расчет субсидий'!X290-1</f>
        <v>0</v>
      </c>
      <c r="S290" s="54">
        <f>R290*'Расчет субсидий'!Y290</f>
        <v>0</v>
      </c>
      <c r="T290" s="55">
        <f t="shared" si="106"/>
        <v>0</v>
      </c>
      <c r="U290" s="60">
        <f>'Расчет субсидий'!AB290-1</f>
        <v>-0.10529857022708156</v>
      </c>
      <c r="V290" s="60">
        <f>U290*'Расчет субсидий'!AC290</f>
        <v>-1.0529857022708156</v>
      </c>
      <c r="W290" s="55">
        <f t="shared" si="92"/>
        <v>-1.5611970832434692</v>
      </c>
      <c r="X290" s="71">
        <f>'Расчет субсидий'!AF290-1</f>
        <v>1.4836795252225476E-2</v>
      </c>
      <c r="Y290" s="71">
        <f>X290*'Расчет субсидий'!AG290</f>
        <v>0.29673590504450953</v>
      </c>
      <c r="Z290" s="55">
        <f t="shared" si="93"/>
        <v>0.43995206055509517</v>
      </c>
      <c r="AA290" s="27" t="s">
        <v>367</v>
      </c>
      <c r="AB290" s="27" t="s">
        <v>367</v>
      </c>
      <c r="AC290" s="27" t="s">
        <v>367</v>
      </c>
      <c r="AD290" s="27" t="s">
        <v>367</v>
      </c>
      <c r="AE290" s="27" t="s">
        <v>367</v>
      </c>
      <c r="AF290" s="27" t="s">
        <v>367</v>
      </c>
      <c r="AG290" s="54">
        <f t="shared" si="94"/>
        <v>4.8316812452051225</v>
      </c>
    </row>
    <row r="291" spans="1:33" ht="15" customHeight="1">
      <c r="A291" s="33" t="s">
        <v>284</v>
      </c>
      <c r="B291" s="52">
        <f>'Расчет субсидий'!AT291</f>
        <v>-161.79090909090905</v>
      </c>
      <c r="C291" s="54">
        <f>'Расчет субсидий'!D291-1</f>
        <v>-1</v>
      </c>
      <c r="D291" s="54">
        <f>C291*'Расчет субсидий'!E291</f>
        <v>0</v>
      </c>
      <c r="E291" s="55">
        <f t="shared" si="103"/>
        <v>0</v>
      </c>
      <c r="F291" s="27" t="s">
        <v>367</v>
      </c>
      <c r="G291" s="27" t="s">
        <v>367</v>
      </c>
      <c r="H291" s="27" t="s">
        <v>367</v>
      </c>
      <c r="I291" s="27" t="s">
        <v>367</v>
      </c>
      <c r="J291" s="27" t="s">
        <v>367</v>
      </c>
      <c r="K291" s="27" t="s">
        <v>367</v>
      </c>
      <c r="L291" s="54">
        <f>'Расчет субсидий'!P291-1</f>
        <v>-0.38900074176115296</v>
      </c>
      <c r="M291" s="54">
        <f>L291*'Расчет субсидий'!Q291</f>
        <v>-7.7800148352230591</v>
      </c>
      <c r="N291" s="55">
        <f t="shared" si="104"/>
        <v>-26.920329422099798</v>
      </c>
      <c r="O291" s="54">
        <f>'Расчет субсидий'!T291-1</f>
        <v>-0.80142857142857138</v>
      </c>
      <c r="P291" s="54">
        <f>O291*'Расчет субсидий'!U291</f>
        <v>-32.057142857142857</v>
      </c>
      <c r="Q291" s="55">
        <f t="shared" si="105"/>
        <v>-110.92380468717406</v>
      </c>
      <c r="R291" s="54">
        <f>'Расчет субсидий'!X291-1</f>
        <v>0</v>
      </c>
      <c r="S291" s="54">
        <f>R291*'Расчет субсидий'!Y291</f>
        <v>0</v>
      </c>
      <c r="T291" s="55">
        <f t="shared" si="106"/>
        <v>0</v>
      </c>
      <c r="U291" s="60">
        <f>'Расчет субсидий'!AB291-1</f>
        <v>-0.28209302325581398</v>
      </c>
      <c r="V291" s="60">
        <f>U291*'Расчет субсидий'!AC291</f>
        <v>-2.8209302325581396</v>
      </c>
      <c r="W291" s="55">
        <f t="shared" si="92"/>
        <v>-9.7609545412966341</v>
      </c>
      <c r="X291" s="71">
        <f>'Расчет субсидий'!AF291-1</f>
        <v>-0.20498614958448758</v>
      </c>
      <c r="Y291" s="71">
        <f>X291*'Расчет субсидий'!AG291</f>
        <v>-4.0997229916897515</v>
      </c>
      <c r="Z291" s="55">
        <f t="shared" si="93"/>
        <v>-14.185820440338574</v>
      </c>
      <c r="AA291" s="27" t="s">
        <v>367</v>
      </c>
      <c r="AB291" s="27" t="s">
        <v>367</v>
      </c>
      <c r="AC291" s="27" t="s">
        <v>367</v>
      </c>
      <c r="AD291" s="27" t="s">
        <v>367</v>
      </c>
      <c r="AE291" s="27" t="s">
        <v>367</v>
      </c>
      <c r="AF291" s="27" t="s">
        <v>367</v>
      </c>
      <c r="AG291" s="54">
        <f t="shared" si="94"/>
        <v>-46.757810916613806</v>
      </c>
    </row>
    <row r="292" spans="1:33" ht="15" customHeight="1">
      <c r="A292" s="33" t="s">
        <v>285</v>
      </c>
      <c r="B292" s="52">
        <f>'Расчет субсидий'!AT292</f>
        <v>0.41818181818181621</v>
      </c>
      <c r="C292" s="54">
        <f>'Расчет субсидий'!D292-1</f>
        <v>-1</v>
      </c>
      <c r="D292" s="54">
        <f>C292*'Расчет субсидий'!E292</f>
        <v>0</v>
      </c>
      <c r="E292" s="55">
        <f t="shared" si="103"/>
        <v>0</v>
      </c>
      <c r="F292" s="27" t="s">
        <v>367</v>
      </c>
      <c r="G292" s="27" t="s">
        <v>367</v>
      </c>
      <c r="H292" s="27" t="s">
        <v>367</v>
      </c>
      <c r="I292" s="27" t="s">
        <v>367</v>
      </c>
      <c r="J292" s="27" t="s">
        <v>367</v>
      </c>
      <c r="K292" s="27" t="s">
        <v>367</v>
      </c>
      <c r="L292" s="54">
        <f>'Расчет субсидий'!P292-1</f>
        <v>0.249628112398387</v>
      </c>
      <c r="M292" s="54">
        <f>L292*'Расчет субсидий'!Q292</f>
        <v>4.9925622479677401</v>
      </c>
      <c r="N292" s="55">
        <f t="shared" si="104"/>
        <v>0.79077531356108277</v>
      </c>
      <c r="O292" s="54">
        <f>'Расчет субсидий'!T292-1</f>
        <v>0.13560606060606051</v>
      </c>
      <c r="P292" s="54">
        <f>O292*'Расчет субсидий'!U292</f>
        <v>4.0681818181818148</v>
      </c>
      <c r="Q292" s="55">
        <f t="shared" si="105"/>
        <v>0.64436207164081571</v>
      </c>
      <c r="R292" s="54">
        <f>'Расчет субсидий'!X292-1</f>
        <v>0</v>
      </c>
      <c r="S292" s="54">
        <f>R292*'Расчет субсидий'!Y292</f>
        <v>0</v>
      </c>
      <c r="T292" s="55">
        <f t="shared" si="106"/>
        <v>0</v>
      </c>
      <c r="U292" s="60">
        <f>'Расчет субсидий'!AB292-1</f>
        <v>-0.80507706255666367</v>
      </c>
      <c r="V292" s="60">
        <f>U292*'Расчет субсидий'!AC292</f>
        <v>-8.0507706255666367</v>
      </c>
      <c r="W292" s="55">
        <f t="shared" si="92"/>
        <v>-1.275167008369757</v>
      </c>
      <c r="X292" s="71">
        <f>'Расчет субсидий'!AF292-1</f>
        <v>8.1510934393638212E-2</v>
      </c>
      <c r="Y292" s="71">
        <f>X292*'Расчет субсидий'!AG292</f>
        <v>1.6302186878727642</v>
      </c>
      <c r="Z292" s="55">
        <f t="shared" si="93"/>
        <v>0.25821144134967472</v>
      </c>
      <c r="AA292" s="27" t="s">
        <v>367</v>
      </c>
      <c r="AB292" s="27" t="s">
        <v>367</v>
      </c>
      <c r="AC292" s="27" t="s">
        <v>367</v>
      </c>
      <c r="AD292" s="27" t="s">
        <v>367</v>
      </c>
      <c r="AE292" s="27" t="s">
        <v>367</v>
      </c>
      <c r="AF292" s="27" t="s">
        <v>367</v>
      </c>
      <c r="AG292" s="54">
        <f t="shared" si="94"/>
        <v>2.6401921284556824</v>
      </c>
    </row>
    <row r="293" spans="1:33" ht="15" customHeight="1">
      <c r="A293" s="33" t="s">
        <v>286</v>
      </c>
      <c r="B293" s="52">
        <f>'Расчет субсидий'!AT293</f>
        <v>-52.463636363636368</v>
      </c>
      <c r="C293" s="54">
        <f>'Расчет субсидий'!D293-1</f>
        <v>0.20050938337801605</v>
      </c>
      <c r="D293" s="54">
        <f>C293*'Расчет субсидий'!E293</f>
        <v>2.0050938337801605</v>
      </c>
      <c r="E293" s="55">
        <f t="shared" si="103"/>
        <v>3.0892167638989974</v>
      </c>
      <c r="F293" s="27" t="s">
        <v>367</v>
      </c>
      <c r="G293" s="27" t="s">
        <v>367</v>
      </c>
      <c r="H293" s="27" t="s">
        <v>367</v>
      </c>
      <c r="I293" s="27" t="s">
        <v>367</v>
      </c>
      <c r="J293" s="27" t="s">
        <v>367</v>
      </c>
      <c r="K293" s="27" t="s">
        <v>367</v>
      </c>
      <c r="L293" s="54">
        <f>'Расчет субсидий'!P293-1</f>
        <v>-0.60524225575853852</v>
      </c>
      <c r="M293" s="54">
        <f>L293*'Расчет субсидий'!Q293</f>
        <v>-12.10484511517077</v>
      </c>
      <c r="N293" s="55">
        <f t="shared" si="104"/>
        <v>-18.649745874330183</v>
      </c>
      <c r="O293" s="54">
        <f>'Расчет субсидий'!T293-1</f>
        <v>-0.78</v>
      </c>
      <c r="P293" s="54">
        <f>O293*'Расчет субсидий'!U293</f>
        <v>-23.400000000000002</v>
      </c>
      <c r="Q293" s="55">
        <f t="shared" si="105"/>
        <v>-36.052014652578201</v>
      </c>
      <c r="R293" s="54">
        <f>'Расчет субсидий'!X293-1</f>
        <v>0</v>
      </c>
      <c r="S293" s="54">
        <f>R293*'Расчет субсидий'!Y293</f>
        <v>0</v>
      </c>
      <c r="T293" s="55">
        <f t="shared" si="106"/>
        <v>0</v>
      </c>
      <c r="U293" s="60">
        <f>'Расчет субсидий'!AB293-1</f>
        <v>-0.37473002159827218</v>
      </c>
      <c r="V293" s="60">
        <f>U293*'Расчет субсидий'!AC293</f>
        <v>-3.7473002159827216</v>
      </c>
      <c r="W293" s="55">
        <f t="shared" si="92"/>
        <v>-5.7734069356503648</v>
      </c>
      <c r="X293" s="71">
        <f>'Расчет субсидий'!AF293-1</f>
        <v>0.15974440894568698</v>
      </c>
      <c r="Y293" s="71">
        <f>X293*'Расчет субсидий'!AG293</f>
        <v>3.1948881789137396</v>
      </c>
      <c r="Z293" s="55">
        <f t="shared" si="93"/>
        <v>4.9223143350233771</v>
      </c>
      <c r="AA293" s="27" t="s">
        <v>367</v>
      </c>
      <c r="AB293" s="27" t="s">
        <v>367</v>
      </c>
      <c r="AC293" s="27" t="s">
        <v>367</v>
      </c>
      <c r="AD293" s="27" t="s">
        <v>367</v>
      </c>
      <c r="AE293" s="27" t="s">
        <v>367</v>
      </c>
      <c r="AF293" s="27" t="s">
        <v>367</v>
      </c>
      <c r="AG293" s="54">
        <f t="shared" si="94"/>
        <v>-34.052163318459591</v>
      </c>
    </row>
    <row r="294" spans="1:33" ht="15" customHeight="1">
      <c r="A294" s="33" t="s">
        <v>287</v>
      </c>
      <c r="B294" s="52">
        <f>'Расчет субсидий'!AT294</f>
        <v>-1.1090909090909076</v>
      </c>
      <c r="C294" s="54">
        <f>'Расчет субсидий'!D294-1</f>
        <v>-1</v>
      </c>
      <c r="D294" s="54">
        <f>C294*'Расчет субсидий'!E294</f>
        <v>0</v>
      </c>
      <c r="E294" s="55">
        <f t="shared" si="103"/>
        <v>0</v>
      </c>
      <c r="F294" s="27" t="s">
        <v>367</v>
      </c>
      <c r="G294" s="27" t="s">
        <v>367</v>
      </c>
      <c r="H294" s="27" t="s">
        <v>367</v>
      </c>
      <c r="I294" s="27" t="s">
        <v>367</v>
      </c>
      <c r="J294" s="27" t="s">
        <v>367</v>
      </c>
      <c r="K294" s="27" t="s">
        <v>367</v>
      </c>
      <c r="L294" s="54">
        <f>'Расчет субсидий'!P294-1</f>
        <v>-0.16181926989826456</v>
      </c>
      <c r="M294" s="54">
        <f>L294*'Расчет субсидий'!Q294</f>
        <v>-3.2363853979652912</v>
      </c>
      <c r="N294" s="55">
        <f t="shared" si="104"/>
        <v>-0.36614481162224594</v>
      </c>
      <c r="O294" s="54">
        <f>'Расчет субсидий'!T294-1</f>
        <v>0</v>
      </c>
      <c r="P294" s="54">
        <f>O294*'Расчет субсидий'!U294</f>
        <v>0</v>
      </c>
      <c r="Q294" s="55">
        <f t="shared" si="105"/>
        <v>0</v>
      </c>
      <c r="R294" s="54">
        <f>'Расчет субсидий'!X294-1</f>
        <v>0</v>
      </c>
      <c r="S294" s="54">
        <f>R294*'Расчет субсидий'!Y294</f>
        <v>0</v>
      </c>
      <c r="T294" s="55">
        <f t="shared" si="106"/>
        <v>0</v>
      </c>
      <c r="U294" s="60">
        <f>'Расчет субсидий'!AB294-1</f>
        <v>-0.828125</v>
      </c>
      <c r="V294" s="60">
        <f>U294*'Расчет субсидий'!AC294</f>
        <v>-8.28125</v>
      </c>
      <c r="W294" s="55">
        <f t="shared" si="92"/>
        <v>-0.93688987818107883</v>
      </c>
      <c r="X294" s="71">
        <f>'Расчет субсидий'!AF294-1</f>
        <v>8.5714285714285632E-2</v>
      </c>
      <c r="Y294" s="71">
        <f>X294*'Расчет субсидий'!AG294</f>
        <v>1.7142857142857126</v>
      </c>
      <c r="Z294" s="55">
        <f t="shared" si="93"/>
        <v>0.19394378071241722</v>
      </c>
      <c r="AA294" s="27" t="s">
        <v>367</v>
      </c>
      <c r="AB294" s="27" t="s">
        <v>367</v>
      </c>
      <c r="AC294" s="27" t="s">
        <v>367</v>
      </c>
      <c r="AD294" s="27" t="s">
        <v>367</v>
      </c>
      <c r="AE294" s="27" t="s">
        <v>367</v>
      </c>
      <c r="AF294" s="27" t="s">
        <v>367</v>
      </c>
      <c r="AG294" s="54">
        <f t="shared" si="94"/>
        <v>-9.8033496836795777</v>
      </c>
    </row>
    <row r="295" spans="1:33" ht="15" customHeight="1">
      <c r="A295" s="33" t="s">
        <v>288</v>
      </c>
      <c r="B295" s="52">
        <f>'Расчет субсидий'!AT295</f>
        <v>-1.5363636363636317</v>
      </c>
      <c r="C295" s="54">
        <f>'Расчет субсидий'!D295-1</f>
        <v>0.30000000000000004</v>
      </c>
      <c r="D295" s="54">
        <f>C295*'Расчет субсидий'!E295</f>
        <v>3.0000000000000004</v>
      </c>
      <c r="E295" s="55">
        <f t="shared" si="103"/>
        <v>1.0402540398870015</v>
      </c>
      <c r="F295" s="27" t="s">
        <v>367</v>
      </c>
      <c r="G295" s="27" t="s">
        <v>367</v>
      </c>
      <c r="H295" s="27" t="s">
        <v>367</v>
      </c>
      <c r="I295" s="27" t="s">
        <v>367</v>
      </c>
      <c r="J295" s="27" t="s">
        <v>367</v>
      </c>
      <c r="K295" s="27" t="s">
        <v>367</v>
      </c>
      <c r="L295" s="54">
        <f>'Расчет субсидий'!P295-1</f>
        <v>-0.10458715596330281</v>
      </c>
      <c r="M295" s="54">
        <f>L295*'Расчет субсидий'!Q295</f>
        <v>-2.0917431192660563</v>
      </c>
      <c r="N295" s="55">
        <f t="shared" si="104"/>
        <v>-0.72531474340745095</v>
      </c>
      <c r="O295" s="54">
        <f>'Расчет субсидий'!T295-1</f>
        <v>0</v>
      </c>
      <c r="P295" s="54">
        <f>O295*'Расчет субсидий'!U295</f>
        <v>0</v>
      </c>
      <c r="Q295" s="55">
        <f t="shared" si="105"/>
        <v>0</v>
      </c>
      <c r="R295" s="54">
        <f>'Расчет субсидий'!X295-1</f>
        <v>0</v>
      </c>
      <c r="S295" s="54">
        <f>R295*'Расчет субсидий'!Y295</f>
        <v>0</v>
      </c>
      <c r="T295" s="55">
        <f t="shared" si="106"/>
        <v>0</v>
      </c>
      <c r="U295" s="60">
        <f>'Расчет субсидий'!AB295-1</f>
        <v>-9.6163428001993068E-2</v>
      </c>
      <c r="V295" s="60">
        <f>U295*'Расчет субсидий'!AC295</f>
        <v>-0.96163428001993068</v>
      </c>
      <c r="W295" s="55">
        <f t="shared" si="92"/>
        <v>-0.33344798156152028</v>
      </c>
      <c r="X295" s="71">
        <f>'Расчет субсидий'!AF295-1</f>
        <v>-0.21886792452830184</v>
      </c>
      <c r="Y295" s="71">
        <f>X295*'Расчет субсидий'!AG295</f>
        <v>-4.3773584905660368</v>
      </c>
      <c r="Z295" s="55">
        <f t="shared" si="93"/>
        <v>-1.5178549512816619</v>
      </c>
      <c r="AA295" s="27" t="s">
        <v>367</v>
      </c>
      <c r="AB295" s="27" t="s">
        <v>367</v>
      </c>
      <c r="AC295" s="27" t="s">
        <v>367</v>
      </c>
      <c r="AD295" s="27" t="s">
        <v>367</v>
      </c>
      <c r="AE295" s="27" t="s">
        <v>367</v>
      </c>
      <c r="AF295" s="27" t="s">
        <v>367</v>
      </c>
      <c r="AG295" s="54">
        <f t="shared" si="94"/>
        <v>-4.4307358898520235</v>
      </c>
    </row>
    <row r="296" spans="1:33" ht="15" customHeight="1">
      <c r="A296" s="33" t="s">
        <v>289</v>
      </c>
      <c r="B296" s="52">
        <f>'Расчет субсидий'!AT296</f>
        <v>-6.3636363636363491E-2</v>
      </c>
      <c r="C296" s="54">
        <f>'Расчет субсидий'!D296-1</f>
        <v>0.21679971703697287</v>
      </c>
      <c r="D296" s="54">
        <f>C296*'Расчет субсидий'!E296</f>
        <v>2.1679971703697287</v>
      </c>
      <c r="E296" s="55">
        <f t="shared" si="103"/>
        <v>0.2551758979342626</v>
      </c>
      <c r="F296" s="27" t="s">
        <v>367</v>
      </c>
      <c r="G296" s="27" t="s">
        <v>367</v>
      </c>
      <c r="H296" s="27" t="s">
        <v>367</v>
      </c>
      <c r="I296" s="27" t="s">
        <v>367</v>
      </c>
      <c r="J296" s="27" t="s">
        <v>367</v>
      </c>
      <c r="K296" s="27" t="s">
        <v>367</v>
      </c>
      <c r="L296" s="54">
        <f>'Расчет субсидий'!P296-1</f>
        <v>-0.25795267236316111</v>
      </c>
      <c r="M296" s="54">
        <f>L296*'Расчет субсидий'!Q296</f>
        <v>-5.1590534472632221</v>
      </c>
      <c r="N296" s="55">
        <f t="shared" si="104"/>
        <v>-0.60722685153308409</v>
      </c>
      <c r="O296" s="54">
        <f>'Расчет субсидий'!T296-1</f>
        <v>0</v>
      </c>
      <c r="P296" s="54">
        <f>O296*'Расчет субсидий'!U296</f>
        <v>0</v>
      </c>
      <c r="Q296" s="55">
        <f t="shared" si="105"/>
        <v>0</v>
      </c>
      <c r="R296" s="54">
        <f>'Расчет субсидий'!X296-1</f>
        <v>0</v>
      </c>
      <c r="S296" s="54">
        <f>R296*'Расчет субсидий'!Y296</f>
        <v>0</v>
      </c>
      <c r="T296" s="55">
        <f t="shared" si="106"/>
        <v>0</v>
      </c>
      <c r="U296" s="60">
        <f>'Расчет субсидий'!AB296-1</f>
        <v>-0.11859675762583177</v>
      </c>
      <c r="V296" s="60">
        <f>U296*'Расчет субсидий'!AC296</f>
        <v>-1.1859675762583177</v>
      </c>
      <c r="W296" s="55">
        <f t="shared" si="92"/>
        <v>-0.1395898229613588</v>
      </c>
      <c r="X296" s="71">
        <f>'Расчет субсидий'!AF296-1</f>
        <v>0.18181818181818188</v>
      </c>
      <c r="Y296" s="71">
        <f>X296*'Расчет субсидий'!AG296</f>
        <v>3.6363636363636376</v>
      </c>
      <c r="Z296" s="55">
        <f t="shared" si="93"/>
        <v>0.42800441292381675</v>
      </c>
      <c r="AA296" s="27" t="s">
        <v>367</v>
      </c>
      <c r="AB296" s="27" t="s">
        <v>367</v>
      </c>
      <c r="AC296" s="27" t="s">
        <v>367</v>
      </c>
      <c r="AD296" s="27" t="s">
        <v>367</v>
      </c>
      <c r="AE296" s="27" t="s">
        <v>367</v>
      </c>
      <c r="AF296" s="27" t="s">
        <v>367</v>
      </c>
      <c r="AG296" s="54">
        <f t="shared" si="94"/>
        <v>-0.54066021678817311</v>
      </c>
    </row>
    <row r="297" spans="1:33" ht="15" customHeight="1">
      <c r="A297" s="33" t="s">
        <v>290</v>
      </c>
      <c r="B297" s="52">
        <f>'Расчет субсидий'!AT297</f>
        <v>-7.2727272727272307E-2</v>
      </c>
      <c r="C297" s="54">
        <f>'Расчет субсидий'!D297-1</f>
        <v>0.30000000000000004</v>
      </c>
      <c r="D297" s="54">
        <f>C297*'Расчет субсидий'!E297</f>
        <v>3.0000000000000004</v>
      </c>
      <c r="E297" s="55">
        <f t="shared" si="103"/>
        <v>0.2362052675318479</v>
      </c>
      <c r="F297" s="27" t="s">
        <v>367</v>
      </c>
      <c r="G297" s="27" t="s">
        <v>367</v>
      </c>
      <c r="H297" s="27" t="s">
        <v>367</v>
      </c>
      <c r="I297" s="27" t="s">
        <v>367</v>
      </c>
      <c r="J297" s="27" t="s">
        <v>367</v>
      </c>
      <c r="K297" s="27" t="s">
        <v>367</v>
      </c>
      <c r="L297" s="54">
        <f>'Расчет субсидий'!P297-1</f>
        <v>0.21047868683396365</v>
      </c>
      <c r="M297" s="54">
        <f>L297*'Расчет субсидий'!Q297</f>
        <v>4.2095737366792729</v>
      </c>
      <c r="N297" s="55">
        <f t="shared" si="104"/>
        <v>0.3314411635557894</v>
      </c>
      <c r="O297" s="54">
        <f>'Расчет субсидий'!T297-1</f>
        <v>0</v>
      </c>
      <c r="P297" s="54">
        <f>O297*'Расчет субсидий'!U297</f>
        <v>0</v>
      </c>
      <c r="Q297" s="55">
        <f t="shared" si="105"/>
        <v>0</v>
      </c>
      <c r="R297" s="54">
        <f>'Расчет субсидий'!X297-1</f>
        <v>0</v>
      </c>
      <c r="S297" s="54">
        <f>R297*'Расчет субсидий'!Y297</f>
        <v>0</v>
      </c>
      <c r="T297" s="55">
        <f t="shared" si="106"/>
        <v>0</v>
      </c>
      <c r="U297" s="60">
        <f>'Расчет субсидий'!AB297-1</f>
        <v>-0.6133269556258738</v>
      </c>
      <c r="V297" s="60">
        <f>U297*'Расчет субсидий'!AC297</f>
        <v>-6.133269556258738</v>
      </c>
      <c r="W297" s="55">
        <f t="shared" si="92"/>
        <v>-0.48290352546034432</v>
      </c>
      <c r="X297" s="71">
        <f>'Расчет субсидий'!AF297-1</f>
        <v>-9.9999999999999978E-2</v>
      </c>
      <c r="Y297" s="71">
        <f>X297*'Расчет субсидий'!AG297</f>
        <v>-1.9999999999999996</v>
      </c>
      <c r="Z297" s="55">
        <f t="shared" si="93"/>
        <v>-0.1574701783545652</v>
      </c>
      <c r="AA297" s="27" t="s">
        <v>367</v>
      </c>
      <c r="AB297" s="27" t="s">
        <v>367</v>
      </c>
      <c r="AC297" s="27" t="s">
        <v>367</v>
      </c>
      <c r="AD297" s="27" t="s">
        <v>367</v>
      </c>
      <c r="AE297" s="27" t="s">
        <v>367</v>
      </c>
      <c r="AF297" s="27" t="s">
        <v>367</v>
      </c>
      <c r="AG297" s="54">
        <f t="shared" si="94"/>
        <v>-0.92369581957946467</v>
      </c>
    </row>
    <row r="298" spans="1:33" ht="15" customHeight="1">
      <c r="A298" s="33" t="s">
        <v>291</v>
      </c>
      <c r="B298" s="52">
        <f>'Расчет субсидий'!AT298</f>
        <v>-8.2727272727272805</v>
      </c>
      <c r="C298" s="54">
        <f>'Расчет субсидий'!D298-1</f>
        <v>-1</v>
      </c>
      <c r="D298" s="54">
        <f>C298*'Расчет субсидий'!E298</f>
        <v>0</v>
      </c>
      <c r="E298" s="55">
        <f t="shared" si="103"/>
        <v>0</v>
      </c>
      <c r="F298" s="27" t="s">
        <v>367</v>
      </c>
      <c r="G298" s="27" t="s">
        <v>367</v>
      </c>
      <c r="H298" s="27" t="s">
        <v>367</v>
      </c>
      <c r="I298" s="27" t="s">
        <v>367</v>
      </c>
      <c r="J298" s="27" t="s">
        <v>367</v>
      </c>
      <c r="K298" s="27" t="s">
        <v>367</v>
      </c>
      <c r="L298" s="54">
        <f>'Расчет субсидий'!P298-1</f>
        <v>-0.24738139248305613</v>
      </c>
      <c r="M298" s="54">
        <f>L298*'Расчет субсидий'!Q298</f>
        <v>-4.9476278496611226</v>
      </c>
      <c r="N298" s="55">
        <f t="shared" si="104"/>
        <v>-6.2638160036202324</v>
      </c>
      <c r="O298" s="54">
        <f>'Расчет субсидий'!T298-1</f>
        <v>0</v>
      </c>
      <c r="P298" s="54">
        <f>O298*'Расчет субсидий'!U298</f>
        <v>0</v>
      </c>
      <c r="Q298" s="55">
        <f t="shared" si="105"/>
        <v>0</v>
      </c>
      <c r="R298" s="54">
        <f>'Расчет субсидий'!X298-1</f>
        <v>0</v>
      </c>
      <c r="S298" s="54">
        <f>R298*'Расчет субсидий'!Y298</f>
        <v>0</v>
      </c>
      <c r="T298" s="55">
        <f t="shared" si="106"/>
        <v>0</v>
      </c>
      <c r="U298" s="60">
        <f>'Расчет субсидий'!AB298-1</f>
        <v>-0.15867875647668395</v>
      </c>
      <c r="V298" s="60">
        <f>U298*'Расчет субсидий'!AC298</f>
        <v>-1.5867875647668395</v>
      </c>
      <c r="W298" s="55">
        <f t="shared" si="92"/>
        <v>-2.0089112691070485</v>
      </c>
      <c r="X298" s="71">
        <f>'Расчет субсидий'!AF298-1</f>
        <v>0</v>
      </c>
      <c r="Y298" s="71">
        <f>X298*'Расчет субсидий'!AG298</f>
        <v>0</v>
      </c>
      <c r="Z298" s="55">
        <f t="shared" si="93"/>
        <v>0</v>
      </c>
      <c r="AA298" s="27" t="s">
        <v>367</v>
      </c>
      <c r="AB298" s="27" t="s">
        <v>367</v>
      </c>
      <c r="AC298" s="27" t="s">
        <v>367</v>
      </c>
      <c r="AD298" s="27" t="s">
        <v>367</v>
      </c>
      <c r="AE298" s="27" t="s">
        <v>367</v>
      </c>
      <c r="AF298" s="27" t="s">
        <v>367</v>
      </c>
      <c r="AG298" s="54">
        <f t="shared" si="94"/>
        <v>-6.5344154144279623</v>
      </c>
    </row>
    <row r="299" spans="1:33" ht="15" customHeight="1">
      <c r="A299" s="33" t="s">
        <v>292</v>
      </c>
      <c r="B299" s="52">
        <f>'Расчет субсидий'!AT299</f>
        <v>-26.072727272727292</v>
      </c>
      <c r="C299" s="54">
        <f>'Расчет субсидий'!D299-1</f>
        <v>-0.45253275109170299</v>
      </c>
      <c r="D299" s="54">
        <f>C299*'Расчет субсидий'!E299</f>
        <v>-4.5253275109170303</v>
      </c>
      <c r="E299" s="55">
        <f t="shared" si="103"/>
        <v>-8.2817499565506179</v>
      </c>
      <c r="F299" s="27" t="s">
        <v>367</v>
      </c>
      <c r="G299" s="27" t="s">
        <v>367</v>
      </c>
      <c r="H299" s="27" t="s">
        <v>367</v>
      </c>
      <c r="I299" s="27" t="s">
        <v>367</v>
      </c>
      <c r="J299" s="27" t="s">
        <v>367</v>
      </c>
      <c r="K299" s="27" t="s">
        <v>367</v>
      </c>
      <c r="L299" s="54">
        <f>'Расчет субсидий'!P299-1</f>
        <v>-0.63939561451999261</v>
      </c>
      <c r="M299" s="54">
        <f>L299*'Расчет субсидий'!Q299</f>
        <v>-12.787912290399852</v>
      </c>
      <c r="N299" s="55">
        <f t="shared" si="104"/>
        <v>-23.403011561019774</v>
      </c>
      <c r="O299" s="54">
        <f>'Расчет субсидий'!T299-1</f>
        <v>0</v>
      </c>
      <c r="P299" s="54">
        <f>O299*'Расчет субсидий'!U299</f>
        <v>0</v>
      </c>
      <c r="Q299" s="55">
        <f t="shared" si="105"/>
        <v>0</v>
      </c>
      <c r="R299" s="54">
        <f>'Расчет субсидий'!X299-1</f>
        <v>0</v>
      </c>
      <c r="S299" s="54">
        <f>R299*'Расчет субсидий'!Y299</f>
        <v>0</v>
      </c>
      <c r="T299" s="55">
        <f t="shared" si="106"/>
        <v>0</v>
      </c>
      <c r="U299" s="60">
        <f>'Расчет субсидий'!AB299-1</f>
        <v>-0.17050605976501065</v>
      </c>
      <c r="V299" s="60">
        <f>U299*'Расчет субсидий'!AC299</f>
        <v>-1.7050605976501065</v>
      </c>
      <c r="W299" s="55">
        <f t="shared" si="92"/>
        <v>-3.1204118368094482</v>
      </c>
      <c r="X299" s="71">
        <f>'Расчет субсидий'!AF299-1</f>
        <v>0.23857988165680477</v>
      </c>
      <c r="Y299" s="71">
        <f>X299*'Расчет субсидий'!AG299</f>
        <v>4.7715976331360954</v>
      </c>
      <c r="Z299" s="55">
        <f t="shared" si="93"/>
        <v>8.7324460816525455</v>
      </c>
      <c r="AA299" s="27" t="s">
        <v>367</v>
      </c>
      <c r="AB299" s="27" t="s">
        <v>367</v>
      </c>
      <c r="AC299" s="27" t="s">
        <v>367</v>
      </c>
      <c r="AD299" s="27" t="s">
        <v>367</v>
      </c>
      <c r="AE299" s="27" t="s">
        <v>367</v>
      </c>
      <c r="AF299" s="27" t="s">
        <v>367</v>
      </c>
      <c r="AG299" s="54">
        <f t="shared" si="94"/>
        <v>-14.246702765830893</v>
      </c>
    </row>
    <row r="300" spans="1:33" ht="15" customHeight="1">
      <c r="A300" s="33" t="s">
        <v>293</v>
      </c>
      <c r="B300" s="52">
        <f>'Расчет субсидий'!AT300</f>
        <v>-28.954545454545439</v>
      </c>
      <c r="C300" s="54">
        <f>'Расчет субсидий'!D300-1</f>
        <v>-0.27894181985899713</v>
      </c>
      <c r="D300" s="54">
        <f>C300*'Расчет субсидий'!E300</f>
        <v>-2.7894181985899715</v>
      </c>
      <c r="E300" s="55">
        <f t="shared" si="103"/>
        <v>-8.2672914175930874</v>
      </c>
      <c r="F300" s="27" t="s">
        <v>367</v>
      </c>
      <c r="G300" s="27" t="s">
        <v>367</v>
      </c>
      <c r="H300" s="27" t="s">
        <v>367</v>
      </c>
      <c r="I300" s="27" t="s">
        <v>367</v>
      </c>
      <c r="J300" s="27" t="s">
        <v>367</v>
      </c>
      <c r="K300" s="27" t="s">
        <v>367</v>
      </c>
      <c r="L300" s="54">
        <f>'Расчет субсидий'!P300-1</f>
        <v>-0.59071772253408183</v>
      </c>
      <c r="M300" s="54">
        <f>L300*'Расчет субсидий'!Q300</f>
        <v>-11.814354450681638</v>
      </c>
      <c r="N300" s="55">
        <f t="shared" si="104"/>
        <v>-35.015442002886395</v>
      </c>
      <c r="O300" s="54">
        <f>'Расчет субсидий'!T300-1</f>
        <v>0.26923809523809528</v>
      </c>
      <c r="P300" s="54">
        <f>O300*'Расчет субсидий'!U300</f>
        <v>5.3847619047619055</v>
      </c>
      <c r="Q300" s="55">
        <f t="shared" si="105"/>
        <v>15.959383897159448</v>
      </c>
      <c r="R300" s="54">
        <f>'Расчет субсидий'!X300-1</f>
        <v>0</v>
      </c>
      <c r="S300" s="54">
        <f>R300*'Расчет субсидий'!Y300</f>
        <v>0</v>
      </c>
      <c r="T300" s="55">
        <f t="shared" si="106"/>
        <v>0</v>
      </c>
      <c r="U300" s="60">
        <f>'Расчет субсидий'!AB300-1</f>
        <v>-0.24551341350601297</v>
      </c>
      <c r="V300" s="60">
        <f>U300*'Расчет субсидий'!AC300</f>
        <v>-2.4551341350601295</v>
      </c>
      <c r="W300" s="55">
        <f t="shared" si="92"/>
        <v>-7.2765386610306635</v>
      </c>
      <c r="X300" s="71">
        <f>'Расчет субсидий'!AF300-1</f>
        <v>9.5238095238095344E-2</v>
      </c>
      <c r="Y300" s="71">
        <f>X300*'Расчет субсидий'!AG300</f>
        <v>1.9047619047619069</v>
      </c>
      <c r="Z300" s="55">
        <f t="shared" si="93"/>
        <v>5.6453427298052583</v>
      </c>
      <c r="AA300" s="27" t="s">
        <v>367</v>
      </c>
      <c r="AB300" s="27" t="s">
        <v>367</v>
      </c>
      <c r="AC300" s="27" t="s">
        <v>367</v>
      </c>
      <c r="AD300" s="27" t="s">
        <v>367</v>
      </c>
      <c r="AE300" s="27" t="s">
        <v>367</v>
      </c>
      <c r="AF300" s="27" t="s">
        <v>367</v>
      </c>
      <c r="AG300" s="54">
        <f t="shared" si="94"/>
        <v>-9.7693829748079253</v>
      </c>
    </row>
    <row r="301" spans="1:33" ht="15" customHeight="1">
      <c r="A301" s="33" t="s">
        <v>294</v>
      </c>
      <c r="B301" s="52">
        <f>'Расчет субсидий'!AT301</f>
        <v>-1.5636363636363626</v>
      </c>
      <c r="C301" s="54">
        <f>'Расчет субсидий'!D301-1</f>
        <v>0.25087420145991057</v>
      </c>
      <c r="D301" s="54">
        <f>C301*'Расчет субсидий'!E301</f>
        <v>2.5087420145991057</v>
      </c>
      <c r="E301" s="55">
        <f t="shared" si="103"/>
        <v>0.37667241946550656</v>
      </c>
      <c r="F301" s="27" t="s">
        <v>367</v>
      </c>
      <c r="G301" s="27" t="s">
        <v>367</v>
      </c>
      <c r="H301" s="27" t="s">
        <v>367</v>
      </c>
      <c r="I301" s="27" t="s">
        <v>367</v>
      </c>
      <c r="J301" s="27" t="s">
        <v>367</v>
      </c>
      <c r="K301" s="27" t="s">
        <v>367</v>
      </c>
      <c r="L301" s="54">
        <f>'Расчет субсидий'!P301-1</f>
        <v>-0.48210822489072003</v>
      </c>
      <c r="M301" s="54">
        <f>L301*'Расчет субсидий'!Q301</f>
        <v>-9.6421644978144005</v>
      </c>
      <c r="N301" s="55">
        <f t="shared" si="104"/>
        <v>-1.4477126022288669</v>
      </c>
      <c r="O301" s="54">
        <f>'Расчет субсидий'!T301-1</f>
        <v>0</v>
      </c>
      <c r="P301" s="54">
        <f>O301*'Расчет субсидий'!U301</f>
        <v>0</v>
      </c>
      <c r="Q301" s="55">
        <f t="shared" si="105"/>
        <v>0</v>
      </c>
      <c r="R301" s="54">
        <f>'Расчет субсидий'!X301-1</f>
        <v>0</v>
      </c>
      <c r="S301" s="54">
        <f>R301*'Расчет субсидий'!Y301</f>
        <v>0</v>
      </c>
      <c r="T301" s="55">
        <f t="shared" si="106"/>
        <v>0</v>
      </c>
      <c r="U301" s="60">
        <f>'Расчет субсидий'!AB301-1</f>
        <v>-0.52416104940461572</v>
      </c>
      <c r="V301" s="60">
        <f>U301*'Расчет субсидий'!AC301</f>
        <v>-5.2416104940461574</v>
      </c>
      <c r="W301" s="55">
        <f t="shared" si="92"/>
        <v>-0.78699607022113727</v>
      </c>
      <c r="X301" s="71">
        <f>'Расчет субсидий'!AF301-1</f>
        <v>9.8039215686274606E-2</v>
      </c>
      <c r="Y301" s="71">
        <f>X301*'Расчет субсидий'!AG301</f>
        <v>1.9607843137254921</v>
      </c>
      <c r="Z301" s="55">
        <f t="shared" si="93"/>
        <v>0.29439988934813499</v>
      </c>
      <c r="AA301" s="27" t="s">
        <v>367</v>
      </c>
      <c r="AB301" s="27" t="s">
        <v>367</v>
      </c>
      <c r="AC301" s="27" t="s">
        <v>367</v>
      </c>
      <c r="AD301" s="27" t="s">
        <v>367</v>
      </c>
      <c r="AE301" s="27" t="s">
        <v>367</v>
      </c>
      <c r="AF301" s="27" t="s">
        <v>367</v>
      </c>
      <c r="AG301" s="54">
        <f t="shared" si="94"/>
        <v>-10.414248663535959</v>
      </c>
    </row>
    <row r="302" spans="1:33" ht="15" customHeight="1">
      <c r="A302" s="33" t="s">
        <v>295</v>
      </c>
      <c r="B302" s="52">
        <f>'Расчет субсидий'!AT302</f>
        <v>2.0818181818181927</v>
      </c>
      <c r="C302" s="54">
        <f>'Расчет субсидий'!D302-1</f>
        <v>0.16403419186054635</v>
      </c>
      <c r="D302" s="54">
        <f>C302*'Расчет субсидий'!E302</f>
        <v>1.6403419186054635</v>
      </c>
      <c r="E302" s="55">
        <f t="shared" si="103"/>
        <v>2.5482450225787123</v>
      </c>
      <c r="F302" s="27" t="s">
        <v>367</v>
      </c>
      <c r="G302" s="27" t="s">
        <v>367</v>
      </c>
      <c r="H302" s="27" t="s">
        <v>367</v>
      </c>
      <c r="I302" s="27" t="s">
        <v>367</v>
      </c>
      <c r="J302" s="27" t="s">
        <v>367</v>
      </c>
      <c r="K302" s="27" t="s">
        <v>367</v>
      </c>
      <c r="L302" s="54">
        <f>'Расчет субсидий'!P302-1</f>
        <v>-0.261344098078792</v>
      </c>
      <c r="M302" s="54">
        <f>L302*'Расчет субсидий'!Q302</f>
        <v>-5.22688196157584</v>
      </c>
      <c r="N302" s="55">
        <f t="shared" si="104"/>
        <v>-8.1198778078631051</v>
      </c>
      <c r="O302" s="54">
        <f>'Расчет субсидий'!T302-1</f>
        <v>0.23923076923076914</v>
      </c>
      <c r="P302" s="54">
        <f>O302*'Расчет субсидий'!U302</f>
        <v>7.1769230769230745</v>
      </c>
      <c r="Q302" s="55">
        <f t="shared" si="105"/>
        <v>11.149235595800381</v>
      </c>
      <c r="R302" s="54">
        <f>'Расчет субсидий'!X302-1</f>
        <v>0</v>
      </c>
      <c r="S302" s="54">
        <f>R302*'Расчет субсидий'!Y302</f>
        <v>0</v>
      </c>
      <c r="T302" s="55">
        <f t="shared" si="106"/>
        <v>0</v>
      </c>
      <c r="U302" s="60">
        <f>'Расчет субсидий'!AB302-1</f>
        <v>-0.44902867715078632</v>
      </c>
      <c r="V302" s="60">
        <f>U302*'Расчет субсидий'!AC302</f>
        <v>-4.4902867715078632</v>
      </c>
      <c r="W302" s="55">
        <f t="shared" si="92"/>
        <v>-6.9755889218350662</v>
      </c>
      <c r="X302" s="71">
        <f>'Расчет субсидий'!AF302-1</f>
        <v>0.1120000000000001</v>
      </c>
      <c r="Y302" s="71">
        <f>X302*'Расчет субсидий'!AG302</f>
        <v>2.240000000000002</v>
      </c>
      <c r="Z302" s="55">
        <f t="shared" si="93"/>
        <v>3.4798042931372719</v>
      </c>
      <c r="AA302" s="27" t="s">
        <v>367</v>
      </c>
      <c r="AB302" s="27" t="s">
        <v>367</v>
      </c>
      <c r="AC302" s="27" t="s">
        <v>367</v>
      </c>
      <c r="AD302" s="27" t="s">
        <v>367</v>
      </c>
      <c r="AE302" s="27" t="s">
        <v>367</v>
      </c>
      <c r="AF302" s="27" t="s">
        <v>367</v>
      </c>
      <c r="AG302" s="54">
        <f t="shared" si="94"/>
        <v>1.3400962624448369</v>
      </c>
    </row>
    <row r="303" spans="1:33" ht="15" customHeight="1">
      <c r="A303" s="33" t="s">
        <v>296</v>
      </c>
      <c r="B303" s="52">
        <f>'Расчет субсидий'!AT303</f>
        <v>-5.3545454545454731</v>
      </c>
      <c r="C303" s="54">
        <f>'Расчет субсидий'!D303-1</f>
        <v>8.5045445106464612E-2</v>
      </c>
      <c r="D303" s="54">
        <f>C303*'Расчет субсидий'!E303</f>
        <v>0.85045445106464612</v>
      </c>
      <c r="E303" s="55">
        <f t="shared" si="103"/>
        <v>0.9277582027745005</v>
      </c>
      <c r="F303" s="27" t="s">
        <v>367</v>
      </c>
      <c r="G303" s="27" t="s">
        <v>367</v>
      </c>
      <c r="H303" s="27" t="s">
        <v>367</v>
      </c>
      <c r="I303" s="27" t="s">
        <v>367</v>
      </c>
      <c r="J303" s="27" t="s">
        <v>367</v>
      </c>
      <c r="K303" s="27" t="s">
        <v>367</v>
      </c>
      <c r="L303" s="54">
        <f>'Расчет субсидий'!P303-1</f>
        <v>-0.24146273378617289</v>
      </c>
      <c r="M303" s="54">
        <f>L303*'Расчет субсидий'!Q303</f>
        <v>-4.8292546757234582</v>
      </c>
      <c r="N303" s="55">
        <f t="shared" si="104"/>
        <v>-5.2682194009106071</v>
      </c>
      <c r="O303" s="54">
        <f>'Расчет субсидий'!T303-1</f>
        <v>9.3023255813950989E-4</v>
      </c>
      <c r="P303" s="54">
        <f>O303*'Расчет субсидий'!U303</f>
        <v>2.7906976744185297E-2</v>
      </c>
      <c r="Q303" s="55">
        <f t="shared" si="105"/>
        <v>3.0443636995071788E-2</v>
      </c>
      <c r="R303" s="54">
        <f>'Расчет субсидий'!X303-1</f>
        <v>0</v>
      </c>
      <c r="S303" s="54">
        <f>R303*'Расчет субсидий'!Y303</f>
        <v>0</v>
      </c>
      <c r="T303" s="55">
        <f t="shared" si="106"/>
        <v>0</v>
      </c>
      <c r="U303" s="60">
        <f>'Расчет субсидий'!AB303-1</f>
        <v>-0.14756292362820012</v>
      </c>
      <c r="V303" s="60">
        <f>U303*'Расчет субсидий'!AC303</f>
        <v>-1.4756292362820012</v>
      </c>
      <c r="W303" s="55">
        <f t="shared" ref="W303:W366" si="107">$B303*V303/$AG303</f>
        <v>-1.6097594956445627</v>
      </c>
      <c r="X303" s="71">
        <f>'Расчет субсидий'!AF303-1</f>
        <v>2.5906735751295429E-2</v>
      </c>
      <c r="Y303" s="71">
        <f>X303*'Расчет субсидий'!AG303</f>
        <v>0.51813471502590858</v>
      </c>
      <c r="Z303" s="55">
        <f t="shared" si="93"/>
        <v>0.56523160224012381</v>
      </c>
      <c r="AA303" s="27" t="s">
        <v>367</v>
      </c>
      <c r="AB303" s="27" t="s">
        <v>367</v>
      </c>
      <c r="AC303" s="27" t="s">
        <v>367</v>
      </c>
      <c r="AD303" s="27" t="s">
        <v>367</v>
      </c>
      <c r="AE303" s="27" t="s">
        <v>367</v>
      </c>
      <c r="AF303" s="27" t="s">
        <v>367</v>
      </c>
      <c r="AG303" s="54">
        <f t="shared" si="94"/>
        <v>-4.9083877691707194</v>
      </c>
    </row>
    <row r="304" spans="1:33" ht="15" customHeight="1">
      <c r="A304" s="33" t="s">
        <v>297</v>
      </c>
      <c r="B304" s="52">
        <f>'Расчет субсидий'!AT304</f>
        <v>-219.82727272727274</v>
      </c>
      <c r="C304" s="54">
        <f>'Расчет субсидий'!D304-1</f>
        <v>-0.87119664818295928</v>
      </c>
      <c r="D304" s="54">
        <f>C304*'Расчет субсидий'!E304</f>
        <v>-8.7119664818295934</v>
      </c>
      <c r="E304" s="55">
        <f t="shared" si="103"/>
        <v>-29.442928320421856</v>
      </c>
      <c r="F304" s="27" t="s">
        <v>367</v>
      </c>
      <c r="G304" s="27" t="s">
        <v>367</v>
      </c>
      <c r="H304" s="27" t="s">
        <v>367</v>
      </c>
      <c r="I304" s="27" t="s">
        <v>367</v>
      </c>
      <c r="J304" s="27" t="s">
        <v>367</v>
      </c>
      <c r="K304" s="27" t="s">
        <v>367</v>
      </c>
      <c r="L304" s="54">
        <f>'Расчет субсидий'!P304-1</f>
        <v>-0.4719767210685174</v>
      </c>
      <c r="M304" s="54">
        <f>L304*'Расчет субсидий'!Q304</f>
        <v>-9.4395344213703485</v>
      </c>
      <c r="N304" s="55">
        <f t="shared" si="104"/>
        <v>-31.901814122704778</v>
      </c>
      <c r="O304" s="54">
        <f>'Расчет субсидий'!T304-1</f>
        <v>-1</v>
      </c>
      <c r="P304" s="54">
        <f>O304*'Расчет субсидий'!U304</f>
        <v>-35</v>
      </c>
      <c r="Q304" s="55">
        <f t="shared" si="105"/>
        <v>-118.28586500694961</v>
      </c>
      <c r="R304" s="54">
        <f>'Расчет субсидий'!X304-1</f>
        <v>0</v>
      </c>
      <c r="S304" s="54">
        <f>R304*'Расчет субсидий'!Y304</f>
        <v>0</v>
      </c>
      <c r="T304" s="55">
        <f t="shared" si="106"/>
        <v>0</v>
      </c>
      <c r="U304" s="60">
        <f>'Расчет субсидий'!AB304-1</f>
        <v>0.11060743427017217</v>
      </c>
      <c r="V304" s="60">
        <f>U304*'Расчет субсидий'!AC304</f>
        <v>1.1060743427017217</v>
      </c>
      <c r="W304" s="55">
        <f t="shared" si="107"/>
        <v>3.7380845825276103</v>
      </c>
      <c r="X304" s="71">
        <f>'Расчет субсидий'!AF304-1</f>
        <v>-0.65</v>
      </c>
      <c r="Y304" s="71">
        <f>X304*'Расчет субсидий'!AG304</f>
        <v>-13</v>
      </c>
      <c r="Z304" s="55">
        <f t="shared" ref="Z304:Z367" si="108">$B304*Y304/$AG304</f>
        <v>-43.934749859724135</v>
      </c>
      <c r="AA304" s="27" t="s">
        <v>367</v>
      </c>
      <c r="AB304" s="27" t="s">
        <v>367</v>
      </c>
      <c r="AC304" s="27" t="s">
        <v>367</v>
      </c>
      <c r="AD304" s="27" t="s">
        <v>367</v>
      </c>
      <c r="AE304" s="27" t="s">
        <v>367</v>
      </c>
      <c r="AF304" s="27" t="s">
        <v>367</v>
      </c>
      <c r="AG304" s="54">
        <f t="shared" ref="AG304:AG367" si="109">D304+M304+P304+S304+V304+Y304</f>
        <v>-65.045426560498214</v>
      </c>
    </row>
    <row r="305" spans="1:33" ht="15" customHeight="1">
      <c r="A305" s="32" t="s">
        <v>298</v>
      </c>
      <c r="B305" s="56"/>
      <c r="C305" s="57"/>
      <c r="D305" s="57"/>
      <c r="E305" s="58"/>
      <c r="F305" s="57"/>
      <c r="G305" s="57"/>
      <c r="H305" s="58"/>
      <c r="I305" s="58"/>
      <c r="J305" s="58"/>
      <c r="K305" s="58"/>
      <c r="L305" s="57"/>
      <c r="M305" s="57"/>
      <c r="N305" s="58"/>
      <c r="O305" s="57"/>
      <c r="P305" s="57"/>
      <c r="Q305" s="58"/>
      <c r="R305" s="57"/>
      <c r="S305" s="57"/>
      <c r="T305" s="58"/>
      <c r="U305" s="58"/>
      <c r="V305" s="58"/>
      <c r="W305" s="58"/>
      <c r="X305" s="73"/>
      <c r="Y305" s="73"/>
      <c r="Z305" s="58"/>
      <c r="AA305" s="58"/>
      <c r="AB305" s="58"/>
      <c r="AC305" s="58"/>
      <c r="AD305" s="58"/>
      <c r="AE305" s="58"/>
      <c r="AF305" s="58"/>
      <c r="AG305" s="58"/>
    </row>
    <row r="306" spans="1:33" ht="15" customHeight="1">
      <c r="A306" s="33" t="s">
        <v>299</v>
      </c>
      <c r="B306" s="52">
        <f>'Расчет субсидий'!AT306</f>
        <v>-0.13636363636363669</v>
      </c>
      <c r="C306" s="54">
        <f>'Расчет субсидий'!D306-1</f>
        <v>-3.3483691880638489E-2</v>
      </c>
      <c r="D306" s="54">
        <f>C306*'Расчет субсидий'!E306</f>
        <v>-0.33483691880638489</v>
      </c>
      <c r="E306" s="55">
        <f t="shared" ref="E306:E320" si="110">$B306*D306/$AG306</f>
        <v>-2.0098255587243864E-2</v>
      </c>
      <c r="F306" s="27" t="s">
        <v>367</v>
      </c>
      <c r="G306" s="27" t="s">
        <v>367</v>
      </c>
      <c r="H306" s="27" t="s">
        <v>367</v>
      </c>
      <c r="I306" s="27" t="s">
        <v>367</v>
      </c>
      <c r="J306" s="27" t="s">
        <v>367</v>
      </c>
      <c r="K306" s="27" t="s">
        <v>367</v>
      </c>
      <c r="L306" s="54">
        <f>'Расчет субсидий'!P306-1</f>
        <v>-0.17431401053970552</v>
      </c>
      <c r="M306" s="54">
        <f>L306*'Расчет субсидий'!Q306</f>
        <v>-3.4862802107941104</v>
      </c>
      <c r="N306" s="55">
        <f t="shared" ref="N306:N320" si="111">$B306*M306/$AG306</f>
        <v>-0.20926052890185162</v>
      </c>
      <c r="O306" s="54">
        <f>'Расчет субсидий'!T306-1</f>
        <v>0</v>
      </c>
      <c r="P306" s="54">
        <f>O306*'Расчет субсидий'!U306</f>
        <v>0</v>
      </c>
      <c r="Q306" s="55">
        <f t="shared" ref="Q306:Q320" si="112">$B306*P306/$AG306</f>
        <v>0</v>
      </c>
      <c r="R306" s="54">
        <f>'Расчет субсидий'!X306-1</f>
        <v>0</v>
      </c>
      <c r="S306" s="54">
        <f>R306*'Расчет субсидий'!Y306</f>
        <v>0</v>
      </c>
      <c r="T306" s="55">
        <f t="shared" ref="T306:T320" si="113">$B306*S306/$AG306</f>
        <v>0</v>
      </c>
      <c r="U306" s="60">
        <f>'Расчет субсидий'!AB306-1</f>
        <v>0.15601366186874843</v>
      </c>
      <c r="V306" s="60">
        <f>U306*'Расчет субсидий'!AC306</f>
        <v>0.78006830934374216</v>
      </c>
      <c r="W306" s="55">
        <f t="shared" si="107"/>
        <v>4.6822830387366413E-2</v>
      </c>
      <c r="X306" s="71">
        <f>'Расчет субсидий'!AF306-1</f>
        <v>3.8461538461538547E-2</v>
      </c>
      <c r="Y306" s="71">
        <f>X306*'Расчет субсидий'!AG306</f>
        <v>0.76923076923077094</v>
      </c>
      <c r="Z306" s="55">
        <f t="shared" si="108"/>
        <v>4.6172317738092362E-2</v>
      </c>
      <c r="AA306" s="27" t="s">
        <v>367</v>
      </c>
      <c r="AB306" s="27" t="s">
        <v>367</v>
      </c>
      <c r="AC306" s="27" t="s">
        <v>367</v>
      </c>
      <c r="AD306" s="27" t="s">
        <v>367</v>
      </c>
      <c r="AE306" s="27" t="s">
        <v>367</v>
      </c>
      <c r="AF306" s="27" t="s">
        <v>367</v>
      </c>
      <c r="AG306" s="54">
        <f t="shared" si="109"/>
        <v>-2.2718180510259822</v>
      </c>
    </row>
    <row r="307" spans="1:33" ht="15" customHeight="1">
      <c r="A307" s="33" t="s">
        <v>300</v>
      </c>
      <c r="B307" s="52">
        <f>'Расчет субсидий'!AT307</f>
        <v>0.24545454545454604</v>
      </c>
      <c r="C307" s="54">
        <f>'Расчет субсидий'!D307-1</f>
        <v>0.21995301969221304</v>
      </c>
      <c r="D307" s="54">
        <f>C307*'Расчет субсидий'!E307</f>
        <v>2.1995301969221304</v>
      </c>
      <c r="E307" s="55">
        <f t="shared" si="110"/>
        <v>0.46995313655368642</v>
      </c>
      <c r="F307" s="27" t="s">
        <v>367</v>
      </c>
      <c r="G307" s="27" t="s">
        <v>367</v>
      </c>
      <c r="H307" s="27" t="s">
        <v>367</v>
      </c>
      <c r="I307" s="27" t="s">
        <v>367</v>
      </c>
      <c r="J307" s="27" t="s">
        <v>367</v>
      </c>
      <c r="K307" s="27" t="s">
        <v>367</v>
      </c>
      <c r="L307" s="54">
        <f>'Расчет субсидий'!P307-1</f>
        <v>-0.26410350953641937</v>
      </c>
      <c r="M307" s="54">
        <f>L307*'Расчет субсидий'!Q307</f>
        <v>-5.2820701907283869</v>
      </c>
      <c r="N307" s="55">
        <f t="shared" si="111"/>
        <v>-1.1285707543834258</v>
      </c>
      <c r="O307" s="54">
        <f>'Расчет субсидий'!T307-1</f>
        <v>0.13500000000000001</v>
      </c>
      <c r="P307" s="54">
        <f>O307*'Расчет субсидий'!U307</f>
        <v>2.0250000000000004</v>
      </c>
      <c r="Q307" s="55">
        <f t="shared" si="112"/>
        <v>0.43266289449123957</v>
      </c>
      <c r="R307" s="54">
        <f>'Расчет субсидий'!X307-1</f>
        <v>0.16279069767441867</v>
      </c>
      <c r="S307" s="54">
        <f>R307*'Расчет субсидий'!Y307</f>
        <v>5.6976744186046533</v>
      </c>
      <c r="T307" s="55">
        <f t="shared" si="113"/>
        <v>1.2173690399121873</v>
      </c>
      <c r="U307" s="60">
        <f>'Расчет субсидий'!AB307-1</f>
        <v>0.26079851558001144</v>
      </c>
      <c r="V307" s="60">
        <f>U307*'Расчет субсидий'!AC307</f>
        <v>1.3039925779000572</v>
      </c>
      <c r="W307" s="55">
        <f t="shared" si="107"/>
        <v>0.27861195217250956</v>
      </c>
      <c r="X307" s="71">
        <f>'Расчет субсидий'!AF307-1</f>
        <v>-0.23976608187134507</v>
      </c>
      <c r="Y307" s="71">
        <f>X307*'Расчет субсидий'!AG307</f>
        <v>-4.7953216374269019</v>
      </c>
      <c r="Z307" s="55">
        <f t="shared" si="108"/>
        <v>-1.0245717232916511</v>
      </c>
      <c r="AA307" s="27" t="s">
        <v>367</v>
      </c>
      <c r="AB307" s="27" t="s">
        <v>367</v>
      </c>
      <c r="AC307" s="27" t="s">
        <v>367</v>
      </c>
      <c r="AD307" s="27" t="s">
        <v>367</v>
      </c>
      <c r="AE307" s="27" t="s">
        <v>367</v>
      </c>
      <c r="AF307" s="27" t="s">
        <v>367</v>
      </c>
      <c r="AG307" s="54">
        <f t="shared" si="109"/>
        <v>1.1488053652715529</v>
      </c>
    </row>
    <row r="308" spans="1:33" ht="15" customHeight="1">
      <c r="A308" s="33" t="s">
        <v>301</v>
      </c>
      <c r="B308" s="52">
        <f>'Расчет субсидий'!AT308</f>
        <v>-6.7818181818181813</v>
      </c>
      <c r="C308" s="54">
        <f>'Расчет субсидий'!D308-1</f>
        <v>-2.2160664819944609E-2</v>
      </c>
      <c r="D308" s="54">
        <f>C308*'Расчет субсидий'!E308</f>
        <v>-0.22160664819944609</v>
      </c>
      <c r="E308" s="55">
        <f t="shared" si="110"/>
        <v>-0.36636619830884992</v>
      </c>
      <c r="F308" s="27" t="s">
        <v>367</v>
      </c>
      <c r="G308" s="27" t="s">
        <v>367</v>
      </c>
      <c r="H308" s="27" t="s">
        <v>367</v>
      </c>
      <c r="I308" s="27" t="s">
        <v>367</v>
      </c>
      <c r="J308" s="27" t="s">
        <v>367</v>
      </c>
      <c r="K308" s="27" t="s">
        <v>367</v>
      </c>
      <c r="L308" s="54">
        <f>'Расчет субсидий'!P308-1</f>
        <v>-0.52900505902192241</v>
      </c>
      <c r="M308" s="54">
        <f>L308*'Расчет субсидий'!Q308</f>
        <v>-10.580101180438447</v>
      </c>
      <c r="N308" s="55">
        <f t="shared" si="111"/>
        <v>-17.491313905490937</v>
      </c>
      <c r="O308" s="54">
        <f>'Расчет субсидий'!T308-1</f>
        <v>0</v>
      </c>
      <c r="P308" s="54">
        <f>O308*'Расчет субсидий'!U308</f>
        <v>0</v>
      </c>
      <c r="Q308" s="55">
        <f t="shared" si="112"/>
        <v>0</v>
      </c>
      <c r="R308" s="54">
        <f>'Расчет субсидий'!X308-1</f>
        <v>0.18400000000000016</v>
      </c>
      <c r="S308" s="54">
        <f>R308*'Расчет субсидий'!Y308</f>
        <v>7.3600000000000065</v>
      </c>
      <c r="T308" s="55">
        <f t="shared" si="113"/>
        <v>12.16775417823353</v>
      </c>
      <c r="U308" s="60">
        <f>'Расчет субсидий'!AB308-1</f>
        <v>-0.13209219858156029</v>
      </c>
      <c r="V308" s="60">
        <f>U308*'Расчет субсидий'!AC308</f>
        <v>-0.66046099290780147</v>
      </c>
      <c r="W308" s="55">
        <f t="shared" si="107"/>
        <v>-1.0918922562519238</v>
      </c>
      <c r="X308" s="71">
        <f>'Расчет субсидий'!AF308-1</f>
        <v>0</v>
      </c>
      <c r="Y308" s="71">
        <f>X308*'Расчет субсидий'!AG308</f>
        <v>0</v>
      </c>
      <c r="Z308" s="55">
        <f t="shared" si="108"/>
        <v>0</v>
      </c>
      <c r="AA308" s="27" t="s">
        <v>367</v>
      </c>
      <c r="AB308" s="27" t="s">
        <v>367</v>
      </c>
      <c r="AC308" s="27" t="s">
        <v>367</v>
      </c>
      <c r="AD308" s="27" t="s">
        <v>367</v>
      </c>
      <c r="AE308" s="27" t="s">
        <v>367</v>
      </c>
      <c r="AF308" s="27" t="s">
        <v>367</v>
      </c>
      <c r="AG308" s="54">
        <f t="shared" si="109"/>
        <v>-4.1021688215456882</v>
      </c>
    </row>
    <row r="309" spans="1:33" ht="15" customHeight="1">
      <c r="A309" s="33" t="s">
        <v>302</v>
      </c>
      <c r="B309" s="52">
        <f>'Расчет субсидий'!AT309</f>
        <v>-6.1727272727272862</v>
      </c>
      <c r="C309" s="54">
        <f>'Расчет субсидий'!D309-1</f>
        <v>-0.13454449710373884</v>
      </c>
      <c r="D309" s="54">
        <f>C309*'Расчет субсидий'!E309</f>
        <v>-1.3454449710373884</v>
      </c>
      <c r="E309" s="55">
        <f t="shared" si="110"/>
        <v>-3.1270723635454818</v>
      </c>
      <c r="F309" s="27" t="s">
        <v>367</v>
      </c>
      <c r="G309" s="27" t="s">
        <v>367</v>
      </c>
      <c r="H309" s="27" t="s">
        <v>367</v>
      </c>
      <c r="I309" s="27" t="s">
        <v>367</v>
      </c>
      <c r="J309" s="27" t="s">
        <v>367</v>
      </c>
      <c r="K309" s="27" t="s">
        <v>367</v>
      </c>
      <c r="L309" s="54">
        <f>'Расчет субсидий'!P309-1</f>
        <v>-0.17814854682454262</v>
      </c>
      <c r="M309" s="54">
        <f>L309*'Расчет субсидий'!Q309</f>
        <v>-3.5629709364908524</v>
      </c>
      <c r="N309" s="55">
        <f t="shared" si="111"/>
        <v>-8.2810283493242132</v>
      </c>
      <c r="O309" s="54">
        <f>'Расчет субсидий'!T309-1</f>
        <v>6.7333333333333245E-2</v>
      </c>
      <c r="P309" s="54">
        <f>O309*'Расчет субсидий'!U309</f>
        <v>1.3466666666666649</v>
      </c>
      <c r="Q309" s="55">
        <f t="shared" si="112"/>
        <v>3.1299118186857608</v>
      </c>
      <c r="R309" s="54">
        <f>'Расчет субсидий'!X309-1</f>
        <v>3.9215686274509887E-2</v>
      </c>
      <c r="S309" s="54">
        <f>R309*'Расчет субсидий'!Y309</f>
        <v>1.1764705882352966</v>
      </c>
      <c r="T309" s="55">
        <f t="shared" si="113"/>
        <v>2.7343434641984024</v>
      </c>
      <c r="U309" s="60">
        <f>'Расчет субсидий'!AB309-1</f>
        <v>0.23365361324182476</v>
      </c>
      <c r="V309" s="60">
        <f>U309*'Расчет субсидий'!AC309</f>
        <v>1.1682680662091238</v>
      </c>
      <c r="W309" s="55">
        <f t="shared" si="107"/>
        <v>2.7152792285800249</v>
      </c>
      <c r="X309" s="71">
        <f>'Расчет субсидий'!AF309-1</f>
        <v>-7.1942446043165464E-2</v>
      </c>
      <c r="Y309" s="71">
        <f>X309*'Расчет субсидий'!AG309</f>
        <v>-1.4388489208633093</v>
      </c>
      <c r="Z309" s="55">
        <f t="shared" si="108"/>
        <v>-3.3441610713217802</v>
      </c>
      <c r="AA309" s="27" t="s">
        <v>367</v>
      </c>
      <c r="AB309" s="27" t="s">
        <v>367</v>
      </c>
      <c r="AC309" s="27" t="s">
        <v>367</v>
      </c>
      <c r="AD309" s="27" t="s">
        <v>367</v>
      </c>
      <c r="AE309" s="27" t="s">
        <v>367</v>
      </c>
      <c r="AF309" s="27" t="s">
        <v>367</v>
      </c>
      <c r="AG309" s="54">
        <f t="shared" si="109"/>
        <v>-2.6558595072804647</v>
      </c>
    </row>
    <row r="310" spans="1:33" ht="15" customHeight="1">
      <c r="A310" s="33" t="s">
        <v>303</v>
      </c>
      <c r="B310" s="52">
        <f>'Расчет субсидий'!AT310</f>
        <v>10.73636363636362</v>
      </c>
      <c r="C310" s="54">
        <f>'Расчет субсидий'!D310-1</f>
        <v>-1</v>
      </c>
      <c r="D310" s="54">
        <f>C310*'Расчет субсидий'!E310</f>
        <v>0</v>
      </c>
      <c r="E310" s="55">
        <f t="shared" si="110"/>
        <v>0</v>
      </c>
      <c r="F310" s="27" t="s">
        <v>367</v>
      </c>
      <c r="G310" s="27" t="s">
        <v>367</v>
      </c>
      <c r="H310" s="27" t="s">
        <v>367</v>
      </c>
      <c r="I310" s="27" t="s">
        <v>367</v>
      </c>
      <c r="J310" s="27" t="s">
        <v>367</v>
      </c>
      <c r="K310" s="27" t="s">
        <v>367</v>
      </c>
      <c r="L310" s="54">
        <f>'Расчет субсидий'!P310-1</f>
        <v>0.30000000000000004</v>
      </c>
      <c r="M310" s="54">
        <f>L310*'Расчет субсидий'!Q310</f>
        <v>6.0000000000000009</v>
      </c>
      <c r="N310" s="55">
        <f t="shared" si="111"/>
        <v>10.553046025404448</v>
      </c>
      <c r="O310" s="54">
        <f>'Расчет субсидий'!T310-1</f>
        <v>0.12923076923076926</v>
      </c>
      <c r="P310" s="54">
        <f>O310*'Расчет субсидий'!U310</f>
        <v>2.5846153846153852</v>
      </c>
      <c r="Q310" s="55">
        <f t="shared" si="112"/>
        <v>4.5459275186357626</v>
      </c>
      <c r="R310" s="54">
        <f>'Расчет субсидий'!X310-1</f>
        <v>3.0769230769230882E-2</v>
      </c>
      <c r="S310" s="54">
        <f>R310*'Расчет субсидий'!Y310</f>
        <v>0.92307692307692646</v>
      </c>
      <c r="T310" s="55">
        <f t="shared" si="113"/>
        <v>1.6235455423699205</v>
      </c>
      <c r="U310" s="60">
        <f>'Расчет субсидий'!AB310-1</f>
        <v>-0.11503662214562693</v>
      </c>
      <c r="V310" s="60">
        <f>U310*'Расчет субсидий'!AC310</f>
        <v>-0.57518311072813466</v>
      </c>
      <c r="W310" s="55">
        <f t="shared" si="107"/>
        <v>-1.0116556400915511</v>
      </c>
      <c r="X310" s="71">
        <f>'Расчет субсидий'!AF310-1</f>
        <v>-0.14141414141414144</v>
      </c>
      <c r="Y310" s="71">
        <f>X310*'Расчет субсидий'!AG310</f>
        <v>-2.8282828282828287</v>
      </c>
      <c r="Z310" s="55">
        <f t="shared" si="108"/>
        <v>-4.974499809954958</v>
      </c>
      <c r="AA310" s="27" t="s">
        <v>367</v>
      </c>
      <c r="AB310" s="27" t="s">
        <v>367</v>
      </c>
      <c r="AC310" s="27" t="s">
        <v>367</v>
      </c>
      <c r="AD310" s="27" t="s">
        <v>367</v>
      </c>
      <c r="AE310" s="27" t="s">
        <v>367</v>
      </c>
      <c r="AF310" s="27" t="s">
        <v>367</v>
      </c>
      <c r="AG310" s="54">
        <f t="shared" si="109"/>
        <v>6.1042263686813492</v>
      </c>
    </row>
    <row r="311" spans="1:33" ht="15" customHeight="1">
      <c r="A311" s="33" t="s">
        <v>304</v>
      </c>
      <c r="B311" s="52">
        <f>'Расчет субсидий'!AT311</f>
        <v>4.0272727272727167</v>
      </c>
      <c r="C311" s="54">
        <f>'Расчет субсидий'!D311-1</f>
        <v>-0.10715426381347815</v>
      </c>
      <c r="D311" s="54">
        <f>C311*'Расчет субсидий'!E311</f>
        <v>-1.0715426381347815</v>
      </c>
      <c r="E311" s="55">
        <f t="shared" si="110"/>
        <v>-1.1866533100995651</v>
      </c>
      <c r="F311" s="27" t="s">
        <v>367</v>
      </c>
      <c r="G311" s="27" t="s">
        <v>367</v>
      </c>
      <c r="H311" s="27" t="s">
        <v>367</v>
      </c>
      <c r="I311" s="27" t="s">
        <v>367</v>
      </c>
      <c r="J311" s="27" t="s">
        <v>367</v>
      </c>
      <c r="K311" s="27" t="s">
        <v>367</v>
      </c>
      <c r="L311" s="54">
        <f>'Расчет субсидий'!P311-1</f>
        <v>5.1735647530037898E-3</v>
      </c>
      <c r="M311" s="54">
        <f>L311*'Расчет субсидий'!Q311</f>
        <v>0.1034712950600758</v>
      </c>
      <c r="N311" s="55">
        <f t="shared" si="111"/>
        <v>0.11458671863684025</v>
      </c>
      <c r="O311" s="54">
        <f>'Расчет субсидий'!T311-1</f>
        <v>0.10000000000000009</v>
      </c>
      <c r="P311" s="54">
        <f>O311*'Расчет субсидий'!U311</f>
        <v>2.0000000000000018</v>
      </c>
      <c r="Q311" s="55">
        <f t="shared" si="112"/>
        <v>2.2148503808773419</v>
      </c>
      <c r="R311" s="54">
        <f>'Расчет субсидий'!X311-1</f>
        <v>0.18666666666666676</v>
      </c>
      <c r="S311" s="54">
        <f>R311*'Расчет субсидий'!Y311</f>
        <v>5.6000000000000032</v>
      </c>
      <c r="T311" s="55">
        <f t="shared" si="113"/>
        <v>6.2015810664565549</v>
      </c>
      <c r="U311" s="60">
        <f>'Расчет субсидий'!AB311-1</f>
        <v>-0.27906387487618911</v>
      </c>
      <c r="V311" s="60">
        <f>U311*'Расчет субсидий'!AC311</f>
        <v>-1.3953193743809456</v>
      </c>
      <c r="W311" s="55">
        <f t="shared" si="107"/>
        <v>-1.5452118238965844</v>
      </c>
      <c r="X311" s="71">
        <f>'Расчет субсидий'!AF311-1</f>
        <v>-7.999999999999996E-2</v>
      </c>
      <c r="Y311" s="71">
        <f>X311*'Расчет субсидий'!AG311</f>
        <v>-1.5999999999999992</v>
      </c>
      <c r="Z311" s="55">
        <f t="shared" si="108"/>
        <v>-1.7718803047018712</v>
      </c>
      <c r="AA311" s="27" t="s">
        <v>367</v>
      </c>
      <c r="AB311" s="27" t="s">
        <v>367</v>
      </c>
      <c r="AC311" s="27" t="s">
        <v>367</v>
      </c>
      <c r="AD311" s="27" t="s">
        <v>367</v>
      </c>
      <c r="AE311" s="27" t="s">
        <v>367</v>
      </c>
      <c r="AF311" s="27" t="s">
        <v>367</v>
      </c>
      <c r="AG311" s="54">
        <f t="shared" si="109"/>
        <v>3.6366092825443546</v>
      </c>
    </row>
    <row r="312" spans="1:33" ht="15" customHeight="1">
      <c r="A312" s="33" t="s">
        <v>305</v>
      </c>
      <c r="B312" s="52">
        <f>'Расчет субсидий'!AT312</f>
        <v>-14.318181818181813</v>
      </c>
      <c r="C312" s="54">
        <f>'Расчет субсидий'!D312-1</f>
        <v>-5.822377622377628E-2</v>
      </c>
      <c r="D312" s="54">
        <f>C312*'Расчет субсидий'!E312</f>
        <v>-0.5822377622377628</v>
      </c>
      <c r="E312" s="55">
        <f t="shared" si="110"/>
        <v>-1.0526722457229809</v>
      </c>
      <c r="F312" s="27" t="s">
        <v>367</v>
      </c>
      <c r="G312" s="27" t="s">
        <v>367</v>
      </c>
      <c r="H312" s="27" t="s">
        <v>367</v>
      </c>
      <c r="I312" s="27" t="s">
        <v>367</v>
      </c>
      <c r="J312" s="27" t="s">
        <v>367</v>
      </c>
      <c r="K312" s="27" t="s">
        <v>367</v>
      </c>
      <c r="L312" s="54">
        <f>'Расчет субсидий'!P312-1</f>
        <v>-0.46111358009015302</v>
      </c>
      <c r="M312" s="54">
        <f>L312*'Расчет субсидий'!Q312</f>
        <v>-9.2222716018030599</v>
      </c>
      <c r="N312" s="55">
        <f t="shared" si="111"/>
        <v>-16.673651190925202</v>
      </c>
      <c r="O312" s="54">
        <f>'Расчет субсидий'!T312-1</f>
        <v>0</v>
      </c>
      <c r="P312" s="54">
        <f>O312*'Расчет субсидий'!U312</f>
        <v>0</v>
      </c>
      <c r="Q312" s="55">
        <f t="shared" si="112"/>
        <v>0</v>
      </c>
      <c r="R312" s="54">
        <f>'Расчет субсидий'!X312-1</f>
        <v>0</v>
      </c>
      <c r="S312" s="54">
        <f>R312*'Расчет субсидий'!Y312</f>
        <v>0</v>
      </c>
      <c r="T312" s="55">
        <f t="shared" si="113"/>
        <v>0</v>
      </c>
      <c r="U312" s="60">
        <f>'Расчет субсидий'!AB312-1</f>
        <v>-0.44298830288578883</v>
      </c>
      <c r="V312" s="60">
        <f>U312*'Расчет субсидий'!AC312</f>
        <v>-2.2149415144289444</v>
      </c>
      <c r="W312" s="55">
        <f t="shared" si="107"/>
        <v>-4.0045624130900004</v>
      </c>
      <c r="X312" s="71">
        <f>'Расчет субсидий'!AF312-1</f>
        <v>0.20500000000000007</v>
      </c>
      <c r="Y312" s="71">
        <f>X312*'Расчет субсидий'!AG312</f>
        <v>4.1000000000000014</v>
      </c>
      <c r="Z312" s="55">
        <f t="shared" si="108"/>
        <v>7.4127040315563697</v>
      </c>
      <c r="AA312" s="27" t="s">
        <v>367</v>
      </c>
      <c r="AB312" s="27" t="s">
        <v>367</v>
      </c>
      <c r="AC312" s="27" t="s">
        <v>367</v>
      </c>
      <c r="AD312" s="27" t="s">
        <v>367</v>
      </c>
      <c r="AE312" s="27" t="s">
        <v>367</v>
      </c>
      <c r="AF312" s="27" t="s">
        <v>367</v>
      </c>
      <c r="AG312" s="54">
        <f t="shared" si="109"/>
        <v>-7.9194508784697639</v>
      </c>
    </row>
    <row r="313" spans="1:33" ht="15" customHeight="1">
      <c r="A313" s="33" t="s">
        <v>306</v>
      </c>
      <c r="B313" s="52">
        <f>'Расчет субсидий'!AT313</f>
        <v>8.2272727272727195</v>
      </c>
      <c r="C313" s="54">
        <f>'Расчет субсидий'!D313-1</f>
        <v>0.26256410256410256</v>
      </c>
      <c r="D313" s="54">
        <f>C313*'Расчет субсидий'!E313</f>
        <v>2.6256410256410256</v>
      </c>
      <c r="E313" s="55">
        <f t="shared" si="110"/>
        <v>4.0545356385119433</v>
      </c>
      <c r="F313" s="27" t="s">
        <v>367</v>
      </c>
      <c r="G313" s="27" t="s">
        <v>367</v>
      </c>
      <c r="H313" s="27" t="s">
        <v>367</v>
      </c>
      <c r="I313" s="27" t="s">
        <v>367</v>
      </c>
      <c r="J313" s="27" t="s">
        <v>367</v>
      </c>
      <c r="K313" s="27" t="s">
        <v>367</v>
      </c>
      <c r="L313" s="54">
        <f>'Расчет субсидий'!P313-1</f>
        <v>-0.2661406969099277</v>
      </c>
      <c r="M313" s="54">
        <f>L313*'Расчет субсидий'!Q313</f>
        <v>-5.3228139381985535</v>
      </c>
      <c r="N313" s="55">
        <f t="shared" si="111"/>
        <v>-8.2195313825602696</v>
      </c>
      <c r="O313" s="54">
        <f>'Расчет субсидий'!T313-1</f>
        <v>0.19666666666666655</v>
      </c>
      <c r="P313" s="54">
        <f>O313*'Расчет субсидий'!U313</f>
        <v>5.8999999999999968</v>
      </c>
      <c r="Q313" s="55">
        <f t="shared" si="112"/>
        <v>9.1108266642734144</v>
      </c>
      <c r="R313" s="54">
        <f>'Расчет субсидий'!X313-1</f>
        <v>0</v>
      </c>
      <c r="S313" s="54">
        <f>R313*'Расчет субсидий'!Y313</f>
        <v>0</v>
      </c>
      <c r="T313" s="55">
        <f t="shared" si="113"/>
        <v>0</v>
      </c>
      <c r="U313" s="60">
        <f>'Расчет субсидий'!AB313-1</f>
        <v>0.30000000000000004</v>
      </c>
      <c r="V313" s="60">
        <f>U313*'Расчет субсидий'!AC313</f>
        <v>1.5000000000000002</v>
      </c>
      <c r="W313" s="55">
        <f t="shared" si="107"/>
        <v>2.3163118637983273</v>
      </c>
      <c r="X313" s="71">
        <f>'Расчет субсидий'!AF313-1</f>
        <v>3.125E-2</v>
      </c>
      <c r="Y313" s="71">
        <f>X313*'Расчет субсидий'!AG313</f>
        <v>0.625</v>
      </c>
      <c r="Z313" s="55">
        <f t="shared" si="108"/>
        <v>0.96512994324930301</v>
      </c>
      <c r="AA313" s="27" t="s">
        <v>367</v>
      </c>
      <c r="AB313" s="27" t="s">
        <v>367</v>
      </c>
      <c r="AC313" s="27" t="s">
        <v>367</v>
      </c>
      <c r="AD313" s="27" t="s">
        <v>367</v>
      </c>
      <c r="AE313" s="27" t="s">
        <v>367</v>
      </c>
      <c r="AF313" s="27" t="s">
        <v>367</v>
      </c>
      <c r="AG313" s="54">
        <f t="shared" si="109"/>
        <v>5.3278270874424694</v>
      </c>
    </row>
    <row r="314" spans="1:33" ht="15" customHeight="1">
      <c r="A314" s="33" t="s">
        <v>307</v>
      </c>
      <c r="B314" s="52">
        <f>'Расчет субсидий'!AT314</f>
        <v>-8.0636363636363626</v>
      </c>
      <c r="C314" s="54">
        <f>'Расчет субсидий'!D314-1</f>
        <v>-1</v>
      </c>
      <c r="D314" s="54">
        <f>C314*'Расчет субсидий'!E314</f>
        <v>0</v>
      </c>
      <c r="E314" s="55">
        <f t="shared" si="110"/>
        <v>0</v>
      </c>
      <c r="F314" s="27" t="s">
        <v>367</v>
      </c>
      <c r="G314" s="27" t="s">
        <v>367</v>
      </c>
      <c r="H314" s="27" t="s">
        <v>367</v>
      </c>
      <c r="I314" s="27" t="s">
        <v>367</v>
      </c>
      <c r="J314" s="27" t="s">
        <v>367</v>
      </c>
      <c r="K314" s="27" t="s">
        <v>367</v>
      </c>
      <c r="L314" s="54">
        <f>'Расчет субсидий'!P314-1</f>
        <v>-0.36029715229054893</v>
      </c>
      <c r="M314" s="54">
        <f>L314*'Расчет субсидий'!Q314</f>
        <v>-7.2059430458109786</v>
      </c>
      <c r="N314" s="55">
        <f t="shared" si="111"/>
        <v>-19.061763072814859</v>
      </c>
      <c r="O314" s="54">
        <f>'Расчет субсидий'!T314-1</f>
        <v>0.17833333333333345</v>
      </c>
      <c r="P314" s="54">
        <f>O314*'Расчет субсидий'!U314</f>
        <v>1.7833333333333345</v>
      </c>
      <c r="Q314" s="55">
        <f t="shared" si="112"/>
        <v>4.7174224475191444</v>
      </c>
      <c r="R314" s="54">
        <f>'Расчет субсидий'!X314-1</f>
        <v>0</v>
      </c>
      <c r="S314" s="54">
        <f>R314*'Расчет субсидий'!Y314</f>
        <v>0</v>
      </c>
      <c r="T314" s="55">
        <f t="shared" si="113"/>
        <v>0</v>
      </c>
      <c r="U314" s="60">
        <f>'Расчет субсидий'!AB314-1</f>
        <v>-8.8603727467155835E-3</v>
      </c>
      <c r="V314" s="60">
        <f>U314*'Расчет субсидий'!AC314</f>
        <v>-4.4301863733577918E-2</v>
      </c>
      <c r="W314" s="55">
        <f t="shared" si="107"/>
        <v>-0.11719099426750354</v>
      </c>
      <c r="X314" s="71">
        <f>'Расчет субсидий'!AF314-1</f>
        <v>0.12093023255813962</v>
      </c>
      <c r="Y314" s="71">
        <f>X314*'Расчет субсидий'!AG314</f>
        <v>2.4186046511627923</v>
      </c>
      <c r="Z314" s="55">
        <f t="shared" si="108"/>
        <v>6.3978952559268558</v>
      </c>
      <c r="AA314" s="27" t="s">
        <v>367</v>
      </c>
      <c r="AB314" s="27" t="s">
        <v>367</v>
      </c>
      <c r="AC314" s="27" t="s">
        <v>367</v>
      </c>
      <c r="AD314" s="27" t="s">
        <v>367</v>
      </c>
      <c r="AE314" s="27" t="s">
        <v>367</v>
      </c>
      <c r="AF314" s="27" t="s">
        <v>367</v>
      </c>
      <c r="AG314" s="54">
        <f t="shared" si="109"/>
        <v>-3.04830692504843</v>
      </c>
    </row>
    <row r="315" spans="1:33" ht="15" customHeight="1">
      <c r="A315" s="33" t="s">
        <v>308</v>
      </c>
      <c r="B315" s="52">
        <f>'Расчет субсидий'!AT315</f>
        <v>-6.3636363636363491E-2</v>
      </c>
      <c r="C315" s="54">
        <f>'Расчет субсидий'!D315-1</f>
        <v>-1</v>
      </c>
      <c r="D315" s="54">
        <f>C315*'Расчет субсидий'!E315</f>
        <v>0</v>
      </c>
      <c r="E315" s="55">
        <f t="shared" si="110"/>
        <v>0</v>
      </c>
      <c r="F315" s="27" t="s">
        <v>367</v>
      </c>
      <c r="G315" s="27" t="s">
        <v>367</v>
      </c>
      <c r="H315" s="27" t="s">
        <v>367</v>
      </c>
      <c r="I315" s="27" t="s">
        <v>367</v>
      </c>
      <c r="J315" s="27" t="s">
        <v>367</v>
      </c>
      <c r="K315" s="27" t="s">
        <v>367</v>
      </c>
      <c r="L315" s="54">
        <f>'Расчет субсидий'!P315-1</f>
        <v>-0.57002087682672231</v>
      </c>
      <c r="M315" s="54">
        <f>L315*'Расчет субсидий'!Q315</f>
        <v>-11.400417536534446</v>
      </c>
      <c r="N315" s="55">
        <f t="shared" si="111"/>
        <v>-0.13031876273051626</v>
      </c>
      <c r="O315" s="54">
        <f>'Расчет субсидий'!T315-1</f>
        <v>0.14375000000000004</v>
      </c>
      <c r="P315" s="54">
        <f>O315*'Расчет субсидий'!U315</f>
        <v>5.7500000000000018</v>
      </c>
      <c r="Q315" s="55">
        <f t="shared" si="112"/>
        <v>6.57285475114497E-2</v>
      </c>
      <c r="R315" s="54">
        <f>'Расчет субсидий'!X315-1</f>
        <v>0</v>
      </c>
      <c r="S315" s="54">
        <f>R315*'Расчет субсидий'!Y315</f>
        <v>0</v>
      </c>
      <c r="T315" s="55">
        <f t="shared" si="113"/>
        <v>0</v>
      </c>
      <c r="U315" s="60">
        <f>'Расчет субсидий'!AB315-1</f>
        <v>-0.5938375350140056</v>
      </c>
      <c r="V315" s="60">
        <f>U315*'Расчет субсидий'!AC315</f>
        <v>-2.9691876750700281</v>
      </c>
      <c r="W315" s="55">
        <f t="shared" si="107"/>
        <v>-3.3940937942826287E-2</v>
      </c>
      <c r="X315" s="71">
        <f>'Расчет субсидий'!AF315-1</f>
        <v>0.15263157894736845</v>
      </c>
      <c r="Y315" s="71">
        <f>X315*'Расчет субсидий'!AG315</f>
        <v>3.052631578947369</v>
      </c>
      <c r="Z315" s="55">
        <f t="shared" si="108"/>
        <v>3.4894789525529359E-2</v>
      </c>
      <c r="AA315" s="27" t="s">
        <v>367</v>
      </c>
      <c r="AB315" s="27" t="s">
        <v>367</v>
      </c>
      <c r="AC315" s="27" t="s">
        <v>367</v>
      </c>
      <c r="AD315" s="27" t="s">
        <v>367</v>
      </c>
      <c r="AE315" s="27" t="s">
        <v>367</v>
      </c>
      <c r="AF315" s="27" t="s">
        <v>367</v>
      </c>
      <c r="AG315" s="54">
        <f t="shared" si="109"/>
        <v>-5.5669736326571035</v>
      </c>
    </row>
    <row r="316" spans="1:33" ht="15" customHeight="1">
      <c r="A316" s="33" t="s">
        <v>309</v>
      </c>
      <c r="B316" s="52">
        <f>'Расчет субсидий'!AT316</f>
        <v>2.0545454545454618</v>
      </c>
      <c r="C316" s="54">
        <f>'Расчет субсидий'!D316-1</f>
        <v>0.30000000000000004</v>
      </c>
      <c r="D316" s="54">
        <f>C316*'Расчет субсидий'!E316</f>
        <v>3.0000000000000004</v>
      </c>
      <c r="E316" s="55">
        <f t="shared" si="110"/>
        <v>4.9049300935120286</v>
      </c>
      <c r="F316" s="27" t="s">
        <v>367</v>
      </c>
      <c r="G316" s="27" t="s">
        <v>367</v>
      </c>
      <c r="H316" s="27" t="s">
        <v>367</v>
      </c>
      <c r="I316" s="27" t="s">
        <v>367</v>
      </c>
      <c r="J316" s="27" t="s">
        <v>367</v>
      </c>
      <c r="K316" s="27" t="s">
        <v>367</v>
      </c>
      <c r="L316" s="54">
        <f>'Расчет субсидий'!P316-1</f>
        <v>-0.67310688688064813</v>
      </c>
      <c r="M316" s="54">
        <f>L316*'Расчет субсидий'!Q316</f>
        <v>-13.462137737612963</v>
      </c>
      <c r="N316" s="55">
        <f t="shared" si="111"/>
        <v>-22.010281504073916</v>
      </c>
      <c r="O316" s="54">
        <f>'Расчет субсидий'!T316-1</f>
        <v>0</v>
      </c>
      <c r="P316" s="54">
        <f>O316*'Расчет субсидий'!U316</f>
        <v>0</v>
      </c>
      <c r="Q316" s="55">
        <f t="shared" si="112"/>
        <v>0</v>
      </c>
      <c r="R316" s="54">
        <f>'Расчет субсидий'!X316-1</f>
        <v>0.16666666666666674</v>
      </c>
      <c r="S316" s="54">
        <f>R316*'Расчет субсидий'!Y316</f>
        <v>5.8333333333333357</v>
      </c>
      <c r="T316" s="55">
        <f t="shared" si="113"/>
        <v>9.5373640707178353</v>
      </c>
      <c r="U316" s="60">
        <f>'Расчет субсидий'!AB316-1</f>
        <v>0.26884971353018949</v>
      </c>
      <c r="V316" s="60">
        <f>U316*'Расчет субсидий'!AC316</f>
        <v>1.3442485676509475</v>
      </c>
      <c r="W316" s="55">
        <f t="shared" si="107"/>
        <v>2.1978150842105237</v>
      </c>
      <c r="X316" s="71">
        <f>'Расчет субсидий'!AF316-1</f>
        <v>0.22705882352941176</v>
      </c>
      <c r="Y316" s="71">
        <f>X316*'Расчет субсидий'!AG316</f>
        <v>4.5411764705882351</v>
      </c>
      <c r="Z316" s="55">
        <f t="shared" si="108"/>
        <v>7.4247177101789905</v>
      </c>
      <c r="AA316" s="27" t="s">
        <v>367</v>
      </c>
      <c r="AB316" s="27" t="s">
        <v>367</v>
      </c>
      <c r="AC316" s="27" t="s">
        <v>367</v>
      </c>
      <c r="AD316" s="27" t="s">
        <v>367</v>
      </c>
      <c r="AE316" s="27" t="s">
        <v>367</v>
      </c>
      <c r="AF316" s="27" t="s">
        <v>367</v>
      </c>
      <c r="AG316" s="54">
        <f t="shared" si="109"/>
        <v>1.2566206339595554</v>
      </c>
    </row>
    <row r="317" spans="1:33" ht="15" customHeight="1">
      <c r="A317" s="33" t="s">
        <v>310</v>
      </c>
      <c r="B317" s="52">
        <f>'Расчет субсидий'!AT317</f>
        <v>-20.881818181818176</v>
      </c>
      <c r="C317" s="54">
        <f>'Расчет субсидий'!D317-1</f>
        <v>-0.18939509954058187</v>
      </c>
      <c r="D317" s="54">
        <f>C317*'Расчет субсидий'!E317</f>
        <v>-1.8939509954058187</v>
      </c>
      <c r="E317" s="55">
        <f t="shared" si="110"/>
        <v>-5.5007820413355617</v>
      </c>
      <c r="F317" s="27" t="s">
        <v>367</v>
      </c>
      <c r="G317" s="27" t="s">
        <v>367</v>
      </c>
      <c r="H317" s="27" t="s">
        <v>367</v>
      </c>
      <c r="I317" s="27" t="s">
        <v>367</v>
      </c>
      <c r="J317" s="27" t="s">
        <v>367</v>
      </c>
      <c r="K317" s="27" t="s">
        <v>367</v>
      </c>
      <c r="L317" s="54">
        <f>'Расчет субсидий'!P317-1</f>
        <v>-0.43967093235831811</v>
      </c>
      <c r="M317" s="54">
        <f>L317*'Расчет субсидий'!Q317</f>
        <v>-8.7934186471663622</v>
      </c>
      <c r="N317" s="55">
        <f t="shared" si="111"/>
        <v>-25.539562266189225</v>
      </c>
      <c r="O317" s="54">
        <f>'Расчет субсидий'!T317-1</f>
        <v>0.12380952380952381</v>
      </c>
      <c r="P317" s="54">
        <f>O317*'Расчет субсидий'!U317</f>
        <v>2.4761904761904763</v>
      </c>
      <c r="Q317" s="55">
        <f t="shared" si="112"/>
        <v>7.1918355519204669</v>
      </c>
      <c r="R317" s="54">
        <f>'Расчет субсидий'!X317-1</f>
        <v>0</v>
      </c>
      <c r="S317" s="54">
        <f>R317*'Расчет субсидий'!Y317</f>
        <v>0</v>
      </c>
      <c r="T317" s="55">
        <f t="shared" si="113"/>
        <v>0</v>
      </c>
      <c r="U317" s="60">
        <f>'Расчет субсидий'!AB317-1</f>
        <v>0.20428973637061687</v>
      </c>
      <c r="V317" s="60">
        <f>U317*'Расчет субсидий'!AC317</f>
        <v>1.0214486818530844</v>
      </c>
      <c r="W317" s="55">
        <f t="shared" si="107"/>
        <v>2.9666905737861442</v>
      </c>
      <c r="X317" s="71">
        <f>'Расчет субсидий'!AF317-1</f>
        <v>0</v>
      </c>
      <c r="Y317" s="71">
        <f>X317*'Расчет субсидий'!AG317</f>
        <v>0</v>
      </c>
      <c r="Z317" s="55">
        <f t="shared" si="108"/>
        <v>0</v>
      </c>
      <c r="AA317" s="27" t="s">
        <v>367</v>
      </c>
      <c r="AB317" s="27" t="s">
        <v>367</v>
      </c>
      <c r="AC317" s="27" t="s">
        <v>367</v>
      </c>
      <c r="AD317" s="27" t="s">
        <v>367</v>
      </c>
      <c r="AE317" s="27" t="s">
        <v>367</v>
      </c>
      <c r="AF317" s="27" t="s">
        <v>367</v>
      </c>
      <c r="AG317" s="54">
        <f t="shared" si="109"/>
        <v>-7.1897304845286198</v>
      </c>
    </row>
    <row r="318" spans="1:33" ht="15" customHeight="1">
      <c r="A318" s="33" t="s">
        <v>311</v>
      </c>
      <c r="B318" s="52">
        <f>'Расчет субсидий'!AT318</f>
        <v>-41.345454545454572</v>
      </c>
      <c r="C318" s="54">
        <f>'Расчет субсидий'!D318-1</f>
        <v>-1</v>
      </c>
      <c r="D318" s="54">
        <f>C318*'Расчет субсидий'!E318</f>
        <v>0</v>
      </c>
      <c r="E318" s="55">
        <f t="shared" si="110"/>
        <v>0</v>
      </c>
      <c r="F318" s="27" t="s">
        <v>367</v>
      </c>
      <c r="G318" s="27" t="s">
        <v>367</v>
      </c>
      <c r="H318" s="27" t="s">
        <v>367</v>
      </c>
      <c r="I318" s="27" t="s">
        <v>367</v>
      </c>
      <c r="J318" s="27" t="s">
        <v>367</v>
      </c>
      <c r="K318" s="27" t="s">
        <v>367</v>
      </c>
      <c r="L318" s="54">
        <f>'Расчет субсидий'!P318-1</f>
        <v>-0.81503036437246967</v>
      </c>
      <c r="M318" s="54">
        <f>L318*'Расчет субсидий'!Q318</f>
        <v>-16.300607287449395</v>
      </c>
      <c r="N318" s="55">
        <f t="shared" si="111"/>
        <v>-39.202917899608671</v>
      </c>
      <c r="O318" s="54">
        <f>'Расчет субсидий'!T318-1</f>
        <v>0</v>
      </c>
      <c r="P318" s="54">
        <f>O318*'Расчет субсидий'!U318</f>
        <v>0</v>
      </c>
      <c r="Q318" s="55">
        <f t="shared" si="112"/>
        <v>0</v>
      </c>
      <c r="R318" s="54">
        <f>'Расчет субсидий'!X318-1</f>
        <v>0</v>
      </c>
      <c r="S318" s="54">
        <f>R318*'Расчет субсидий'!Y318</f>
        <v>0</v>
      </c>
      <c r="T318" s="55">
        <f t="shared" si="113"/>
        <v>0</v>
      </c>
      <c r="U318" s="60">
        <f>'Расчет субсидий'!AB318-1</f>
        <v>-0.17817371937639204</v>
      </c>
      <c r="V318" s="60">
        <f>U318*'Расчет субсидий'!AC318</f>
        <v>-0.89086859688196018</v>
      </c>
      <c r="W318" s="55">
        <f t="shared" si="107"/>
        <v>-2.1425366458458996</v>
      </c>
      <c r="X318" s="71">
        <f>'Расчет субсидий'!AF318-1</f>
        <v>0</v>
      </c>
      <c r="Y318" s="71">
        <f>X318*'Расчет субсидий'!AG318</f>
        <v>0</v>
      </c>
      <c r="Z318" s="55">
        <f t="shared" si="108"/>
        <v>0</v>
      </c>
      <c r="AA318" s="27" t="s">
        <v>367</v>
      </c>
      <c r="AB318" s="27" t="s">
        <v>367</v>
      </c>
      <c r="AC318" s="27" t="s">
        <v>367</v>
      </c>
      <c r="AD318" s="27" t="s">
        <v>367</v>
      </c>
      <c r="AE318" s="27" t="s">
        <v>367</v>
      </c>
      <c r="AF318" s="27" t="s">
        <v>367</v>
      </c>
      <c r="AG318" s="54">
        <f t="shared" si="109"/>
        <v>-17.191475884331357</v>
      </c>
    </row>
    <row r="319" spans="1:33" ht="15" customHeight="1">
      <c r="A319" s="33" t="s">
        <v>312</v>
      </c>
      <c r="B319" s="52">
        <f>'Расчет субсидий'!AT319</f>
        <v>-16.818181818181813</v>
      </c>
      <c r="C319" s="54">
        <f>'Расчет субсидий'!D319-1</f>
        <v>-0.38767936665017322</v>
      </c>
      <c r="D319" s="54">
        <f>C319*'Расчет субсидий'!E319</f>
        <v>-3.8767936665017322</v>
      </c>
      <c r="E319" s="55">
        <f t="shared" si="110"/>
        <v>-9.5685554229609764</v>
      </c>
      <c r="F319" s="27" t="s">
        <v>367</v>
      </c>
      <c r="G319" s="27" t="s">
        <v>367</v>
      </c>
      <c r="H319" s="27" t="s">
        <v>367</v>
      </c>
      <c r="I319" s="27" t="s">
        <v>367</v>
      </c>
      <c r="J319" s="27" t="s">
        <v>367</v>
      </c>
      <c r="K319" s="27" t="s">
        <v>367</v>
      </c>
      <c r="L319" s="54">
        <f>'Расчет субсидий'!P319-1</f>
        <v>-0.36205738412820265</v>
      </c>
      <c r="M319" s="54">
        <f>L319*'Расчет субсидий'!Q319</f>
        <v>-7.2411476825640531</v>
      </c>
      <c r="N319" s="55">
        <f t="shared" si="111"/>
        <v>-17.872326692326077</v>
      </c>
      <c r="O319" s="54">
        <f>'Расчет субсидий'!T319-1</f>
        <v>0.20059393939393932</v>
      </c>
      <c r="P319" s="54">
        <f>O319*'Расчет субсидий'!U319</f>
        <v>8.023757575757573</v>
      </c>
      <c r="Q319" s="55">
        <f t="shared" si="112"/>
        <v>19.803934815369949</v>
      </c>
      <c r="R319" s="54">
        <f>'Расчет субсидий'!X319-1</f>
        <v>0</v>
      </c>
      <c r="S319" s="54">
        <f>R319*'Расчет субсидий'!Y319</f>
        <v>0</v>
      </c>
      <c r="T319" s="55">
        <f t="shared" si="113"/>
        <v>0</v>
      </c>
      <c r="U319" s="60">
        <f>'Расчет субсидий'!AB319-1</f>
        <v>-0.78041061091908548</v>
      </c>
      <c r="V319" s="60">
        <f>U319*'Расчет субсидий'!AC319</f>
        <v>-3.9020530545954273</v>
      </c>
      <c r="W319" s="55">
        <f t="shared" si="107"/>
        <v>-9.6308996887941145</v>
      </c>
      <c r="X319" s="71">
        <f>'Расчет субсидий'!AF319-1</f>
        <v>9.109311740890691E-3</v>
      </c>
      <c r="Y319" s="71">
        <f>X319*'Расчет субсидий'!AG319</f>
        <v>0.18218623481781382</v>
      </c>
      <c r="Z319" s="55">
        <f t="shared" si="108"/>
        <v>0.44966517052940913</v>
      </c>
      <c r="AA319" s="27" t="s">
        <v>367</v>
      </c>
      <c r="AB319" s="27" t="s">
        <v>367</v>
      </c>
      <c r="AC319" s="27" t="s">
        <v>367</v>
      </c>
      <c r="AD319" s="27" t="s">
        <v>367</v>
      </c>
      <c r="AE319" s="27" t="s">
        <v>367</v>
      </c>
      <c r="AF319" s="27" t="s">
        <v>367</v>
      </c>
      <c r="AG319" s="54">
        <f t="shared" si="109"/>
        <v>-6.8140505930858248</v>
      </c>
    </row>
    <row r="320" spans="1:33" ht="15" customHeight="1">
      <c r="A320" s="33" t="s">
        <v>313</v>
      </c>
      <c r="B320" s="52">
        <f>'Расчет субсидий'!AT320</f>
        <v>-11.718181818181819</v>
      </c>
      <c r="C320" s="54">
        <f>'Расчет субсидий'!D320-1</f>
        <v>-1</v>
      </c>
      <c r="D320" s="54">
        <f>C320*'Расчет субсидий'!E320</f>
        <v>0</v>
      </c>
      <c r="E320" s="55">
        <f t="shared" si="110"/>
        <v>0</v>
      </c>
      <c r="F320" s="27" t="s">
        <v>367</v>
      </c>
      <c r="G320" s="27" t="s">
        <v>367</v>
      </c>
      <c r="H320" s="27" t="s">
        <v>367</v>
      </c>
      <c r="I320" s="27" t="s">
        <v>367</v>
      </c>
      <c r="J320" s="27" t="s">
        <v>367</v>
      </c>
      <c r="K320" s="27" t="s">
        <v>367</v>
      </c>
      <c r="L320" s="54">
        <f>'Расчет субсидий'!P320-1</f>
        <v>-0.51348406428766014</v>
      </c>
      <c r="M320" s="54">
        <f>L320*'Расчет субсидий'!Q320</f>
        <v>-10.269681285753203</v>
      </c>
      <c r="N320" s="55">
        <f t="shared" si="111"/>
        <v>-11.112154095653008</v>
      </c>
      <c r="O320" s="54">
        <f>'Расчет субсидий'!T320-1</f>
        <v>0</v>
      </c>
      <c r="P320" s="54">
        <f>O320*'Расчет субсидий'!U320</f>
        <v>0</v>
      </c>
      <c r="Q320" s="55">
        <f t="shared" si="112"/>
        <v>0</v>
      </c>
      <c r="R320" s="54">
        <f>'Расчет субсидий'!X320-1</f>
        <v>0</v>
      </c>
      <c r="S320" s="54">
        <f>R320*'Расчет субсидий'!Y320</f>
        <v>0</v>
      </c>
      <c r="T320" s="55">
        <f t="shared" si="113"/>
        <v>0</v>
      </c>
      <c r="U320" s="60">
        <f>'Расчет субсидий'!AB320-1</f>
        <v>-0.11201629327902241</v>
      </c>
      <c r="V320" s="60">
        <f>U320*'Расчет субсидий'!AC320</f>
        <v>-0.56008146639511203</v>
      </c>
      <c r="W320" s="55">
        <f t="shared" si="107"/>
        <v>-0.6060277225288131</v>
      </c>
      <c r="X320" s="71">
        <f>'Расчет субсидий'!AF320-1</f>
        <v>0</v>
      </c>
      <c r="Y320" s="71">
        <f>X320*'Расчет субсидий'!AG320</f>
        <v>0</v>
      </c>
      <c r="Z320" s="55">
        <f t="shared" si="108"/>
        <v>0</v>
      </c>
      <c r="AA320" s="27" t="s">
        <v>367</v>
      </c>
      <c r="AB320" s="27" t="s">
        <v>367</v>
      </c>
      <c r="AC320" s="27" t="s">
        <v>367</v>
      </c>
      <c r="AD320" s="27" t="s">
        <v>367</v>
      </c>
      <c r="AE320" s="27" t="s">
        <v>367</v>
      </c>
      <c r="AF320" s="27" t="s">
        <v>367</v>
      </c>
      <c r="AG320" s="54">
        <f t="shared" si="109"/>
        <v>-10.829762752148314</v>
      </c>
    </row>
    <row r="321" spans="1:33" ht="15" customHeight="1">
      <c r="A321" s="32" t="s">
        <v>314</v>
      </c>
      <c r="B321" s="56"/>
      <c r="C321" s="57"/>
      <c r="D321" s="57"/>
      <c r="E321" s="58"/>
      <c r="F321" s="57"/>
      <c r="G321" s="57"/>
      <c r="H321" s="58"/>
      <c r="I321" s="58"/>
      <c r="J321" s="58"/>
      <c r="K321" s="58"/>
      <c r="L321" s="57"/>
      <c r="M321" s="57"/>
      <c r="N321" s="58"/>
      <c r="O321" s="57"/>
      <c r="P321" s="57"/>
      <c r="Q321" s="58"/>
      <c r="R321" s="57"/>
      <c r="S321" s="57"/>
      <c r="T321" s="58"/>
      <c r="U321" s="58"/>
      <c r="V321" s="58"/>
      <c r="W321" s="58"/>
      <c r="X321" s="73"/>
      <c r="Y321" s="73"/>
      <c r="Z321" s="58"/>
      <c r="AA321" s="58"/>
      <c r="AB321" s="58"/>
      <c r="AC321" s="58"/>
      <c r="AD321" s="58"/>
      <c r="AE321" s="58"/>
      <c r="AF321" s="58"/>
      <c r="AG321" s="58"/>
    </row>
    <row r="322" spans="1:33" ht="15" customHeight="1">
      <c r="A322" s="33" t="s">
        <v>315</v>
      </c>
      <c r="B322" s="52">
        <f>'Расчет субсидий'!AT322</f>
        <v>5.2636363636363512</v>
      </c>
      <c r="C322" s="54">
        <f>'Расчет субсидий'!D322-1</f>
        <v>0.26030927835051543</v>
      </c>
      <c r="D322" s="54">
        <f>C322*'Расчет субсидий'!E322</f>
        <v>2.6030927835051543</v>
      </c>
      <c r="E322" s="55">
        <f t="shared" ref="E322:E332" si="114">$B322*D322/$AG322</f>
        <v>11.257668827551061</v>
      </c>
      <c r="F322" s="27" t="s">
        <v>367</v>
      </c>
      <c r="G322" s="27" t="s">
        <v>367</v>
      </c>
      <c r="H322" s="27" t="s">
        <v>367</v>
      </c>
      <c r="I322" s="27" t="s">
        <v>367</v>
      </c>
      <c r="J322" s="27" t="s">
        <v>367</v>
      </c>
      <c r="K322" s="27" t="s">
        <v>367</v>
      </c>
      <c r="L322" s="54">
        <f>'Расчет субсидий'!P322-1</f>
        <v>-0.3109756097560975</v>
      </c>
      <c r="M322" s="54">
        <f>L322*'Расчет субсидий'!Q322</f>
        <v>-6.2195121951219505</v>
      </c>
      <c r="N322" s="55">
        <f t="shared" ref="N322:N332" si="115">$B322*M322/$AG322</f>
        <v>-26.897699922673318</v>
      </c>
      <c r="O322" s="54">
        <f>'Расчет субсидий'!T322-1</f>
        <v>6.6666666666666652E-2</v>
      </c>
      <c r="P322" s="54">
        <f>O322*'Расчет субсидий'!U322</f>
        <v>1.9999999999999996</v>
      </c>
      <c r="Q322" s="55">
        <f t="shared" ref="Q322:Q332" si="116">$B322*P322/$AG322</f>
        <v>8.6494564457224001</v>
      </c>
      <c r="R322" s="54">
        <f>'Расчет субсидий'!X322-1</f>
        <v>6.6666666666666652E-2</v>
      </c>
      <c r="S322" s="54">
        <f>R322*'Расчет субсидий'!Y322</f>
        <v>1.333333333333333</v>
      </c>
      <c r="T322" s="55">
        <f t="shared" ref="T322:T332" si="117">$B322*S322/$AG322</f>
        <v>5.7663042971482659</v>
      </c>
      <c r="U322" s="60">
        <f>'Расчет субсидий'!AB322-1</f>
        <v>-0.13474494706448503</v>
      </c>
      <c r="V322" s="60">
        <f>U322*'Расчет субсидий'!AC322</f>
        <v>-0.67372473532242516</v>
      </c>
      <c r="W322" s="55">
        <f t="shared" si="107"/>
        <v>-2.9136763772885845</v>
      </c>
      <c r="X322" s="71">
        <f>'Расчет субсидий'!AF322-1</f>
        <v>0.10869565217391308</v>
      </c>
      <c r="Y322" s="71">
        <f>X322*'Расчет субсидий'!AG322</f>
        <v>2.1739130434782616</v>
      </c>
      <c r="Z322" s="55">
        <f t="shared" si="108"/>
        <v>9.4015830931765265</v>
      </c>
      <c r="AA322" s="27" t="s">
        <v>367</v>
      </c>
      <c r="AB322" s="27" t="s">
        <v>367</v>
      </c>
      <c r="AC322" s="27" t="s">
        <v>367</v>
      </c>
      <c r="AD322" s="27" t="s">
        <v>367</v>
      </c>
      <c r="AE322" s="27" t="s">
        <v>367</v>
      </c>
      <c r="AF322" s="27" t="s">
        <v>367</v>
      </c>
      <c r="AG322" s="54">
        <f t="shared" si="109"/>
        <v>1.2171022298723728</v>
      </c>
    </row>
    <row r="323" spans="1:33" ht="15" customHeight="1">
      <c r="A323" s="33" t="s">
        <v>316</v>
      </c>
      <c r="B323" s="52">
        <f>'Расчет субсидий'!AT323</f>
        <v>21.609090909090924</v>
      </c>
      <c r="C323" s="54">
        <f>'Расчет субсидий'!D323-1</f>
        <v>4.020100502512558E-2</v>
      </c>
      <c r="D323" s="54">
        <f>C323*'Расчет субсидий'!E323</f>
        <v>0.4020100502512558</v>
      </c>
      <c r="E323" s="55">
        <f t="shared" si="114"/>
        <v>1.4197991928134026</v>
      </c>
      <c r="F323" s="27" t="s">
        <v>367</v>
      </c>
      <c r="G323" s="27" t="s">
        <v>367</v>
      </c>
      <c r="H323" s="27" t="s">
        <v>367</v>
      </c>
      <c r="I323" s="27" t="s">
        <v>367</v>
      </c>
      <c r="J323" s="27" t="s">
        <v>367</v>
      </c>
      <c r="K323" s="27" t="s">
        <v>367</v>
      </c>
      <c r="L323" s="54">
        <f>'Расчет субсидий'!P323-1</f>
        <v>-7.5602457079855134E-2</v>
      </c>
      <c r="M323" s="54">
        <f>L323*'Расчет субсидий'!Q323</f>
        <v>-1.5120491415971027</v>
      </c>
      <c r="N323" s="55">
        <f t="shared" si="115"/>
        <v>-5.340180299950247</v>
      </c>
      <c r="O323" s="54">
        <f>'Расчет субсидий'!T323-1</f>
        <v>0.15833333333333344</v>
      </c>
      <c r="P323" s="54">
        <f>O323*'Расчет субсидий'!U323</f>
        <v>3.1666666666666687</v>
      </c>
      <c r="Q323" s="55">
        <f t="shared" si="116"/>
        <v>11.183876558390596</v>
      </c>
      <c r="R323" s="54">
        <f>'Расчет субсидий'!X323-1</f>
        <v>8.3333333333333259E-2</v>
      </c>
      <c r="S323" s="54">
        <f>R323*'Расчет субсидий'!Y323</f>
        <v>2.4999999999999978</v>
      </c>
      <c r="T323" s="55">
        <f t="shared" si="117"/>
        <v>8.8293762303083501</v>
      </c>
      <c r="U323" s="60">
        <f>'Расчет субсидий'!AB323-1</f>
        <v>-0.11315315315315311</v>
      </c>
      <c r="V323" s="60">
        <f>U323*'Расчет субсидий'!AC323</f>
        <v>-0.56576576576576554</v>
      </c>
      <c r="W323" s="55">
        <f t="shared" si="107"/>
        <v>-1.9981435216697827</v>
      </c>
      <c r="X323" s="71">
        <f>'Расчет субсидий'!AF323-1</f>
        <v>0.1063829787234043</v>
      </c>
      <c r="Y323" s="71">
        <f>X323*'Расчет субсидий'!AG323</f>
        <v>2.127659574468086</v>
      </c>
      <c r="Z323" s="55">
        <f t="shared" si="108"/>
        <v>7.5143627491986056</v>
      </c>
      <c r="AA323" s="27" t="s">
        <v>367</v>
      </c>
      <c r="AB323" s="27" t="s">
        <v>367</v>
      </c>
      <c r="AC323" s="27" t="s">
        <v>367</v>
      </c>
      <c r="AD323" s="27" t="s">
        <v>367</v>
      </c>
      <c r="AE323" s="27" t="s">
        <v>367</v>
      </c>
      <c r="AF323" s="27" t="s">
        <v>367</v>
      </c>
      <c r="AG323" s="54">
        <f t="shared" si="109"/>
        <v>6.1185213840231398</v>
      </c>
    </row>
    <row r="324" spans="1:33" ht="15" customHeight="1">
      <c r="A324" s="33" t="s">
        <v>269</v>
      </c>
      <c r="B324" s="52">
        <f>'Расчет субсидий'!AT324</f>
        <v>-21.672727272727229</v>
      </c>
      <c r="C324" s="54">
        <f>'Расчет субсидий'!D324-1</f>
        <v>0.12075471698113205</v>
      </c>
      <c r="D324" s="54">
        <f>C324*'Расчет субсидий'!E324</f>
        <v>1.2075471698113205</v>
      </c>
      <c r="E324" s="55">
        <f t="shared" si="114"/>
        <v>3.6899894368288284</v>
      </c>
      <c r="F324" s="27" t="s">
        <v>367</v>
      </c>
      <c r="G324" s="27" t="s">
        <v>367</v>
      </c>
      <c r="H324" s="27" t="s">
        <v>367</v>
      </c>
      <c r="I324" s="27" t="s">
        <v>367</v>
      </c>
      <c r="J324" s="27" t="s">
        <v>367</v>
      </c>
      <c r="K324" s="27" t="s">
        <v>367</v>
      </c>
      <c r="L324" s="54">
        <f>'Расчет субсидий'!P324-1</f>
        <v>-0.6469780219780219</v>
      </c>
      <c r="M324" s="54">
        <f>L324*'Расчет субсидий'!Q324</f>
        <v>-12.939560439560438</v>
      </c>
      <c r="N324" s="55">
        <f t="shared" si="115"/>
        <v>-39.540352984013587</v>
      </c>
      <c r="O324" s="54">
        <f>'Расчет субсидий'!T324-1</f>
        <v>2.7272727272727337E-2</v>
      </c>
      <c r="P324" s="54">
        <f>O324*'Расчет субсидий'!U324</f>
        <v>0.81818181818182012</v>
      </c>
      <c r="Q324" s="55">
        <f t="shared" si="116"/>
        <v>2.5001775019422667</v>
      </c>
      <c r="R324" s="54">
        <f>'Расчет субсидий'!X324-1</f>
        <v>9.9999999999999867E-2</v>
      </c>
      <c r="S324" s="54">
        <f>R324*'Расчет субсидий'!Y324</f>
        <v>1.9999999999999973</v>
      </c>
      <c r="T324" s="55">
        <f t="shared" si="117"/>
        <v>6.1115450047477404</v>
      </c>
      <c r="U324" s="60">
        <f>'Расчет субсидий'!AB324-1</f>
        <v>-0.24847746650426306</v>
      </c>
      <c r="V324" s="60">
        <f>U324*'Расчет субсидий'!AC324</f>
        <v>-1.2423873325213153</v>
      </c>
      <c r="W324" s="55">
        <f t="shared" si="107"/>
        <v>-3.7964530480162622</v>
      </c>
      <c r="X324" s="71">
        <f>'Расчет субсидий'!AF324-1</f>
        <v>0.15319148936170213</v>
      </c>
      <c r="Y324" s="71">
        <f>X324*'Расчет субсидий'!AG324</f>
        <v>3.0638297872340425</v>
      </c>
      <c r="Z324" s="55">
        <f t="shared" si="108"/>
        <v>9.3623668157837852</v>
      </c>
      <c r="AA324" s="27" t="s">
        <v>367</v>
      </c>
      <c r="AB324" s="27" t="s">
        <v>367</v>
      </c>
      <c r="AC324" s="27" t="s">
        <v>367</v>
      </c>
      <c r="AD324" s="27" t="s">
        <v>367</v>
      </c>
      <c r="AE324" s="27" t="s">
        <v>367</v>
      </c>
      <c r="AF324" s="27" t="s">
        <v>367</v>
      </c>
      <c r="AG324" s="54">
        <f t="shared" si="109"/>
        <v>-7.0923889968545728</v>
      </c>
    </row>
    <row r="325" spans="1:33" ht="15" customHeight="1">
      <c r="A325" s="33" t="s">
        <v>317</v>
      </c>
      <c r="B325" s="52">
        <f>'Расчет субсидий'!AT325</f>
        <v>-29.136363636363626</v>
      </c>
      <c r="C325" s="54">
        <f>'Расчет субсидий'!D325-1</f>
        <v>7.3529411764705621E-3</v>
      </c>
      <c r="D325" s="54">
        <f>C325*'Расчет субсидий'!E325</f>
        <v>7.3529411764705621E-2</v>
      </c>
      <c r="E325" s="55">
        <f t="shared" si="114"/>
        <v>0.38143870196105195</v>
      </c>
      <c r="F325" s="27" t="s">
        <v>367</v>
      </c>
      <c r="G325" s="27" t="s">
        <v>367</v>
      </c>
      <c r="H325" s="27" t="s">
        <v>367</v>
      </c>
      <c r="I325" s="27" t="s">
        <v>367</v>
      </c>
      <c r="J325" s="27" t="s">
        <v>367</v>
      </c>
      <c r="K325" s="27" t="s">
        <v>367</v>
      </c>
      <c r="L325" s="54">
        <f>'Расчет субсидий'!P325-1</f>
        <v>-0.56174161313347604</v>
      </c>
      <c r="M325" s="54">
        <f>L325*'Расчет субсидий'!Q325</f>
        <v>-11.234832262669521</v>
      </c>
      <c r="N325" s="55">
        <f t="shared" si="115"/>
        <v>-58.281437756310424</v>
      </c>
      <c r="O325" s="54">
        <f>'Расчет субсидий'!T325-1</f>
        <v>9.9999999999999867E-2</v>
      </c>
      <c r="P325" s="54">
        <f>O325*'Расчет субсидий'!U325</f>
        <v>3.4999999999999956</v>
      </c>
      <c r="Q325" s="55">
        <f t="shared" si="116"/>
        <v>18.156482213346116</v>
      </c>
      <c r="R325" s="54">
        <f>'Расчет субсидий'!X325-1</f>
        <v>0.1333333333333333</v>
      </c>
      <c r="S325" s="54">
        <f>R325*'Расчет субсидий'!Y325</f>
        <v>1.9999999999999996</v>
      </c>
      <c r="T325" s="55">
        <f t="shared" si="117"/>
        <v>10.375132693340648</v>
      </c>
      <c r="U325" s="60">
        <f>'Расчет субсидий'!AB325-1</f>
        <v>-4.438807863031069E-2</v>
      </c>
      <c r="V325" s="60">
        <f>U325*'Расчет субсидий'!AC325</f>
        <v>-0.22194039315155345</v>
      </c>
      <c r="W325" s="55">
        <f t="shared" si="107"/>
        <v>-1.1513305144797796</v>
      </c>
      <c r="X325" s="71">
        <f>'Расчет субсидий'!AF325-1</f>
        <v>1.3333333333333419E-2</v>
      </c>
      <c r="Y325" s="71">
        <f>X325*'Расчет субсидий'!AG325</f>
        <v>0.26666666666666838</v>
      </c>
      <c r="Z325" s="55">
        <f t="shared" si="108"/>
        <v>1.3833510257787622</v>
      </c>
      <c r="AA325" s="27" t="s">
        <v>367</v>
      </c>
      <c r="AB325" s="27" t="s">
        <v>367</v>
      </c>
      <c r="AC325" s="27" t="s">
        <v>367</v>
      </c>
      <c r="AD325" s="27" t="s">
        <v>367</v>
      </c>
      <c r="AE325" s="27" t="s">
        <v>367</v>
      </c>
      <c r="AF325" s="27" t="s">
        <v>367</v>
      </c>
      <c r="AG325" s="54">
        <f t="shared" si="109"/>
        <v>-5.6165765773897043</v>
      </c>
    </row>
    <row r="326" spans="1:33" ht="15" customHeight="1">
      <c r="A326" s="33" t="s">
        <v>318</v>
      </c>
      <c r="B326" s="52">
        <f>'Расчет субсидий'!AT326</f>
        <v>-10.781818181818153</v>
      </c>
      <c r="C326" s="54">
        <f>'Расчет субсидий'!D326-1</f>
        <v>-1</v>
      </c>
      <c r="D326" s="54">
        <f>C326*'Расчет субсидий'!E326</f>
        <v>0</v>
      </c>
      <c r="E326" s="55">
        <f t="shared" si="114"/>
        <v>0</v>
      </c>
      <c r="F326" s="27" t="s">
        <v>367</v>
      </c>
      <c r="G326" s="27" t="s">
        <v>367</v>
      </c>
      <c r="H326" s="27" t="s">
        <v>367</v>
      </c>
      <c r="I326" s="27" t="s">
        <v>367</v>
      </c>
      <c r="J326" s="27" t="s">
        <v>367</v>
      </c>
      <c r="K326" s="27" t="s">
        <v>367</v>
      </c>
      <c r="L326" s="54">
        <f>'Расчет субсидий'!P326-1</f>
        <v>-0.31385244505026411</v>
      </c>
      <c r="M326" s="54">
        <f>L326*'Расчет субсидий'!Q326</f>
        <v>-6.2770489010052817</v>
      </c>
      <c r="N326" s="55">
        <f t="shared" si="115"/>
        <v>-39.153957650762855</v>
      </c>
      <c r="O326" s="54">
        <f>'Расчет субсидий'!T326-1</f>
        <v>8.7241379310344813E-2</v>
      </c>
      <c r="P326" s="54">
        <f>O326*'Расчет субсидий'!U326</f>
        <v>2.6172413793103444</v>
      </c>
      <c r="Q326" s="55">
        <f t="shared" si="116"/>
        <v>16.325403823272712</v>
      </c>
      <c r="R326" s="54">
        <f>'Расчет субсидий'!X326-1</f>
        <v>0.1166666666666667</v>
      </c>
      <c r="S326" s="54">
        <f>R326*'Расчет субсидий'!Y326</f>
        <v>2.3333333333333339</v>
      </c>
      <c r="T326" s="55">
        <f t="shared" si="117"/>
        <v>14.554488257023985</v>
      </c>
      <c r="U326" s="60">
        <f>'Расчет субсидий'!AB326-1</f>
        <v>-0.2137404580152672</v>
      </c>
      <c r="V326" s="60">
        <f>U326*'Расчет субсидий'!AC326</f>
        <v>-1.0687022900763359</v>
      </c>
      <c r="W326" s="55">
        <f t="shared" si="107"/>
        <v>-6.6661778276445718</v>
      </c>
      <c r="X326" s="71">
        <f>'Расчет субсидий'!AF326-1</f>
        <v>3.3333333333333437E-2</v>
      </c>
      <c r="Y326" s="71">
        <f>X326*'Расчет субсидий'!AG326</f>
        <v>0.66666666666666874</v>
      </c>
      <c r="Z326" s="55">
        <f t="shared" si="108"/>
        <v>4.1584252162925797</v>
      </c>
      <c r="AA326" s="27" t="s">
        <v>367</v>
      </c>
      <c r="AB326" s="27" t="s">
        <v>367</v>
      </c>
      <c r="AC326" s="27" t="s">
        <v>367</v>
      </c>
      <c r="AD326" s="27" t="s">
        <v>367</v>
      </c>
      <c r="AE326" s="27" t="s">
        <v>367</v>
      </c>
      <c r="AF326" s="27" t="s">
        <v>367</v>
      </c>
      <c r="AG326" s="54">
        <f t="shared" si="109"/>
        <v>-1.7285098117712705</v>
      </c>
    </row>
    <row r="327" spans="1:33" ht="15" customHeight="1">
      <c r="A327" s="33" t="s">
        <v>319</v>
      </c>
      <c r="B327" s="52">
        <f>'Расчет субсидий'!AT327</f>
        <v>9.4909090909090992</v>
      </c>
      <c r="C327" s="54">
        <f>'Расчет субсидий'!D327-1</f>
        <v>0</v>
      </c>
      <c r="D327" s="54">
        <f>C327*'Расчет субсидий'!E327</f>
        <v>0</v>
      </c>
      <c r="E327" s="55">
        <f t="shared" si="114"/>
        <v>0</v>
      </c>
      <c r="F327" s="27" t="s">
        <v>367</v>
      </c>
      <c r="G327" s="27" t="s">
        <v>367</v>
      </c>
      <c r="H327" s="27" t="s">
        <v>367</v>
      </c>
      <c r="I327" s="27" t="s">
        <v>367</v>
      </c>
      <c r="J327" s="27" t="s">
        <v>367</v>
      </c>
      <c r="K327" s="27" t="s">
        <v>367</v>
      </c>
      <c r="L327" s="54">
        <f>'Расчет субсидий'!P327-1</f>
        <v>-0.36071060762100915</v>
      </c>
      <c r="M327" s="54">
        <f>L327*'Расчет субсидий'!Q327</f>
        <v>-7.214212152420183</v>
      </c>
      <c r="N327" s="55">
        <f t="shared" si="115"/>
        <v>-31.80199496844326</v>
      </c>
      <c r="O327" s="54">
        <f>'Расчет субсидий'!T327-1</f>
        <v>0.1333333333333333</v>
      </c>
      <c r="P327" s="54">
        <f>O327*'Расчет субсидий'!U327</f>
        <v>3.9999999999999991</v>
      </c>
      <c r="Q327" s="55">
        <f t="shared" si="116"/>
        <v>17.632969087428069</v>
      </c>
      <c r="R327" s="54">
        <f>'Расчет субсидий'!X327-1</f>
        <v>0.26</v>
      </c>
      <c r="S327" s="54">
        <f>R327*'Расчет субсидий'!Y327</f>
        <v>5.2</v>
      </c>
      <c r="T327" s="55">
        <f t="shared" si="117"/>
        <v>22.922859813656494</v>
      </c>
      <c r="U327" s="60">
        <f>'Расчет субсидий'!AB327-1</f>
        <v>3.3440773569701765E-2</v>
      </c>
      <c r="V327" s="60">
        <f>U327*'Расчет субсидий'!AC327</f>
        <v>0.16720386784850882</v>
      </c>
      <c r="W327" s="55">
        <f t="shared" si="107"/>
        <v>0.73707515826779124</v>
      </c>
      <c r="X327" s="71">
        <f>'Расчет субсидий'!AF327-1</f>
        <v>0</v>
      </c>
      <c r="Y327" s="71">
        <f>X327*'Расчет субсидий'!AG327</f>
        <v>0</v>
      </c>
      <c r="Z327" s="55">
        <f t="shared" si="108"/>
        <v>0</v>
      </c>
      <c r="AA327" s="27" t="s">
        <v>367</v>
      </c>
      <c r="AB327" s="27" t="s">
        <v>367</v>
      </c>
      <c r="AC327" s="27" t="s">
        <v>367</v>
      </c>
      <c r="AD327" s="27" t="s">
        <v>367</v>
      </c>
      <c r="AE327" s="27" t="s">
        <v>367</v>
      </c>
      <c r="AF327" s="27" t="s">
        <v>367</v>
      </c>
      <c r="AG327" s="54">
        <f t="shared" si="109"/>
        <v>2.1529917154283251</v>
      </c>
    </row>
    <row r="328" spans="1:33" ht="15" customHeight="1">
      <c r="A328" s="33" t="s">
        <v>320</v>
      </c>
      <c r="B328" s="52">
        <f>'Расчет субсидий'!AT328</f>
        <v>39.5</v>
      </c>
      <c r="C328" s="54">
        <f>'Расчет субсидий'!D328-1</f>
        <v>3.6792452830188838E-2</v>
      </c>
      <c r="D328" s="54">
        <f>C328*'Расчет субсидий'!E328</f>
        <v>0.36792452830188838</v>
      </c>
      <c r="E328" s="55">
        <f t="shared" si="114"/>
        <v>1.3756327795761696</v>
      </c>
      <c r="F328" s="27" t="s">
        <v>367</v>
      </c>
      <c r="G328" s="27" t="s">
        <v>367</v>
      </c>
      <c r="H328" s="27" t="s">
        <v>367</v>
      </c>
      <c r="I328" s="27" t="s">
        <v>367</v>
      </c>
      <c r="J328" s="27" t="s">
        <v>367</v>
      </c>
      <c r="K328" s="27" t="s">
        <v>367</v>
      </c>
      <c r="L328" s="54">
        <f>'Расчет субсидий'!P328-1</f>
        <v>0.20558485750744371</v>
      </c>
      <c r="M328" s="54">
        <f>L328*'Расчет субсидий'!Q328</f>
        <v>4.1116971501488742</v>
      </c>
      <c r="N328" s="55">
        <f t="shared" si="115"/>
        <v>15.37322180051479</v>
      </c>
      <c r="O328" s="54">
        <f>'Расчет субсидий'!T328-1</f>
        <v>0.1210526315789473</v>
      </c>
      <c r="P328" s="54">
        <f>O328*'Расчет субсидий'!U328</f>
        <v>2.421052631578946</v>
      </c>
      <c r="Q328" s="55">
        <f t="shared" si="116"/>
        <v>9.0520721095996901</v>
      </c>
      <c r="R328" s="54">
        <f>'Расчет субсидий'!X328-1</f>
        <v>9.9999999999999867E-2</v>
      </c>
      <c r="S328" s="54">
        <f>R328*'Расчет субсидий'!Y328</f>
        <v>2.999999999999996</v>
      </c>
      <c r="T328" s="55">
        <f t="shared" si="117"/>
        <v>11.216698048851782</v>
      </c>
      <c r="U328" s="60">
        <f>'Расчет субсидий'!AB328-1</f>
        <v>-0.19029050497172939</v>
      </c>
      <c r="V328" s="60">
        <f>U328*'Расчет субсидий'!AC328</f>
        <v>-0.95145252485864695</v>
      </c>
      <c r="W328" s="55">
        <f t="shared" si="107"/>
        <v>-3.5573852263857</v>
      </c>
      <c r="X328" s="71">
        <f>'Расчет субсидий'!AF328-1</f>
        <v>8.0769230769230704E-2</v>
      </c>
      <c r="Y328" s="71">
        <f>X328*'Расчет субсидий'!AG328</f>
        <v>1.6153846153846141</v>
      </c>
      <c r="Z328" s="55">
        <f t="shared" si="108"/>
        <v>6.03976048784327</v>
      </c>
      <c r="AA328" s="27" t="s">
        <v>367</v>
      </c>
      <c r="AB328" s="27" t="s">
        <v>367</v>
      </c>
      <c r="AC328" s="27" t="s">
        <v>367</v>
      </c>
      <c r="AD328" s="27" t="s">
        <v>367</v>
      </c>
      <c r="AE328" s="27" t="s">
        <v>367</v>
      </c>
      <c r="AF328" s="27" t="s">
        <v>367</v>
      </c>
      <c r="AG328" s="54">
        <f t="shared" si="109"/>
        <v>10.564606400555672</v>
      </c>
    </row>
    <row r="329" spans="1:33" ht="15" customHeight="1">
      <c r="A329" s="33" t="s">
        <v>321</v>
      </c>
      <c r="B329" s="52">
        <f>'Расчет субсидий'!AT329</f>
        <v>0.44545454545453822</v>
      </c>
      <c r="C329" s="54">
        <f>'Расчет субсидий'!D329-1</f>
        <v>5.311203319502078E-2</v>
      </c>
      <c r="D329" s="54">
        <f>C329*'Расчет субсидий'!E329</f>
        <v>0.5311203319502078</v>
      </c>
      <c r="E329" s="55">
        <f t="shared" si="114"/>
        <v>1.7544153077676146</v>
      </c>
      <c r="F329" s="27" t="s">
        <v>367</v>
      </c>
      <c r="G329" s="27" t="s">
        <v>367</v>
      </c>
      <c r="H329" s="27" t="s">
        <v>367</v>
      </c>
      <c r="I329" s="27" t="s">
        <v>367</v>
      </c>
      <c r="J329" s="27" t="s">
        <v>367</v>
      </c>
      <c r="K329" s="27" t="s">
        <v>367</v>
      </c>
      <c r="L329" s="54">
        <f>'Расчет субсидий'!P329-1</f>
        <v>-0.44371345029239773</v>
      </c>
      <c r="M329" s="54">
        <f>L329*'Расчет субсидий'!Q329</f>
        <v>-8.874269005847955</v>
      </c>
      <c r="N329" s="55">
        <f t="shared" si="115"/>
        <v>-29.313796615428647</v>
      </c>
      <c r="O329" s="54">
        <f>'Расчет субсидий'!T329-1</f>
        <v>5.0000000000000044E-2</v>
      </c>
      <c r="P329" s="54">
        <f>O329*'Расчет субсидий'!U329</f>
        <v>1.5000000000000013</v>
      </c>
      <c r="Q329" s="55">
        <f t="shared" si="116"/>
        <v>4.9548526074843187</v>
      </c>
      <c r="R329" s="54">
        <f>'Расчет субсидий'!X329-1</f>
        <v>0.1333333333333333</v>
      </c>
      <c r="S329" s="54">
        <f>R329*'Расчет субсидий'!Y329</f>
        <v>2.6666666666666661</v>
      </c>
      <c r="T329" s="55">
        <f t="shared" si="117"/>
        <v>8.8086268577498892</v>
      </c>
      <c r="U329" s="60">
        <f>'Расчет субсидий'!AB329-1</f>
        <v>2.2267206477732726E-2</v>
      </c>
      <c r="V329" s="60">
        <f>U329*'Расчет субсидий'!AC329</f>
        <v>0.11133603238866363</v>
      </c>
      <c r="W329" s="55">
        <f t="shared" si="107"/>
        <v>0.36776908692528537</v>
      </c>
      <c r="X329" s="71">
        <f>'Расчет субсидий'!AF329-1</f>
        <v>0.20999999999999996</v>
      </c>
      <c r="Y329" s="71">
        <f>X329*'Расчет субсидий'!AG329</f>
        <v>4.1999999999999993</v>
      </c>
      <c r="Z329" s="55">
        <f t="shared" si="108"/>
        <v>13.873587300956078</v>
      </c>
      <c r="AA329" s="27" t="s">
        <v>367</v>
      </c>
      <c r="AB329" s="27" t="s">
        <v>367</v>
      </c>
      <c r="AC329" s="27" t="s">
        <v>367</v>
      </c>
      <c r="AD329" s="27" t="s">
        <v>367</v>
      </c>
      <c r="AE329" s="27" t="s">
        <v>367</v>
      </c>
      <c r="AF329" s="27" t="s">
        <v>367</v>
      </c>
      <c r="AG329" s="54">
        <f t="shared" si="109"/>
        <v>0.13485402515758338</v>
      </c>
    </row>
    <row r="330" spans="1:33" ht="15" customHeight="1">
      <c r="A330" s="33" t="s">
        <v>322</v>
      </c>
      <c r="B330" s="52">
        <f>'Расчет субсидий'!AT330</f>
        <v>51.054545454545462</v>
      </c>
      <c r="C330" s="54">
        <f>'Расчет субсидий'!D330-1</f>
        <v>0.11206896551724133</v>
      </c>
      <c r="D330" s="54">
        <f>C330*'Расчет субсидий'!E330</f>
        <v>1.1206896551724133</v>
      </c>
      <c r="E330" s="55">
        <f t="shared" si="114"/>
        <v>3.5885305054668586</v>
      </c>
      <c r="F330" s="27" t="s">
        <v>367</v>
      </c>
      <c r="G330" s="27" t="s">
        <v>367</v>
      </c>
      <c r="H330" s="27" t="s">
        <v>367</v>
      </c>
      <c r="I330" s="27" t="s">
        <v>367</v>
      </c>
      <c r="J330" s="27" t="s">
        <v>367</v>
      </c>
      <c r="K330" s="27" t="s">
        <v>367</v>
      </c>
      <c r="L330" s="54">
        <f>'Расчет субсидий'!P330-1</f>
        <v>0.30000000000000004</v>
      </c>
      <c r="M330" s="54">
        <f>L330*'Расчет субсидий'!Q330</f>
        <v>6.0000000000000009</v>
      </c>
      <c r="N330" s="55">
        <f t="shared" si="115"/>
        <v>19.212440244653347</v>
      </c>
      <c r="O330" s="54">
        <f>'Расчет субсидий'!T330-1</f>
        <v>0.20166666666666666</v>
      </c>
      <c r="P330" s="54">
        <f>O330*'Расчет субсидий'!U330</f>
        <v>5.0416666666666661</v>
      </c>
      <c r="Q330" s="55">
        <f t="shared" si="116"/>
        <v>16.143786594465659</v>
      </c>
      <c r="R330" s="54">
        <f>'Расчет субсидий'!X330-1</f>
        <v>9.9999999999999867E-2</v>
      </c>
      <c r="S330" s="54">
        <f>R330*'Расчет субсидий'!Y330</f>
        <v>2.4999999999999964</v>
      </c>
      <c r="T330" s="55">
        <f t="shared" si="117"/>
        <v>8.0051834352722153</v>
      </c>
      <c r="U330" s="60">
        <f>'Расчет субсидий'!AB330-1</f>
        <v>-0.1836283185840708</v>
      </c>
      <c r="V330" s="60">
        <f>U330*'Расчет субсидий'!AC330</f>
        <v>-0.91814159292035402</v>
      </c>
      <c r="W330" s="55">
        <f t="shared" si="107"/>
        <v>-2.9399567483521896</v>
      </c>
      <c r="X330" s="71">
        <f>'Расчет субсидий'!AF330-1</f>
        <v>0.1100000000000001</v>
      </c>
      <c r="Y330" s="71">
        <f>X330*'Расчет субсидий'!AG330</f>
        <v>2.200000000000002</v>
      </c>
      <c r="Z330" s="55">
        <f t="shared" si="108"/>
        <v>7.0445614230395668</v>
      </c>
      <c r="AA330" s="27" t="s">
        <v>367</v>
      </c>
      <c r="AB330" s="27" t="s">
        <v>367</v>
      </c>
      <c r="AC330" s="27" t="s">
        <v>367</v>
      </c>
      <c r="AD330" s="27" t="s">
        <v>367</v>
      </c>
      <c r="AE330" s="27" t="s">
        <v>367</v>
      </c>
      <c r="AF330" s="27" t="s">
        <v>367</v>
      </c>
      <c r="AG330" s="54">
        <f t="shared" si="109"/>
        <v>15.944214728918727</v>
      </c>
    </row>
    <row r="331" spans="1:33" ht="15" customHeight="1">
      <c r="A331" s="33" t="s">
        <v>323</v>
      </c>
      <c r="B331" s="52">
        <f>'Расчет субсидий'!AT331</f>
        <v>-45.027272727272759</v>
      </c>
      <c r="C331" s="54">
        <f>'Расчет субсидий'!D331-1</f>
        <v>5.0228310502283158E-2</v>
      </c>
      <c r="D331" s="54">
        <f>C331*'Расчет субсидий'!E331</f>
        <v>0.50228310502283158</v>
      </c>
      <c r="E331" s="55">
        <f t="shared" si="114"/>
        <v>2.1224571548470919</v>
      </c>
      <c r="F331" s="27" t="s">
        <v>367</v>
      </c>
      <c r="G331" s="27" t="s">
        <v>367</v>
      </c>
      <c r="H331" s="27" t="s">
        <v>367</v>
      </c>
      <c r="I331" s="27" t="s">
        <v>367</v>
      </c>
      <c r="J331" s="27" t="s">
        <v>367</v>
      </c>
      <c r="K331" s="27" t="s">
        <v>367</v>
      </c>
      <c r="L331" s="54">
        <f>'Расчет субсидий'!P331-1</f>
        <v>-0.43888888888888888</v>
      </c>
      <c r="M331" s="54">
        <f>L331*'Расчет субсидий'!Q331</f>
        <v>-8.7777777777777786</v>
      </c>
      <c r="N331" s="55">
        <f t="shared" si="115"/>
        <v>-37.091546703039903</v>
      </c>
      <c r="O331" s="54">
        <f>'Расчет субсидий'!T331-1</f>
        <v>6.3636363636363491E-2</v>
      </c>
      <c r="P331" s="54">
        <f>O331*'Расчет субсидий'!U331</f>
        <v>1.2727272727272698</v>
      </c>
      <c r="Q331" s="55">
        <f t="shared" si="116"/>
        <v>5.3780608568274069</v>
      </c>
      <c r="R331" s="54">
        <f>'Расчет субсидий'!X331-1</f>
        <v>6.3333333333333242E-2</v>
      </c>
      <c r="S331" s="54">
        <f>R331*'Расчет субсидий'!Y331</f>
        <v>1.8999999999999972</v>
      </c>
      <c r="T331" s="55">
        <f t="shared" si="117"/>
        <v>8.028676564835207</v>
      </c>
      <c r="U331" s="60">
        <f>'Расчет субсидий'!AB331-1</f>
        <v>-0.16739912105473431</v>
      </c>
      <c r="V331" s="60">
        <f>U331*'Расчет субсидий'!AC331</f>
        <v>-0.83699560527367156</v>
      </c>
      <c r="W331" s="55">
        <f t="shared" si="107"/>
        <v>-3.5368247373319979</v>
      </c>
      <c r="X331" s="71">
        <f>'Расчет субсидий'!AF331-1</f>
        <v>-0.23580089342693045</v>
      </c>
      <c r="Y331" s="71">
        <f>X331*'Расчет субсидий'!AG331</f>
        <v>-4.7160178685386089</v>
      </c>
      <c r="Z331" s="55">
        <f t="shared" si="108"/>
        <v>-19.928095863410565</v>
      </c>
      <c r="AA331" s="27" t="s">
        <v>367</v>
      </c>
      <c r="AB331" s="27" t="s">
        <v>367</v>
      </c>
      <c r="AC331" s="27" t="s">
        <v>367</v>
      </c>
      <c r="AD331" s="27" t="s">
        <v>367</v>
      </c>
      <c r="AE331" s="27" t="s">
        <v>367</v>
      </c>
      <c r="AF331" s="27" t="s">
        <v>367</v>
      </c>
      <c r="AG331" s="54">
        <f t="shared" si="109"/>
        <v>-10.65578087383996</v>
      </c>
    </row>
    <row r="332" spans="1:33" ht="15" customHeight="1">
      <c r="A332" s="33" t="s">
        <v>324</v>
      </c>
      <c r="B332" s="52">
        <f>'Расчет субсидий'!AT332</f>
        <v>131.77272727272725</v>
      </c>
      <c r="C332" s="54">
        <f>'Расчет субсидий'!D332-1</f>
        <v>7.0141735239823699E-2</v>
      </c>
      <c r="D332" s="54">
        <f>C332*'Расчет субсидий'!E332</f>
        <v>0.70141735239823699</v>
      </c>
      <c r="E332" s="55">
        <f t="shared" si="114"/>
        <v>7.1519203073951685</v>
      </c>
      <c r="F332" s="27" t="s">
        <v>367</v>
      </c>
      <c r="G332" s="27" t="s">
        <v>367</v>
      </c>
      <c r="H332" s="27" t="s">
        <v>367</v>
      </c>
      <c r="I332" s="27" t="s">
        <v>367</v>
      </c>
      <c r="J332" s="27" t="s">
        <v>367</v>
      </c>
      <c r="K332" s="27" t="s">
        <v>367</v>
      </c>
      <c r="L332" s="54">
        <f>'Расчет субсидий'!P332-1</f>
        <v>0.21846944676476254</v>
      </c>
      <c r="M332" s="54">
        <f>L332*'Расчет субсидий'!Q332</f>
        <v>4.3693889352952509</v>
      </c>
      <c r="N332" s="55">
        <f t="shared" si="115"/>
        <v>44.551965175083971</v>
      </c>
      <c r="O332" s="54">
        <f>'Расчет субсидий'!T332-1</f>
        <v>0.23666666666666658</v>
      </c>
      <c r="P332" s="54">
        <f>O332*'Расчет субсидий'!U332</f>
        <v>4.7333333333333316</v>
      </c>
      <c r="Q332" s="55">
        <f t="shared" si="116"/>
        <v>48.262881824339374</v>
      </c>
      <c r="R332" s="54">
        <f>'Расчет субсидий'!X332-1</f>
        <v>7.1428571428571397E-2</v>
      </c>
      <c r="S332" s="54">
        <f>R332*'Расчет субсидий'!Y332</f>
        <v>2.1428571428571419</v>
      </c>
      <c r="T332" s="55">
        <f t="shared" si="117"/>
        <v>21.849393180032912</v>
      </c>
      <c r="U332" s="60">
        <f>'Расчет субсидий'!AB332-1</f>
        <v>-0.17393472526607268</v>
      </c>
      <c r="V332" s="60">
        <f>U332*'Расчет субсидий'!AC332</f>
        <v>-0.86967362633036338</v>
      </c>
      <c r="W332" s="55">
        <f t="shared" si="107"/>
        <v>-8.8675257999986652</v>
      </c>
      <c r="X332" s="71">
        <f>'Расчет субсидий'!AF332-1</f>
        <v>9.2307692307692202E-2</v>
      </c>
      <c r="Y332" s="71">
        <f>X332*'Расчет субсидий'!AG332</f>
        <v>1.846153846153844</v>
      </c>
      <c r="Z332" s="55">
        <f t="shared" si="108"/>
        <v>18.824092585874496</v>
      </c>
      <c r="AA332" s="27" t="s">
        <v>367</v>
      </c>
      <c r="AB332" s="27" t="s">
        <v>367</v>
      </c>
      <c r="AC332" s="27" t="s">
        <v>367</v>
      </c>
      <c r="AD332" s="27" t="s">
        <v>367</v>
      </c>
      <c r="AE332" s="27" t="s">
        <v>367</v>
      </c>
      <c r="AF332" s="27" t="s">
        <v>367</v>
      </c>
      <c r="AG332" s="54">
        <f t="shared" si="109"/>
        <v>12.923476983707442</v>
      </c>
    </row>
    <row r="333" spans="1:33" ht="15" customHeight="1">
      <c r="A333" s="32" t="s">
        <v>325</v>
      </c>
      <c r="B333" s="56"/>
      <c r="C333" s="57"/>
      <c r="D333" s="57"/>
      <c r="E333" s="58"/>
      <c r="F333" s="57"/>
      <c r="G333" s="57"/>
      <c r="H333" s="58"/>
      <c r="I333" s="58"/>
      <c r="J333" s="58"/>
      <c r="K333" s="58"/>
      <c r="L333" s="57"/>
      <c r="M333" s="57"/>
      <c r="N333" s="58"/>
      <c r="O333" s="57"/>
      <c r="P333" s="57"/>
      <c r="Q333" s="58"/>
      <c r="R333" s="57"/>
      <c r="S333" s="57"/>
      <c r="T333" s="58"/>
      <c r="U333" s="58"/>
      <c r="V333" s="58"/>
      <c r="W333" s="58"/>
      <c r="X333" s="73"/>
      <c r="Y333" s="73"/>
      <c r="Z333" s="58"/>
      <c r="AA333" s="58"/>
      <c r="AB333" s="58"/>
      <c r="AC333" s="58"/>
      <c r="AD333" s="58"/>
      <c r="AE333" s="58"/>
      <c r="AF333" s="58"/>
      <c r="AG333" s="58"/>
    </row>
    <row r="334" spans="1:33" ht="15" customHeight="1">
      <c r="A334" s="33" t="s">
        <v>326</v>
      </c>
      <c r="B334" s="52">
        <f>'Расчет субсидий'!AT334</f>
        <v>-22.372727272727275</v>
      </c>
      <c r="C334" s="54">
        <f>'Расчет субсидий'!D334-1</f>
        <v>3.5714285714285587E-3</v>
      </c>
      <c r="D334" s="54">
        <f>C334*'Расчет субсидий'!E334</f>
        <v>3.5714285714285587E-2</v>
      </c>
      <c r="E334" s="55">
        <f t="shared" ref="E334:E344" si="118">$B334*D334/$AG334</f>
        <v>0.11149781278783541</v>
      </c>
      <c r="F334" s="27" t="s">
        <v>367</v>
      </c>
      <c r="G334" s="27" t="s">
        <v>367</v>
      </c>
      <c r="H334" s="27" t="s">
        <v>367</v>
      </c>
      <c r="I334" s="27" t="s">
        <v>367</v>
      </c>
      <c r="J334" s="27" t="s">
        <v>367</v>
      </c>
      <c r="K334" s="27" t="s">
        <v>367</v>
      </c>
      <c r="L334" s="54">
        <f>'Расчет субсидий'!P334-1</f>
        <v>-0.36619283065512986</v>
      </c>
      <c r="M334" s="54">
        <f>L334*'Расчет субсидий'!Q334</f>
        <v>-7.3238566131025973</v>
      </c>
      <c r="N334" s="55">
        <f t="shared" ref="N334:N344" si="119">$B334*M334/$AG334</f>
        <v>-22.864631818914663</v>
      </c>
      <c r="O334" s="54">
        <f>'Расчет субсидий'!T334-1</f>
        <v>7.8947368421051767E-3</v>
      </c>
      <c r="P334" s="54">
        <f>O334*'Расчет субсидий'!U334</f>
        <v>0.19736842105262942</v>
      </c>
      <c r="Q334" s="55">
        <f t="shared" ref="Q334:Q344" si="120">$B334*P334/$AG334</f>
        <v>0.61617212330119109</v>
      </c>
      <c r="R334" s="54">
        <f>'Расчет субсидий'!X334-1</f>
        <v>2.4999999999999911E-2</v>
      </c>
      <c r="S334" s="54">
        <f>R334*'Расчет субсидий'!Y334</f>
        <v>0.62499999999999778</v>
      </c>
      <c r="T334" s="55">
        <f t="shared" ref="T334:T344" si="121">$B334*S334/$AG334</f>
        <v>1.9512117237871196</v>
      </c>
      <c r="U334" s="60">
        <f>'Расчет субсидий'!AB334-1</f>
        <v>-0.14010378057820605</v>
      </c>
      <c r="V334" s="60">
        <f>U334*'Расчет субсидий'!AC334</f>
        <v>-0.70051890289103025</v>
      </c>
      <c r="W334" s="55">
        <f t="shared" si="107"/>
        <v>-2.1869771136887581</v>
      </c>
      <c r="X334" s="71">
        <f>'Расчет субсидий'!AF334-1</f>
        <v>0</v>
      </c>
      <c r="Y334" s="71">
        <f>X334*'Расчет субсидий'!AG334</f>
        <v>0</v>
      </c>
      <c r="Z334" s="55">
        <f t="shared" si="108"/>
        <v>0</v>
      </c>
      <c r="AA334" s="27" t="s">
        <v>367</v>
      </c>
      <c r="AB334" s="27" t="s">
        <v>367</v>
      </c>
      <c r="AC334" s="27" t="s">
        <v>367</v>
      </c>
      <c r="AD334" s="27" t="s">
        <v>367</v>
      </c>
      <c r="AE334" s="27" t="s">
        <v>367</v>
      </c>
      <c r="AF334" s="27" t="s">
        <v>367</v>
      </c>
      <c r="AG334" s="54">
        <f t="shared" si="109"/>
        <v>-7.1662928092267144</v>
      </c>
    </row>
    <row r="335" spans="1:33" ht="15" customHeight="1">
      <c r="A335" s="33" t="s">
        <v>327</v>
      </c>
      <c r="B335" s="52">
        <f>'Расчет субсидий'!AT335</f>
        <v>-39.727272727272748</v>
      </c>
      <c r="C335" s="54">
        <f>'Расчет субсидий'!D335-1</f>
        <v>6.9047619047619024E-2</v>
      </c>
      <c r="D335" s="54">
        <f>C335*'Расчет субсидий'!E335</f>
        <v>0.69047619047619024</v>
      </c>
      <c r="E335" s="55">
        <f t="shared" si="118"/>
        <v>1.7336320229054829</v>
      </c>
      <c r="F335" s="27" t="s">
        <v>367</v>
      </c>
      <c r="G335" s="27" t="s">
        <v>367</v>
      </c>
      <c r="H335" s="27" t="s">
        <v>367</v>
      </c>
      <c r="I335" s="27" t="s">
        <v>367</v>
      </c>
      <c r="J335" s="27" t="s">
        <v>367</v>
      </c>
      <c r="K335" s="27" t="s">
        <v>367</v>
      </c>
      <c r="L335" s="54">
        <f>'Расчет субсидий'!P335-1</f>
        <v>-0.77912949445796165</v>
      </c>
      <c r="M335" s="54">
        <f>L335*'Расчет субсидий'!Q335</f>
        <v>-15.582589889159234</v>
      </c>
      <c r="N335" s="55">
        <f t="shared" si="119"/>
        <v>-39.124414721699502</v>
      </c>
      <c r="O335" s="54">
        <f>'Расчет субсидий'!T335-1</f>
        <v>6.7567567567567988E-3</v>
      </c>
      <c r="P335" s="54">
        <f>O335*'Расчет субсидий'!U335</f>
        <v>0.20270270270270396</v>
      </c>
      <c r="Q335" s="55">
        <f t="shared" si="120"/>
        <v>0.50894136739536888</v>
      </c>
      <c r="R335" s="54">
        <f>'Расчет субсидий'!X335-1</f>
        <v>1.8867924528301883E-2</v>
      </c>
      <c r="S335" s="54">
        <f>R335*'Расчет субсидий'!Y335</f>
        <v>0.37735849056603765</v>
      </c>
      <c r="T335" s="55">
        <f t="shared" si="121"/>
        <v>0.94746317452218987</v>
      </c>
      <c r="U335" s="60">
        <f>'Расчет субсидий'!AB335-1</f>
        <v>-0.30212909766813112</v>
      </c>
      <c r="V335" s="60">
        <f>U335*'Расчет субсидий'!AC335</f>
        <v>-1.5106454883406557</v>
      </c>
      <c r="W335" s="55">
        <f t="shared" si="107"/>
        <v>-3.7928945703962835</v>
      </c>
      <c r="X335" s="71">
        <f>'Расчет субсидий'!AF335-1</f>
        <v>0</v>
      </c>
      <c r="Y335" s="71">
        <f>X335*'Расчет субсидий'!AG335</f>
        <v>0</v>
      </c>
      <c r="Z335" s="55">
        <f t="shared" si="108"/>
        <v>0</v>
      </c>
      <c r="AA335" s="27" t="s">
        <v>367</v>
      </c>
      <c r="AB335" s="27" t="s">
        <v>367</v>
      </c>
      <c r="AC335" s="27" t="s">
        <v>367</v>
      </c>
      <c r="AD335" s="27" t="s">
        <v>367</v>
      </c>
      <c r="AE335" s="27" t="s">
        <v>367</v>
      </c>
      <c r="AF335" s="27" t="s">
        <v>367</v>
      </c>
      <c r="AG335" s="54">
        <f t="shared" si="109"/>
        <v>-15.822697993754959</v>
      </c>
    </row>
    <row r="336" spans="1:33" ht="15" customHeight="1">
      <c r="A336" s="33" t="s">
        <v>328</v>
      </c>
      <c r="B336" s="52">
        <f>'Расчет субсидий'!AT336</f>
        <v>13.272727272727252</v>
      </c>
      <c r="C336" s="54">
        <f>'Расчет субсидий'!D336-1</f>
        <v>0.12391304347826093</v>
      </c>
      <c r="D336" s="54">
        <f>C336*'Расчет субсидий'!E336</f>
        <v>1.2391304347826093</v>
      </c>
      <c r="E336" s="55">
        <f t="shared" si="118"/>
        <v>4.1976885141107054</v>
      </c>
      <c r="F336" s="27" t="s">
        <v>367</v>
      </c>
      <c r="G336" s="27" t="s">
        <v>367</v>
      </c>
      <c r="H336" s="27" t="s">
        <v>367</v>
      </c>
      <c r="I336" s="27" t="s">
        <v>367</v>
      </c>
      <c r="J336" s="27" t="s">
        <v>367</v>
      </c>
      <c r="K336" s="27" t="s">
        <v>367</v>
      </c>
      <c r="L336" s="54">
        <f>'Расчет субсидий'!P336-1</f>
        <v>0.25075471698113194</v>
      </c>
      <c r="M336" s="54">
        <f>L336*'Расчет субсидий'!Q336</f>
        <v>5.0150943396226388</v>
      </c>
      <c r="N336" s="55">
        <f t="shared" si="119"/>
        <v>16.989175082531847</v>
      </c>
      <c r="O336" s="54">
        <f>'Расчет субсидий'!T336-1</f>
        <v>-2.0000000000000018E-3</v>
      </c>
      <c r="P336" s="54">
        <f>O336*'Расчет субсидий'!U336</f>
        <v>-6.0000000000000053E-2</v>
      </c>
      <c r="Q336" s="55">
        <f t="shared" si="120"/>
        <v>-0.20325649647272895</v>
      </c>
      <c r="R336" s="54">
        <f>'Расчет субсидий'!X336-1</f>
        <v>8.3333333333333037E-3</v>
      </c>
      <c r="S336" s="54">
        <f>R336*'Расчет субсидий'!Y336</f>
        <v>0.16666666666666607</v>
      </c>
      <c r="T336" s="55">
        <f t="shared" si="121"/>
        <v>0.56460137909091124</v>
      </c>
      <c r="U336" s="60">
        <f>'Расчет субсидий'!AB336-1</f>
        <v>-0.4885736800630418</v>
      </c>
      <c r="V336" s="60">
        <f>U336*'Расчет субсидий'!AC336</f>
        <v>-2.4428684003152092</v>
      </c>
      <c r="W336" s="55">
        <f t="shared" si="107"/>
        <v>-8.2754812065334811</v>
      </c>
      <c r="X336" s="71">
        <f>'Расчет субсидий'!AF336-1</f>
        <v>0</v>
      </c>
      <c r="Y336" s="71">
        <f>X336*'Расчет субсидий'!AG336</f>
        <v>0</v>
      </c>
      <c r="Z336" s="55">
        <f t="shared" si="108"/>
        <v>0</v>
      </c>
      <c r="AA336" s="27" t="s">
        <v>367</v>
      </c>
      <c r="AB336" s="27" t="s">
        <v>367</v>
      </c>
      <c r="AC336" s="27" t="s">
        <v>367</v>
      </c>
      <c r="AD336" s="27" t="s">
        <v>367</v>
      </c>
      <c r="AE336" s="27" t="s">
        <v>367</v>
      </c>
      <c r="AF336" s="27" t="s">
        <v>367</v>
      </c>
      <c r="AG336" s="54">
        <f t="shared" si="109"/>
        <v>3.9180230407567045</v>
      </c>
    </row>
    <row r="337" spans="1:33" ht="15" customHeight="1">
      <c r="A337" s="33" t="s">
        <v>329</v>
      </c>
      <c r="B337" s="52">
        <f>'Расчет субсидий'!AT337</f>
        <v>17.854545454545416</v>
      </c>
      <c r="C337" s="54">
        <f>'Расчет субсидий'!D337-1</f>
        <v>0</v>
      </c>
      <c r="D337" s="54">
        <f>C337*'Расчет субсидий'!E337</f>
        <v>0</v>
      </c>
      <c r="E337" s="55">
        <f t="shared" si="118"/>
        <v>0</v>
      </c>
      <c r="F337" s="27" t="s">
        <v>367</v>
      </c>
      <c r="G337" s="27" t="s">
        <v>367</v>
      </c>
      <c r="H337" s="27" t="s">
        <v>367</v>
      </c>
      <c r="I337" s="27" t="s">
        <v>367</v>
      </c>
      <c r="J337" s="27" t="s">
        <v>367</v>
      </c>
      <c r="K337" s="27" t="s">
        <v>367</v>
      </c>
      <c r="L337" s="54">
        <f>'Расчет субсидий'!P337-1</f>
        <v>0.20505980861244022</v>
      </c>
      <c r="M337" s="54">
        <f>L337*'Расчет субсидий'!Q337</f>
        <v>4.1011961722488044</v>
      </c>
      <c r="N337" s="55">
        <f t="shared" si="119"/>
        <v>12.234193982899399</v>
      </c>
      <c r="O337" s="54">
        <f>'Расчет субсидий'!T337-1</f>
        <v>0</v>
      </c>
      <c r="P337" s="54">
        <f>O337*'Расчет субсидий'!U337</f>
        <v>0</v>
      </c>
      <c r="Q337" s="55">
        <f t="shared" si="120"/>
        <v>0</v>
      </c>
      <c r="R337" s="54">
        <f>'Расчет субсидий'!X337-1</f>
        <v>0.125</v>
      </c>
      <c r="S337" s="54">
        <f>R337*'Расчет субсидий'!Y337</f>
        <v>3.75</v>
      </c>
      <c r="T337" s="55">
        <f t="shared" si="121"/>
        <v>11.18654790188112</v>
      </c>
      <c r="U337" s="60">
        <f>'Расчет субсидий'!AB337-1</f>
        <v>-0.37318459271732263</v>
      </c>
      <c r="V337" s="60">
        <f>U337*'Расчет субсидий'!AC337</f>
        <v>-1.865922963586613</v>
      </c>
      <c r="W337" s="55">
        <f t="shared" si="107"/>
        <v>-5.5661964302351006</v>
      </c>
      <c r="X337" s="71">
        <f>'Расчет субсидий'!AF337-1</f>
        <v>0</v>
      </c>
      <c r="Y337" s="71">
        <f>X337*'Расчет субсидий'!AG337</f>
        <v>0</v>
      </c>
      <c r="Z337" s="55">
        <f t="shared" si="108"/>
        <v>0</v>
      </c>
      <c r="AA337" s="27" t="s">
        <v>367</v>
      </c>
      <c r="AB337" s="27" t="s">
        <v>367</v>
      </c>
      <c r="AC337" s="27" t="s">
        <v>367</v>
      </c>
      <c r="AD337" s="27" t="s">
        <v>367</v>
      </c>
      <c r="AE337" s="27" t="s">
        <v>367</v>
      </c>
      <c r="AF337" s="27" t="s">
        <v>367</v>
      </c>
      <c r="AG337" s="54">
        <f t="shared" si="109"/>
        <v>5.9852732086621909</v>
      </c>
    </row>
    <row r="338" spans="1:33" ht="15" customHeight="1">
      <c r="A338" s="33" t="s">
        <v>330</v>
      </c>
      <c r="B338" s="52">
        <f>'Расчет субсидий'!AT338</f>
        <v>-2.8090909090909122</v>
      </c>
      <c r="C338" s="54">
        <f>'Расчет субсидий'!D338-1</f>
        <v>0</v>
      </c>
      <c r="D338" s="54">
        <f>C338*'Расчет субсидий'!E338</f>
        <v>0</v>
      </c>
      <c r="E338" s="55">
        <f t="shared" si="118"/>
        <v>0</v>
      </c>
      <c r="F338" s="27" t="s">
        <v>367</v>
      </c>
      <c r="G338" s="27" t="s">
        <v>367</v>
      </c>
      <c r="H338" s="27" t="s">
        <v>367</v>
      </c>
      <c r="I338" s="27" t="s">
        <v>367</v>
      </c>
      <c r="J338" s="27" t="s">
        <v>367</v>
      </c>
      <c r="K338" s="27" t="s">
        <v>367</v>
      </c>
      <c r="L338" s="54">
        <f>'Расчет субсидий'!P338-1</f>
        <v>-0.31290064102564097</v>
      </c>
      <c r="M338" s="54">
        <f>L338*'Расчет субсидий'!Q338</f>
        <v>-6.2580128205128194</v>
      </c>
      <c r="N338" s="55">
        <f t="shared" si="119"/>
        <v>-8.7952696048551076</v>
      </c>
      <c r="O338" s="54">
        <f>'Расчет субсидий'!T338-1</f>
        <v>0.19999999999999996</v>
      </c>
      <c r="P338" s="54">
        <f>O338*'Расчет субсидий'!U338</f>
        <v>3.9999999999999991</v>
      </c>
      <c r="Q338" s="55">
        <f t="shared" si="120"/>
        <v>5.6217651558817803</v>
      </c>
      <c r="R338" s="54">
        <f>'Расчет субсидий'!X338-1</f>
        <v>6.6666666666666652E-2</v>
      </c>
      <c r="S338" s="54">
        <f>R338*'Расчет субсидий'!Y338</f>
        <v>1.9999999999999996</v>
      </c>
      <c r="T338" s="55">
        <f t="shared" si="121"/>
        <v>2.8108825779408901</v>
      </c>
      <c r="U338" s="60">
        <f>'Расчет субсидий'!AB338-1</f>
        <v>-0.34814247414783606</v>
      </c>
      <c r="V338" s="60">
        <f>U338*'Расчет субсидий'!AC338</f>
        <v>-1.7407123707391803</v>
      </c>
      <c r="W338" s="55">
        <f t="shared" si="107"/>
        <v>-2.4464690380584733</v>
      </c>
      <c r="X338" s="71">
        <f>'Расчет субсидий'!AF338-1</f>
        <v>0</v>
      </c>
      <c r="Y338" s="71">
        <f>X338*'Расчет субсидий'!AG338</f>
        <v>0</v>
      </c>
      <c r="Z338" s="55">
        <f t="shared" si="108"/>
        <v>0</v>
      </c>
      <c r="AA338" s="27" t="s">
        <v>367</v>
      </c>
      <c r="AB338" s="27" t="s">
        <v>367</v>
      </c>
      <c r="AC338" s="27" t="s">
        <v>367</v>
      </c>
      <c r="AD338" s="27" t="s">
        <v>367</v>
      </c>
      <c r="AE338" s="27" t="s">
        <v>367</v>
      </c>
      <c r="AF338" s="27" t="s">
        <v>367</v>
      </c>
      <c r="AG338" s="54">
        <f t="shared" si="109"/>
        <v>-1.998725191252001</v>
      </c>
    </row>
    <row r="339" spans="1:33" ht="15" customHeight="1">
      <c r="A339" s="33" t="s">
        <v>331</v>
      </c>
      <c r="B339" s="52">
        <f>'Расчет субсидий'!AT339</f>
        <v>14.28181818181821</v>
      </c>
      <c r="C339" s="54">
        <f>'Расчет субсидий'!D339-1</f>
        <v>6.2433862433862508E-2</v>
      </c>
      <c r="D339" s="54">
        <f>C339*'Расчет субсидий'!E339</f>
        <v>0.62433862433862508</v>
      </c>
      <c r="E339" s="55">
        <f t="shared" si="118"/>
        <v>1.7656812005071587</v>
      </c>
      <c r="F339" s="27" t="s">
        <v>367</v>
      </c>
      <c r="G339" s="27" t="s">
        <v>367</v>
      </c>
      <c r="H339" s="27" t="s">
        <v>367</v>
      </c>
      <c r="I339" s="27" t="s">
        <v>367</v>
      </c>
      <c r="J339" s="27" t="s">
        <v>367</v>
      </c>
      <c r="K339" s="27" t="s">
        <v>367</v>
      </c>
      <c r="L339" s="54">
        <f>'Расчет субсидий'!P339-1</f>
        <v>0.23526492287055656</v>
      </c>
      <c r="M339" s="54">
        <f>L339*'Расчет субсидий'!Q339</f>
        <v>4.7052984574111312</v>
      </c>
      <c r="N339" s="55">
        <f t="shared" si="119"/>
        <v>13.306972699033421</v>
      </c>
      <c r="O339" s="54">
        <f>'Расчет субсидий'!T339-1</f>
        <v>0</v>
      </c>
      <c r="P339" s="54">
        <f>O339*'Расчет субсидий'!U339</f>
        <v>0</v>
      </c>
      <c r="Q339" s="55">
        <f t="shared" si="120"/>
        <v>0</v>
      </c>
      <c r="R339" s="54">
        <f>'Расчет субсидий'!X339-1</f>
        <v>0</v>
      </c>
      <c r="S339" s="54">
        <f>R339*'Расчет субсидий'!Y339</f>
        <v>0</v>
      </c>
      <c r="T339" s="55">
        <f t="shared" si="121"/>
        <v>0</v>
      </c>
      <c r="U339" s="60">
        <f>'Расчет субсидий'!AB339-1</f>
        <v>-5.5927342256214096E-2</v>
      </c>
      <c r="V339" s="60">
        <f>U339*'Расчет субсидий'!AC339</f>
        <v>-0.27963671128107048</v>
      </c>
      <c r="W339" s="55">
        <f t="shared" si="107"/>
        <v>-0.79083571772237082</v>
      </c>
      <c r="X339" s="71">
        <f>'Расчет субсидий'!AF339-1</f>
        <v>0</v>
      </c>
      <c r="Y339" s="71">
        <f>X339*'Расчет субсидий'!AG339</f>
        <v>0</v>
      </c>
      <c r="Z339" s="55">
        <f t="shared" si="108"/>
        <v>0</v>
      </c>
      <c r="AA339" s="27" t="s">
        <v>367</v>
      </c>
      <c r="AB339" s="27" t="s">
        <v>367</v>
      </c>
      <c r="AC339" s="27" t="s">
        <v>367</v>
      </c>
      <c r="AD339" s="27" t="s">
        <v>367</v>
      </c>
      <c r="AE339" s="27" t="s">
        <v>367</v>
      </c>
      <c r="AF339" s="27" t="s">
        <v>367</v>
      </c>
      <c r="AG339" s="54">
        <f t="shared" si="109"/>
        <v>5.0500003704686858</v>
      </c>
    </row>
    <row r="340" spans="1:33" ht="15" customHeight="1">
      <c r="A340" s="33" t="s">
        <v>332</v>
      </c>
      <c r="B340" s="52">
        <f>'Расчет субсидий'!AT340</f>
        <v>-45.836363636363615</v>
      </c>
      <c r="C340" s="54">
        <f>'Расчет субсидий'!D340-1</f>
        <v>-1</v>
      </c>
      <c r="D340" s="54">
        <f>C340*'Расчет субсидий'!E340</f>
        <v>0</v>
      </c>
      <c r="E340" s="55">
        <f t="shared" si="118"/>
        <v>0</v>
      </c>
      <c r="F340" s="27" t="s">
        <v>367</v>
      </c>
      <c r="G340" s="27" t="s">
        <v>367</v>
      </c>
      <c r="H340" s="27" t="s">
        <v>367</v>
      </c>
      <c r="I340" s="27" t="s">
        <v>367</v>
      </c>
      <c r="J340" s="27" t="s">
        <v>367</v>
      </c>
      <c r="K340" s="27" t="s">
        <v>367</v>
      </c>
      <c r="L340" s="54">
        <f>'Расчет субсидий'!P340-1</f>
        <v>-0.58180088776157257</v>
      </c>
      <c r="M340" s="54">
        <f>L340*'Расчет субсидий'!Q340</f>
        <v>-11.636017755231451</v>
      </c>
      <c r="N340" s="55">
        <f t="shared" si="119"/>
        <v>-43.93212497463086</v>
      </c>
      <c r="O340" s="54">
        <f>'Расчет субсидий'!T340-1</f>
        <v>-7.6666666666666661E-2</v>
      </c>
      <c r="P340" s="54">
        <f>O340*'Расчет субсидий'!U340</f>
        <v>-1.5333333333333332</v>
      </c>
      <c r="Q340" s="55">
        <f t="shared" si="120"/>
        <v>-5.7891447954762425</v>
      </c>
      <c r="R340" s="54">
        <f>'Расчет субсидий'!X340-1</f>
        <v>9.1666666666666563E-2</v>
      </c>
      <c r="S340" s="54">
        <f>R340*'Расчет субсидий'!Y340</f>
        <v>2.7499999999999969</v>
      </c>
      <c r="T340" s="55">
        <f t="shared" si="121"/>
        <v>10.382705339712816</v>
      </c>
      <c r="U340" s="60">
        <f>'Расчет субсидий'!AB340-1</f>
        <v>-0.34420600858369099</v>
      </c>
      <c r="V340" s="60">
        <f>U340*'Расчет субсидий'!AC340</f>
        <v>-1.7210300429184548</v>
      </c>
      <c r="W340" s="55">
        <f t="shared" si="107"/>
        <v>-6.497799205969323</v>
      </c>
      <c r="X340" s="71">
        <f>'Расчет субсидий'!AF340-1</f>
        <v>0</v>
      </c>
      <c r="Y340" s="71">
        <f>X340*'Расчет субсидий'!AG340</f>
        <v>0</v>
      </c>
      <c r="Z340" s="55">
        <f t="shared" si="108"/>
        <v>0</v>
      </c>
      <c r="AA340" s="27" t="s">
        <v>367</v>
      </c>
      <c r="AB340" s="27" t="s">
        <v>367</v>
      </c>
      <c r="AC340" s="27" t="s">
        <v>367</v>
      </c>
      <c r="AD340" s="27" t="s">
        <v>367</v>
      </c>
      <c r="AE340" s="27" t="s">
        <v>367</v>
      </c>
      <c r="AF340" s="27" t="s">
        <v>367</v>
      </c>
      <c r="AG340" s="54">
        <f t="shared" si="109"/>
        <v>-12.140381131483243</v>
      </c>
    </row>
    <row r="341" spans="1:33" ht="15" customHeight="1">
      <c r="A341" s="33" t="s">
        <v>333</v>
      </c>
      <c r="B341" s="52">
        <f>'Расчет субсидий'!AT341</f>
        <v>-4.6727272727272862</v>
      </c>
      <c r="C341" s="54">
        <f>'Расчет субсидий'!D341-1</f>
        <v>-8.5714285714285743E-2</v>
      </c>
      <c r="D341" s="54">
        <f>C341*'Расчет субсидий'!E341</f>
        <v>-0.85714285714285743</v>
      </c>
      <c r="E341" s="55">
        <f t="shared" si="118"/>
        <v>-1.2265070761610191</v>
      </c>
      <c r="F341" s="27" t="s">
        <v>367</v>
      </c>
      <c r="G341" s="27" t="s">
        <v>367</v>
      </c>
      <c r="H341" s="27" t="s">
        <v>367</v>
      </c>
      <c r="I341" s="27" t="s">
        <v>367</v>
      </c>
      <c r="J341" s="27" t="s">
        <v>367</v>
      </c>
      <c r="K341" s="27" t="s">
        <v>367</v>
      </c>
      <c r="L341" s="54">
        <f>'Расчет субсидий'!P341-1</f>
        <v>-0.46312178387650083</v>
      </c>
      <c r="M341" s="54">
        <f>L341*'Расчет субсидий'!Q341</f>
        <v>-9.2624356775300161</v>
      </c>
      <c r="N341" s="55">
        <f t="shared" si="119"/>
        <v>-13.253850051139652</v>
      </c>
      <c r="O341" s="54">
        <f>'Расчет субсидий'!T341-1</f>
        <v>0.22094594594594597</v>
      </c>
      <c r="P341" s="54">
        <f>O341*'Расчет субсидий'!U341</f>
        <v>6.628378378378379</v>
      </c>
      <c r="Q341" s="55">
        <f t="shared" si="120"/>
        <v>9.4847118153127425</v>
      </c>
      <c r="R341" s="54">
        <f>'Расчет субсидий'!X341-1</f>
        <v>2.8571428571428692E-2</v>
      </c>
      <c r="S341" s="54">
        <f>R341*'Расчет субсидий'!Y341</f>
        <v>0.57142857142857384</v>
      </c>
      <c r="T341" s="55">
        <f t="shared" si="121"/>
        <v>0.8176713841073493</v>
      </c>
      <c r="U341" s="60">
        <f>'Расчет субсидий'!AB341-1</f>
        <v>-6.9151544874938686E-2</v>
      </c>
      <c r="V341" s="60">
        <f>U341*'Расчет субсидий'!AC341</f>
        <v>-0.34575772437469343</v>
      </c>
      <c r="W341" s="55">
        <f t="shared" si="107"/>
        <v>-0.49475334484670808</v>
      </c>
      <c r="X341" s="71">
        <f>'Расчет субсидий'!AF341-1</f>
        <v>0</v>
      </c>
      <c r="Y341" s="71">
        <f>X341*'Расчет субсидий'!AG341</f>
        <v>0</v>
      </c>
      <c r="Z341" s="55">
        <f t="shared" si="108"/>
        <v>0</v>
      </c>
      <c r="AA341" s="27" t="s">
        <v>367</v>
      </c>
      <c r="AB341" s="27" t="s">
        <v>367</v>
      </c>
      <c r="AC341" s="27" t="s">
        <v>367</v>
      </c>
      <c r="AD341" s="27" t="s">
        <v>367</v>
      </c>
      <c r="AE341" s="27" t="s">
        <v>367</v>
      </c>
      <c r="AF341" s="27" t="s">
        <v>367</v>
      </c>
      <c r="AG341" s="54">
        <f t="shared" si="109"/>
        <v>-3.2655293092406144</v>
      </c>
    </row>
    <row r="342" spans="1:33" ht="15" customHeight="1">
      <c r="A342" s="33" t="s">
        <v>334</v>
      </c>
      <c r="B342" s="52">
        <f>'Расчет субсидий'!AT342</f>
        <v>-14.627272727272725</v>
      </c>
      <c r="C342" s="54">
        <f>'Расчет субсидий'!D342-1</f>
        <v>-0.13528228264845754</v>
      </c>
      <c r="D342" s="54">
        <f>C342*'Расчет субсидий'!E342</f>
        <v>-1.3528228264845754</v>
      </c>
      <c r="E342" s="55">
        <f t="shared" si="118"/>
        <v>-6.0682854373747626</v>
      </c>
      <c r="F342" s="27" t="s">
        <v>367</v>
      </c>
      <c r="G342" s="27" t="s">
        <v>367</v>
      </c>
      <c r="H342" s="27" t="s">
        <v>367</v>
      </c>
      <c r="I342" s="27" t="s">
        <v>367</v>
      </c>
      <c r="J342" s="27" t="s">
        <v>367</v>
      </c>
      <c r="K342" s="27" t="s">
        <v>367</v>
      </c>
      <c r="L342" s="54">
        <f>'Расчет субсидий'!P342-1</f>
        <v>-0.13280475718533202</v>
      </c>
      <c r="M342" s="54">
        <f>L342*'Расчет субсидий'!Q342</f>
        <v>-2.6560951437066405</v>
      </c>
      <c r="N342" s="55">
        <f t="shared" si="119"/>
        <v>-11.914304789431055</v>
      </c>
      <c r="O342" s="54">
        <f>'Расчет субсидий'!T342-1</f>
        <v>3.6842105263157787E-2</v>
      </c>
      <c r="P342" s="54">
        <f>O342*'Расчет субсидий'!U342</f>
        <v>0.73684210526315574</v>
      </c>
      <c r="Q342" s="55">
        <f t="shared" si="120"/>
        <v>3.3052134614199247</v>
      </c>
      <c r="R342" s="54">
        <f>'Расчет субсидий'!X342-1</f>
        <v>9.0909090909090384E-3</v>
      </c>
      <c r="S342" s="54">
        <f>R342*'Расчет субсидий'!Y342</f>
        <v>0.27272727272727115</v>
      </c>
      <c r="T342" s="55">
        <f t="shared" si="121"/>
        <v>1.2233582292268517</v>
      </c>
      <c r="U342" s="60">
        <f>'Расчет субсидий'!AB342-1</f>
        <v>-5.2311482951399979E-2</v>
      </c>
      <c r="V342" s="60">
        <f>U342*'Расчет субсидий'!AC342</f>
        <v>-0.2615574147569999</v>
      </c>
      <c r="W342" s="55">
        <f t="shared" si="107"/>
        <v>-1.1732541911136878</v>
      </c>
      <c r="X342" s="71">
        <f>'Расчет субсидий'!AF342-1</f>
        <v>0</v>
      </c>
      <c r="Y342" s="71">
        <f>X342*'Расчет субсидий'!AG342</f>
        <v>0</v>
      </c>
      <c r="Z342" s="55">
        <f t="shared" si="108"/>
        <v>0</v>
      </c>
      <c r="AA342" s="27" t="s">
        <v>367</v>
      </c>
      <c r="AB342" s="27" t="s">
        <v>367</v>
      </c>
      <c r="AC342" s="27" t="s">
        <v>367</v>
      </c>
      <c r="AD342" s="27" t="s">
        <v>367</v>
      </c>
      <c r="AE342" s="27" t="s">
        <v>367</v>
      </c>
      <c r="AF342" s="27" t="s">
        <v>367</v>
      </c>
      <c r="AG342" s="54">
        <f t="shared" si="109"/>
        <v>-3.2609060069577884</v>
      </c>
    </row>
    <row r="343" spans="1:33" ht="15" customHeight="1">
      <c r="A343" s="33" t="s">
        <v>335</v>
      </c>
      <c r="B343" s="52">
        <f>'Расчет субсидий'!AT343</f>
        <v>-13.927272727272708</v>
      </c>
      <c r="C343" s="54">
        <f>'Расчет субсидий'!D343-1</f>
        <v>-2.1818181818181848E-2</v>
      </c>
      <c r="D343" s="54">
        <f>C343*'Расчет субсидий'!E343</f>
        <v>-0.21818181818181848</v>
      </c>
      <c r="E343" s="55">
        <f t="shared" si="118"/>
        <v>-0.30526588951565881</v>
      </c>
      <c r="F343" s="27" t="s">
        <v>367</v>
      </c>
      <c r="G343" s="27" t="s">
        <v>367</v>
      </c>
      <c r="H343" s="27" t="s">
        <v>367</v>
      </c>
      <c r="I343" s="27" t="s">
        <v>367</v>
      </c>
      <c r="J343" s="27" t="s">
        <v>367</v>
      </c>
      <c r="K343" s="27" t="s">
        <v>367</v>
      </c>
      <c r="L343" s="54">
        <f>'Расчет субсидий'!P343-1</f>
        <v>-0.39099526066350709</v>
      </c>
      <c r="M343" s="54">
        <f>L343*'Расчет субсидий'!Q343</f>
        <v>-7.8199052132701414</v>
      </c>
      <c r="N343" s="55">
        <f t="shared" si="119"/>
        <v>-10.941105637261453</v>
      </c>
      <c r="O343" s="54">
        <f>'Расчет субсидий'!T343-1</f>
        <v>-2.0408163265306367E-3</v>
      </c>
      <c r="P343" s="54">
        <f>O343*'Расчет субсидий'!U343</f>
        <v>-6.1224489795919101E-2</v>
      </c>
      <c r="Q343" s="55">
        <f t="shared" si="120"/>
        <v>-8.5661346547762307E-2</v>
      </c>
      <c r="R343" s="54">
        <f>'Расчет субсидий'!X343-1</f>
        <v>1.6666666666666607E-2</v>
      </c>
      <c r="S343" s="54">
        <f>R343*'Расчет субсидий'!Y343</f>
        <v>0.33333333333333215</v>
      </c>
      <c r="T343" s="55">
        <f t="shared" si="121"/>
        <v>0.46637844231558756</v>
      </c>
      <c r="U343" s="60">
        <f>'Расчет субсидий'!AB343-1</f>
        <v>-0.43764434180138567</v>
      </c>
      <c r="V343" s="60">
        <f>U343*'Расчет субсидий'!AC343</f>
        <v>-2.1882217090069283</v>
      </c>
      <c r="W343" s="55">
        <f t="shared" si="107"/>
        <v>-3.0616182962634233</v>
      </c>
      <c r="X343" s="71">
        <f>'Расчет субсидий'!AF343-1</f>
        <v>0</v>
      </c>
      <c r="Y343" s="71">
        <f>X343*'Расчет субсидий'!AG343</f>
        <v>0</v>
      </c>
      <c r="Z343" s="55">
        <f t="shared" si="108"/>
        <v>0</v>
      </c>
      <c r="AA343" s="27" t="s">
        <v>367</v>
      </c>
      <c r="AB343" s="27" t="s">
        <v>367</v>
      </c>
      <c r="AC343" s="27" t="s">
        <v>367</v>
      </c>
      <c r="AD343" s="27" t="s">
        <v>367</v>
      </c>
      <c r="AE343" s="27" t="s">
        <v>367</v>
      </c>
      <c r="AF343" s="27" t="s">
        <v>367</v>
      </c>
      <c r="AG343" s="54">
        <f t="shared" si="109"/>
        <v>-9.9541998969214749</v>
      </c>
    </row>
    <row r="344" spans="1:33" ht="15" customHeight="1">
      <c r="A344" s="33" t="s">
        <v>336</v>
      </c>
      <c r="B344" s="52">
        <f>'Расчет субсидий'!AT344</f>
        <v>24.909090909090935</v>
      </c>
      <c r="C344" s="54">
        <f>'Расчет субсидий'!D344-1</f>
        <v>8.9855072463768115E-2</v>
      </c>
      <c r="D344" s="54">
        <f>C344*'Расчет субсидий'!E344</f>
        <v>0.89855072463768115</v>
      </c>
      <c r="E344" s="55">
        <f t="shared" si="118"/>
        <v>3.1202383675258192</v>
      </c>
      <c r="F344" s="27" t="s">
        <v>367</v>
      </c>
      <c r="G344" s="27" t="s">
        <v>367</v>
      </c>
      <c r="H344" s="27" t="s">
        <v>367</v>
      </c>
      <c r="I344" s="27" t="s">
        <v>367</v>
      </c>
      <c r="J344" s="27" t="s">
        <v>367</v>
      </c>
      <c r="K344" s="27" t="s">
        <v>367</v>
      </c>
      <c r="L344" s="54">
        <f>'Расчет субсидий'!P344-1</f>
        <v>-2.7397260273972712E-2</v>
      </c>
      <c r="M344" s="54">
        <f>L344*'Расчет субсидий'!Q344</f>
        <v>-0.54794520547945424</v>
      </c>
      <c r="N344" s="55">
        <f t="shared" si="119"/>
        <v>-1.9027525175367421</v>
      </c>
      <c r="O344" s="54">
        <f>'Расчет субсидий'!T344-1</f>
        <v>0.30000000000000004</v>
      </c>
      <c r="P344" s="54">
        <f>O344*'Расчет субсидий'!U344</f>
        <v>7.5000000000000009</v>
      </c>
      <c r="Q344" s="55">
        <f t="shared" si="120"/>
        <v>26.043925083784057</v>
      </c>
      <c r="R344" s="54">
        <f>'Расчет субсидий'!X344-1</f>
        <v>2.2727272727272707E-2</v>
      </c>
      <c r="S344" s="54">
        <f>R344*'Расчет субсидий'!Y344</f>
        <v>0.56818181818181768</v>
      </c>
      <c r="T344" s="55">
        <f t="shared" si="121"/>
        <v>1.9730246275593961</v>
      </c>
      <c r="U344" s="60">
        <f>'Расчет субсидий'!AB344-1</f>
        <v>-0.24911824763319101</v>
      </c>
      <c r="V344" s="60">
        <f>U344*'Расчет субсидий'!AC344</f>
        <v>-1.2455912381659551</v>
      </c>
      <c r="W344" s="55">
        <f t="shared" si="107"/>
        <v>-4.3253446522415935</v>
      </c>
      <c r="X344" s="71">
        <f>'Расчет субсидий'!AF344-1</f>
        <v>0</v>
      </c>
      <c r="Y344" s="71">
        <f>X344*'Расчет субсидий'!AG344</f>
        <v>0</v>
      </c>
      <c r="Z344" s="55">
        <f t="shared" si="108"/>
        <v>0</v>
      </c>
      <c r="AA344" s="27" t="s">
        <v>367</v>
      </c>
      <c r="AB344" s="27" t="s">
        <v>367</v>
      </c>
      <c r="AC344" s="27" t="s">
        <v>367</v>
      </c>
      <c r="AD344" s="27" t="s">
        <v>367</v>
      </c>
      <c r="AE344" s="27" t="s">
        <v>367</v>
      </c>
      <c r="AF344" s="27" t="s">
        <v>367</v>
      </c>
      <c r="AG344" s="54">
        <f t="shared" si="109"/>
        <v>7.1731960991740902</v>
      </c>
    </row>
    <row r="345" spans="1:33" ht="15" customHeight="1">
      <c r="A345" s="32" t="s">
        <v>337</v>
      </c>
      <c r="B345" s="56"/>
      <c r="C345" s="57"/>
      <c r="D345" s="57"/>
      <c r="E345" s="58"/>
      <c r="F345" s="57"/>
      <c r="G345" s="57"/>
      <c r="H345" s="58"/>
      <c r="I345" s="58"/>
      <c r="J345" s="58"/>
      <c r="K345" s="58"/>
      <c r="L345" s="57"/>
      <c r="M345" s="57"/>
      <c r="N345" s="58"/>
      <c r="O345" s="57"/>
      <c r="P345" s="57"/>
      <c r="Q345" s="58"/>
      <c r="R345" s="57"/>
      <c r="S345" s="57"/>
      <c r="T345" s="58"/>
      <c r="U345" s="58"/>
      <c r="V345" s="58"/>
      <c r="W345" s="58"/>
      <c r="X345" s="73"/>
      <c r="Y345" s="73"/>
      <c r="Z345" s="58"/>
      <c r="AA345" s="58"/>
      <c r="AB345" s="58"/>
      <c r="AC345" s="58"/>
      <c r="AD345" s="58"/>
      <c r="AE345" s="58"/>
      <c r="AF345" s="58"/>
      <c r="AG345" s="58"/>
    </row>
    <row r="346" spans="1:33" ht="15" customHeight="1">
      <c r="A346" s="33" t="s">
        <v>338</v>
      </c>
      <c r="B346" s="52">
        <f>'Расчет субсидий'!AT346</f>
        <v>-19.22727272727272</v>
      </c>
      <c r="C346" s="54">
        <f>'Расчет субсидий'!D346-1</f>
        <v>9.4736842105263008E-3</v>
      </c>
      <c r="D346" s="54">
        <f>C346*'Расчет субсидий'!E346</f>
        <v>9.4736842105263008E-2</v>
      </c>
      <c r="E346" s="55">
        <f t="shared" ref="E346:E355" si="122">$B346*D346/$AG346</f>
        <v>0.18945678413081671</v>
      </c>
      <c r="F346" s="27" t="s">
        <v>367</v>
      </c>
      <c r="G346" s="27" t="s">
        <v>367</v>
      </c>
      <c r="H346" s="27" t="s">
        <v>367</v>
      </c>
      <c r="I346" s="27" t="s">
        <v>367</v>
      </c>
      <c r="J346" s="27" t="s">
        <v>367</v>
      </c>
      <c r="K346" s="27" t="s">
        <v>367</v>
      </c>
      <c r="L346" s="54">
        <f>'Расчет субсидий'!P346-1</f>
        <v>-0.47846153846153849</v>
      </c>
      <c r="M346" s="54">
        <f>L346*'Расчет субсидий'!Q346</f>
        <v>-9.5692307692307708</v>
      </c>
      <c r="N346" s="55">
        <f t="shared" ref="N346:N355" si="123">$B346*M346/$AG346</f>
        <v>-19.136754485965774</v>
      </c>
      <c r="O346" s="54">
        <f>'Расчет субсидий'!T346-1</f>
        <v>6.4000000000000057E-2</v>
      </c>
      <c r="P346" s="54">
        <f>O346*'Расчет субсидий'!U346</f>
        <v>0.96000000000000085</v>
      </c>
      <c r="Q346" s="55">
        <f t="shared" ref="Q346:Q355" si="124">$B346*P346/$AG346</f>
        <v>1.9198287458589474</v>
      </c>
      <c r="R346" s="54">
        <f>'Расчет субсидий'!X346-1</f>
        <v>0</v>
      </c>
      <c r="S346" s="54">
        <f>R346*'Расчет субсидий'!Y346</f>
        <v>0</v>
      </c>
      <c r="T346" s="55">
        <f t="shared" ref="T346:T355" si="125">$B346*S346/$AG346</f>
        <v>0</v>
      </c>
      <c r="U346" s="60">
        <f>'Расчет субсидий'!AB346-1</f>
        <v>-0.21999999999999997</v>
      </c>
      <c r="V346" s="60">
        <f>U346*'Расчет субсидий'!AC346</f>
        <v>-1.0999999999999999</v>
      </c>
      <c r="W346" s="55">
        <f t="shared" si="107"/>
        <v>-2.199803771296708</v>
      </c>
      <c r="X346" s="71">
        <f>'Расчет субсидий'!AF346-1</f>
        <v>0</v>
      </c>
      <c r="Y346" s="71">
        <f>X346*'Расчет субсидий'!AG346</f>
        <v>0</v>
      </c>
      <c r="Z346" s="55">
        <f t="shared" si="108"/>
        <v>0</v>
      </c>
      <c r="AA346" s="27" t="s">
        <v>367</v>
      </c>
      <c r="AB346" s="27" t="s">
        <v>367</v>
      </c>
      <c r="AC346" s="27" t="s">
        <v>367</v>
      </c>
      <c r="AD346" s="27" t="s">
        <v>367</v>
      </c>
      <c r="AE346" s="27" t="s">
        <v>367</v>
      </c>
      <c r="AF346" s="27" t="s">
        <v>367</v>
      </c>
      <c r="AG346" s="54">
        <f t="shared" si="109"/>
        <v>-9.6144939271255065</v>
      </c>
    </row>
    <row r="347" spans="1:33" ht="15" customHeight="1">
      <c r="A347" s="33" t="s">
        <v>53</v>
      </c>
      <c r="B347" s="52">
        <f>'Расчет субсидий'!AT347</f>
        <v>-44.25454545454545</v>
      </c>
      <c r="C347" s="54">
        <f>'Расчет субсидий'!D347-1</f>
        <v>2.3943661971830954E-2</v>
      </c>
      <c r="D347" s="54">
        <f>C347*'Расчет субсидий'!E347</f>
        <v>0.23943661971830954</v>
      </c>
      <c r="E347" s="55">
        <f t="shared" si="122"/>
        <v>1.7165384991977848</v>
      </c>
      <c r="F347" s="27" t="s">
        <v>367</v>
      </c>
      <c r="G347" s="27" t="s">
        <v>367</v>
      </c>
      <c r="H347" s="27" t="s">
        <v>367</v>
      </c>
      <c r="I347" s="27" t="s">
        <v>367</v>
      </c>
      <c r="J347" s="27" t="s">
        <v>367</v>
      </c>
      <c r="K347" s="27" t="s">
        <v>367</v>
      </c>
      <c r="L347" s="54">
        <f>'Расчет субсидий'!P347-1</f>
        <v>-0.34519350811485638</v>
      </c>
      <c r="M347" s="54">
        <f>L347*'Расчет субсидий'!Q347</f>
        <v>-6.9038701622971281</v>
      </c>
      <c r="N347" s="55">
        <f t="shared" si="123"/>
        <v>-49.494346107074037</v>
      </c>
      <c r="O347" s="54">
        <f>'Расчет субсидий'!T347-1</f>
        <v>2.9807692307692202E-2</v>
      </c>
      <c r="P347" s="54">
        <f>O347*'Расчет субсидий'!U347</f>
        <v>0.89423076923076605</v>
      </c>
      <c r="Q347" s="55">
        <f t="shared" si="124"/>
        <v>6.4108052659518941</v>
      </c>
      <c r="R347" s="54">
        <f>'Расчет субсидий'!X347-1</f>
        <v>3.3333333333333437E-2</v>
      </c>
      <c r="S347" s="54">
        <f>R347*'Расчет субсидий'!Y347</f>
        <v>0.66666666666666874</v>
      </c>
      <c r="T347" s="55">
        <f t="shared" si="125"/>
        <v>4.779381703648756</v>
      </c>
      <c r="U347" s="60">
        <f>'Расчет субсидий'!AB347-1</f>
        <v>-0.21388888888888891</v>
      </c>
      <c r="V347" s="60">
        <f>U347*'Расчет субсидий'!AC347</f>
        <v>-1.0694444444444446</v>
      </c>
      <c r="W347" s="55">
        <f t="shared" si="107"/>
        <v>-7.6669248162698569</v>
      </c>
      <c r="X347" s="71">
        <f>'Расчет субсидий'!AF347-1</f>
        <v>0</v>
      </c>
      <c r="Y347" s="71">
        <f>X347*'Расчет субсидий'!AG347</f>
        <v>0</v>
      </c>
      <c r="Z347" s="55">
        <f t="shared" si="108"/>
        <v>0</v>
      </c>
      <c r="AA347" s="27" t="s">
        <v>367</v>
      </c>
      <c r="AB347" s="27" t="s">
        <v>367</v>
      </c>
      <c r="AC347" s="27" t="s">
        <v>367</v>
      </c>
      <c r="AD347" s="27" t="s">
        <v>367</v>
      </c>
      <c r="AE347" s="27" t="s">
        <v>367</v>
      </c>
      <c r="AF347" s="27" t="s">
        <v>367</v>
      </c>
      <c r="AG347" s="54">
        <f t="shared" si="109"/>
        <v>-6.1729805511258276</v>
      </c>
    </row>
    <row r="348" spans="1:33" ht="15" customHeight="1">
      <c r="A348" s="33" t="s">
        <v>339</v>
      </c>
      <c r="B348" s="52">
        <f>'Расчет субсидий'!AT348</f>
        <v>17.545454545454561</v>
      </c>
      <c r="C348" s="54">
        <f>'Расчет субсидий'!D348-1</f>
        <v>0</v>
      </c>
      <c r="D348" s="54">
        <f>C348*'Расчет субсидий'!E348</f>
        <v>0</v>
      </c>
      <c r="E348" s="55">
        <f t="shared" si="122"/>
        <v>0</v>
      </c>
      <c r="F348" s="27" t="s">
        <v>367</v>
      </c>
      <c r="G348" s="27" t="s">
        <v>367</v>
      </c>
      <c r="H348" s="27" t="s">
        <v>367</v>
      </c>
      <c r="I348" s="27" t="s">
        <v>367</v>
      </c>
      <c r="J348" s="27" t="s">
        <v>367</v>
      </c>
      <c r="K348" s="27" t="s">
        <v>367</v>
      </c>
      <c r="L348" s="54">
        <f>'Расчет субсидий'!P348-1</f>
        <v>0.21388671874999998</v>
      </c>
      <c r="M348" s="54">
        <f>L348*'Расчет субсидий'!Q348</f>
        <v>4.2777343749999996</v>
      </c>
      <c r="N348" s="55">
        <f t="shared" si="123"/>
        <v>8.671200223926208</v>
      </c>
      <c r="O348" s="54">
        <f>'Расчет субсидий'!T348-1</f>
        <v>3.2000000000000028E-2</v>
      </c>
      <c r="P348" s="54">
        <f>O348*'Расчет субсидий'!U348</f>
        <v>0.96000000000000085</v>
      </c>
      <c r="Q348" s="55">
        <f t="shared" si="124"/>
        <v>1.9459722098731682</v>
      </c>
      <c r="R348" s="54">
        <f>'Расчет субсидий'!X348-1</f>
        <v>0.20608695652173914</v>
      </c>
      <c r="S348" s="54">
        <f>R348*'Расчет субсидий'!Y348</f>
        <v>4.1217391304347828</v>
      </c>
      <c r="T348" s="55">
        <f t="shared" si="125"/>
        <v>8.3549893793467493</v>
      </c>
      <c r="U348" s="60">
        <f>'Расчет субсидий'!AB348-1</f>
        <v>-0.14076655052264808</v>
      </c>
      <c r="V348" s="60">
        <f>U348*'Расчет субсидий'!AC348</f>
        <v>-0.70383275261324041</v>
      </c>
      <c r="W348" s="55">
        <f t="shared" si="107"/>
        <v>-1.4267072676915638</v>
      </c>
      <c r="X348" s="71">
        <f>'Расчет субсидий'!AF348-1</f>
        <v>0</v>
      </c>
      <c r="Y348" s="71">
        <f>X348*'Расчет субсидий'!AG348</f>
        <v>0</v>
      </c>
      <c r="Z348" s="55">
        <f t="shared" si="108"/>
        <v>0</v>
      </c>
      <c r="AA348" s="27" t="s">
        <v>367</v>
      </c>
      <c r="AB348" s="27" t="s">
        <v>367</v>
      </c>
      <c r="AC348" s="27" t="s">
        <v>367</v>
      </c>
      <c r="AD348" s="27" t="s">
        <v>367</v>
      </c>
      <c r="AE348" s="27" t="s">
        <v>367</v>
      </c>
      <c r="AF348" s="27" t="s">
        <v>367</v>
      </c>
      <c r="AG348" s="54">
        <f t="shared" si="109"/>
        <v>8.6556407528215438</v>
      </c>
    </row>
    <row r="349" spans="1:33" ht="15" customHeight="1">
      <c r="A349" s="33" t="s">
        <v>340</v>
      </c>
      <c r="B349" s="52">
        <f>'Расчет субсидий'!AT349</f>
        <v>-1.9272727272727366</v>
      </c>
      <c r="C349" s="54">
        <f>'Расчет субсидий'!D349-1</f>
        <v>0.30000000000000004</v>
      </c>
      <c r="D349" s="54">
        <f>C349*'Расчет субсидий'!E349</f>
        <v>3.0000000000000004</v>
      </c>
      <c r="E349" s="55">
        <f t="shared" si="122"/>
        <v>8.029857241839526</v>
      </c>
      <c r="F349" s="27" t="s">
        <v>367</v>
      </c>
      <c r="G349" s="27" t="s">
        <v>367</v>
      </c>
      <c r="H349" s="27" t="s">
        <v>367</v>
      </c>
      <c r="I349" s="27" t="s">
        <v>367</v>
      </c>
      <c r="J349" s="27" t="s">
        <v>367</v>
      </c>
      <c r="K349" s="27" t="s">
        <v>367</v>
      </c>
      <c r="L349" s="54">
        <f>'Расчет субсидий'!P349-1</f>
        <v>-0.58131335390039673</v>
      </c>
      <c r="M349" s="54">
        <f>L349*'Расчет субсидий'!Q349</f>
        <v>-11.626267078007935</v>
      </c>
      <c r="N349" s="55">
        <f t="shared" si="123"/>
        <v>-31.119088297300824</v>
      </c>
      <c r="O349" s="54">
        <f>'Расчет субсидий'!T349-1</f>
        <v>0.16131868131868132</v>
      </c>
      <c r="P349" s="54">
        <f>O349*'Расчет субсидий'!U349</f>
        <v>4.8395604395604401</v>
      </c>
      <c r="Q349" s="55">
        <f t="shared" si="124"/>
        <v>12.953659814308159</v>
      </c>
      <c r="R349" s="54">
        <f>'Расчет субсидий'!X349-1</f>
        <v>0.1333333333333333</v>
      </c>
      <c r="S349" s="54">
        <f>R349*'Расчет субсидий'!Y349</f>
        <v>2.6666666666666661</v>
      </c>
      <c r="T349" s="55">
        <f t="shared" si="125"/>
        <v>7.137650881635131</v>
      </c>
      <c r="U349" s="60">
        <f>'Расчет субсидий'!AB349-1</f>
        <v>8.0000000000000071E-2</v>
      </c>
      <c r="V349" s="60">
        <f>U349*'Расчет субсидий'!AC349</f>
        <v>0.40000000000000036</v>
      </c>
      <c r="W349" s="55">
        <f t="shared" si="107"/>
        <v>1.0706476322452709</v>
      </c>
      <c r="X349" s="71">
        <f>'Расчет субсидий'!AF349-1</f>
        <v>0</v>
      </c>
      <c r="Y349" s="71">
        <f>X349*'Расчет субсидий'!AG349</f>
        <v>0</v>
      </c>
      <c r="Z349" s="55">
        <f t="shared" si="108"/>
        <v>0</v>
      </c>
      <c r="AA349" s="27" t="s">
        <v>367</v>
      </c>
      <c r="AB349" s="27" t="s">
        <v>367</v>
      </c>
      <c r="AC349" s="27" t="s">
        <v>367</v>
      </c>
      <c r="AD349" s="27" t="s">
        <v>367</v>
      </c>
      <c r="AE349" s="27" t="s">
        <v>367</v>
      </c>
      <c r="AF349" s="27" t="s">
        <v>367</v>
      </c>
      <c r="AG349" s="54">
        <f t="shared" si="109"/>
        <v>-0.72003997178082813</v>
      </c>
    </row>
    <row r="350" spans="1:33" ht="15" customHeight="1">
      <c r="A350" s="33" t="s">
        <v>341</v>
      </c>
      <c r="B350" s="52">
        <f>'Расчет субсидий'!AT350</f>
        <v>-10.154545454545456</v>
      </c>
      <c r="C350" s="54">
        <f>'Расчет субсидий'!D350-1</f>
        <v>-0.18134531831131484</v>
      </c>
      <c r="D350" s="54">
        <f>C350*'Расчет субсидий'!E350</f>
        <v>-1.8134531831131484</v>
      </c>
      <c r="E350" s="55">
        <f t="shared" si="122"/>
        <v>-2.6807100689908046</v>
      </c>
      <c r="F350" s="27" t="s">
        <v>367</v>
      </c>
      <c r="G350" s="27" t="s">
        <v>367</v>
      </c>
      <c r="H350" s="27" t="s">
        <v>367</v>
      </c>
      <c r="I350" s="27" t="s">
        <v>367</v>
      </c>
      <c r="J350" s="27" t="s">
        <v>367</v>
      </c>
      <c r="K350" s="27" t="s">
        <v>367</v>
      </c>
      <c r="L350" s="54">
        <f>'Расчет субсидий'!P350-1</f>
        <v>-0.28956439987464755</v>
      </c>
      <c r="M350" s="54">
        <f>L350*'Расчет субсидий'!Q350</f>
        <v>-5.791287997492951</v>
      </c>
      <c r="N350" s="55">
        <f t="shared" si="123"/>
        <v>-8.5608849414318158</v>
      </c>
      <c r="O350" s="54">
        <f>'Расчет субсидий'!T350-1</f>
        <v>0</v>
      </c>
      <c r="P350" s="54">
        <f>O350*'Расчет субсидий'!U350</f>
        <v>0</v>
      </c>
      <c r="Q350" s="55">
        <f t="shared" si="124"/>
        <v>0</v>
      </c>
      <c r="R350" s="54">
        <f>'Расчет субсидий'!X350-1</f>
        <v>5.2631578947368363E-2</v>
      </c>
      <c r="S350" s="54">
        <f>R350*'Расчет субсидий'!Y350</f>
        <v>1.3157894736842091</v>
      </c>
      <c r="T350" s="55">
        <f t="shared" si="125"/>
        <v>1.9450461272576958</v>
      </c>
      <c r="U350" s="60">
        <f>'Расчет субсидий'!AB350-1</f>
        <v>-0.21608391608391608</v>
      </c>
      <c r="V350" s="60">
        <f>U350*'Расчет субсидий'!AC350</f>
        <v>-1.0804195804195804</v>
      </c>
      <c r="W350" s="55">
        <f t="shared" si="107"/>
        <v>-1.5971140997384539</v>
      </c>
      <c r="X350" s="71">
        <f>'Расчет субсидий'!AF350-1</f>
        <v>2.4999999999999911E-2</v>
      </c>
      <c r="Y350" s="71">
        <f>X350*'Расчет субсидий'!AG350</f>
        <v>0.49999999999999822</v>
      </c>
      <c r="Z350" s="55">
        <f t="shared" si="108"/>
        <v>0.73911752835792266</v>
      </c>
      <c r="AA350" s="27" t="s">
        <v>367</v>
      </c>
      <c r="AB350" s="27" t="s">
        <v>367</v>
      </c>
      <c r="AC350" s="27" t="s">
        <v>367</v>
      </c>
      <c r="AD350" s="27" t="s">
        <v>367</v>
      </c>
      <c r="AE350" s="27" t="s">
        <v>367</v>
      </c>
      <c r="AF350" s="27" t="s">
        <v>367</v>
      </c>
      <c r="AG350" s="54">
        <f t="shared" si="109"/>
        <v>-6.8693712873414725</v>
      </c>
    </row>
    <row r="351" spans="1:33" ht="15" customHeight="1">
      <c r="A351" s="33" t="s">
        <v>342</v>
      </c>
      <c r="B351" s="52">
        <f>'Расчет субсидий'!AT351</f>
        <v>-1.4090909090909065</v>
      </c>
      <c r="C351" s="54">
        <f>'Расчет субсидий'!D351-1</f>
        <v>7.4468085106383031E-2</v>
      </c>
      <c r="D351" s="54">
        <f>C351*'Расчет субсидий'!E351</f>
        <v>0.74468085106383031</v>
      </c>
      <c r="E351" s="55">
        <f t="shared" si="122"/>
        <v>0.51102223313606676</v>
      </c>
      <c r="F351" s="27" t="s">
        <v>367</v>
      </c>
      <c r="G351" s="27" t="s">
        <v>367</v>
      </c>
      <c r="H351" s="27" t="s">
        <v>367</v>
      </c>
      <c r="I351" s="27" t="s">
        <v>367</v>
      </c>
      <c r="J351" s="27" t="s">
        <v>367</v>
      </c>
      <c r="K351" s="27" t="s">
        <v>367</v>
      </c>
      <c r="L351" s="54">
        <f>'Расчет субсидий'!P351-1</f>
        <v>-0.13781154204984669</v>
      </c>
      <c r="M351" s="54">
        <f>L351*'Расчет субсидий'!Q351</f>
        <v>-2.7562308409969338</v>
      </c>
      <c r="N351" s="55">
        <f t="shared" si="123"/>
        <v>-1.8914078929149523</v>
      </c>
      <c r="O351" s="54">
        <f>'Расчет субсидий'!T351-1</f>
        <v>-0.13317757009345799</v>
      </c>
      <c r="P351" s="54">
        <f>O351*'Расчет субсидий'!U351</f>
        <v>-3.9953271028037394</v>
      </c>
      <c r="Q351" s="55">
        <f t="shared" si="124"/>
        <v>-2.7417127421325551</v>
      </c>
      <c r="R351" s="54">
        <f>'Расчет субсидий'!X351-1</f>
        <v>3.3333333333333437E-2</v>
      </c>
      <c r="S351" s="54">
        <f>R351*'Расчет субсидий'!Y351</f>
        <v>0.66666666666666874</v>
      </c>
      <c r="T351" s="55">
        <f t="shared" si="125"/>
        <v>0.45748657061705139</v>
      </c>
      <c r="U351" s="60">
        <f>'Расчет субсидий'!AB351-1</f>
        <v>8.999999999999897E-3</v>
      </c>
      <c r="V351" s="60">
        <f>U351*'Расчет субсидий'!AC351</f>
        <v>4.4999999999999485E-2</v>
      </c>
      <c r="W351" s="55">
        <f t="shared" si="107"/>
        <v>3.0880343516650522E-2</v>
      </c>
      <c r="X351" s="71">
        <f>'Расчет субсидий'!AF351-1</f>
        <v>0.16209150326797395</v>
      </c>
      <c r="Y351" s="71">
        <f>X351*'Расчет субсидий'!AG351</f>
        <v>3.2418300653594789</v>
      </c>
      <c r="Z351" s="55">
        <f t="shared" si="108"/>
        <v>2.2246405786868322</v>
      </c>
      <c r="AA351" s="27" t="s">
        <v>367</v>
      </c>
      <c r="AB351" s="27" t="s">
        <v>367</v>
      </c>
      <c r="AC351" s="27" t="s">
        <v>367</v>
      </c>
      <c r="AD351" s="27" t="s">
        <v>367</v>
      </c>
      <c r="AE351" s="27" t="s">
        <v>367</v>
      </c>
      <c r="AF351" s="27" t="s">
        <v>367</v>
      </c>
      <c r="AG351" s="54">
        <f t="shared" si="109"/>
        <v>-2.0533803607106966</v>
      </c>
    </row>
    <row r="352" spans="1:33" ht="15" customHeight="1">
      <c r="A352" s="33" t="s">
        <v>343</v>
      </c>
      <c r="B352" s="52">
        <f>'Расчет субсидий'!AT352</f>
        <v>7.318181818181813</v>
      </c>
      <c r="C352" s="54">
        <f>'Расчет субсидий'!D352-1</f>
        <v>-4.6511627906976716E-2</v>
      </c>
      <c r="D352" s="54">
        <f>C352*'Расчет субсидий'!E352</f>
        <v>-0.46511627906976716</v>
      </c>
      <c r="E352" s="55">
        <f t="shared" si="122"/>
        <v>-1.6245766645894384</v>
      </c>
      <c r="F352" s="27" t="s">
        <v>367</v>
      </c>
      <c r="G352" s="27" t="s">
        <v>367</v>
      </c>
      <c r="H352" s="27" t="s">
        <v>367</v>
      </c>
      <c r="I352" s="27" t="s">
        <v>367</v>
      </c>
      <c r="J352" s="27" t="s">
        <v>367</v>
      </c>
      <c r="K352" s="27" t="s">
        <v>367</v>
      </c>
      <c r="L352" s="54">
        <f>'Расчет субсидий'!P352-1</f>
        <v>-0.40402608449106892</v>
      </c>
      <c r="M352" s="54">
        <f>L352*'Расчет субсидий'!Q352</f>
        <v>-8.0805216898213779</v>
      </c>
      <c r="N352" s="55">
        <f t="shared" si="123"/>
        <v>-28.223967996234165</v>
      </c>
      <c r="O352" s="54">
        <f>'Расчет субсидий'!T352-1</f>
        <v>0.16666666666666674</v>
      </c>
      <c r="P352" s="54">
        <f>O352*'Расчет субсидий'!U352</f>
        <v>3.3333333333333348</v>
      </c>
      <c r="Q352" s="55">
        <f t="shared" si="124"/>
        <v>11.642799429557654</v>
      </c>
      <c r="R352" s="54">
        <f>'Расчет субсидий'!X352-1</f>
        <v>0.20857142857142863</v>
      </c>
      <c r="S352" s="54">
        <f>R352*'Расчет субсидий'!Y352</f>
        <v>6.2571428571428589</v>
      </c>
      <c r="T352" s="55">
        <f t="shared" si="125"/>
        <v>21.855197786341076</v>
      </c>
      <c r="U352" s="60">
        <f>'Расчет субсидий'!AB352-1</f>
        <v>0.21007142857142846</v>
      </c>
      <c r="V352" s="60">
        <f>U352*'Расчет субсидий'!AC352</f>
        <v>1.0503571428571423</v>
      </c>
      <c r="W352" s="55">
        <f t="shared" si="107"/>
        <v>3.6687292631066817</v>
      </c>
      <c r="X352" s="71">
        <f>'Расчет субсидий'!AF352-1</f>
        <v>0</v>
      </c>
      <c r="Y352" s="71">
        <f>X352*'Расчет субсидий'!AG352</f>
        <v>0</v>
      </c>
      <c r="Z352" s="55">
        <f t="shared" si="108"/>
        <v>0</v>
      </c>
      <c r="AA352" s="27" t="s">
        <v>367</v>
      </c>
      <c r="AB352" s="27" t="s">
        <v>367</v>
      </c>
      <c r="AC352" s="27" t="s">
        <v>367</v>
      </c>
      <c r="AD352" s="27" t="s">
        <v>367</v>
      </c>
      <c r="AE352" s="27" t="s">
        <v>367</v>
      </c>
      <c r="AF352" s="27" t="s">
        <v>367</v>
      </c>
      <c r="AG352" s="54">
        <f t="shared" si="109"/>
        <v>2.0951953644421915</v>
      </c>
    </row>
    <row r="353" spans="1:33" ht="15" customHeight="1">
      <c r="A353" s="33" t="s">
        <v>344</v>
      </c>
      <c r="B353" s="52">
        <f>'Расчет субсидий'!AT353</f>
        <v>-11.263636363636351</v>
      </c>
      <c r="C353" s="54">
        <f>'Расчет субсидий'!D353-1</f>
        <v>5.6451612903225534E-3</v>
      </c>
      <c r="D353" s="54">
        <f>C353*'Расчет субсидий'!E353</f>
        <v>5.6451612903225534E-2</v>
      </c>
      <c r="E353" s="55">
        <f t="shared" si="122"/>
        <v>0.14926075976204753</v>
      </c>
      <c r="F353" s="27" t="s">
        <v>367</v>
      </c>
      <c r="G353" s="27" t="s">
        <v>367</v>
      </c>
      <c r="H353" s="27" t="s">
        <v>367</v>
      </c>
      <c r="I353" s="27" t="s">
        <v>367</v>
      </c>
      <c r="J353" s="27" t="s">
        <v>367</v>
      </c>
      <c r="K353" s="27" t="s">
        <v>367</v>
      </c>
      <c r="L353" s="54">
        <f>'Расчет субсидий'!P353-1</f>
        <v>-0.65619924201407687</v>
      </c>
      <c r="M353" s="54">
        <f>L353*'Расчет субсидий'!Q353</f>
        <v>-13.123984840281537</v>
      </c>
      <c r="N353" s="55">
        <f t="shared" si="123"/>
        <v>-34.700442513912456</v>
      </c>
      <c r="O353" s="54">
        <f>'Расчет субсидий'!T353-1</f>
        <v>8.181818181818179E-2</v>
      </c>
      <c r="P353" s="54">
        <f>O353*'Расчет субсидий'!U353</f>
        <v>1.2272727272727268</v>
      </c>
      <c r="Q353" s="55">
        <f t="shared" si="124"/>
        <v>3.2449676862554373</v>
      </c>
      <c r="R353" s="54">
        <f>'Расчет субсидий'!X353-1</f>
        <v>0.21157894736842109</v>
      </c>
      <c r="S353" s="54">
        <f>R353*'Расчет субсидий'!Y353</f>
        <v>7.4052631578947379</v>
      </c>
      <c r="T353" s="55">
        <f t="shared" si="125"/>
        <v>19.579869348996272</v>
      </c>
      <c r="U353" s="60">
        <f>'Расчет субсидий'!AB353-1</f>
        <v>3.499999999999992E-2</v>
      </c>
      <c r="V353" s="60">
        <f>U353*'Расчет субсидий'!AC353</f>
        <v>0.1749999999999996</v>
      </c>
      <c r="W353" s="55">
        <f t="shared" si="107"/>
        <v>0.46270835526234855</v>
      </c>
      <c r="X353" s="71">
        <f>'Расчет субсидий'!AF353-1</f>
        <v>0</v>
      </c>
      <c r="Y353" s="71">
        <f>X353*'Расчет субсидий'!AG353</f>
        <v>0</v>
      </c>
      <c r="Z353" s="55">
        <f t="shared" si="108"/>
        <v>0</v>
      </c>
      <c r="AA353" s="27" t="s">
        <v>367</v>
      </c>
      <c r="AB353" s="27" t="s">
        <v>367</v>
      </c>
      <c r="AC353" s="27" t="s">
        <v>367</v>
      </c>
      <c r="AD353" s="27" t="s">
        <v>367</v>
      </c>
      <c r="AE353" s="27" t="s">
        <v>367</v>
      </c>
      <c r="AF353" s="27" t="s">
        <v>367</v>
      </c>
      <c r="AG353" s="54">
        <f t="shared" si="109"/>
        <v>-4.2599973422108466</v>
      </c>
    </row>
    <row r="354" spans="1:33" ht="15" customHeight="1">
      <c r="A354" s="33" t="s">
        <v>345</v>
      </c>
      <c r="B354" s="52">
        <f>'Расчет субсидий'!AT354</f>
        <v>-20.154545454545428</v>
      </c>
      <c r="C354" s="54">
        <f>'Расчет субсидий'!D354-1</f>
        <v>3.3333333333334103E-3</v>
      </c>
      <c r="D354" s="54">
        <f>C354*'Расчет субсидий'!E354</f>
        <v>3.3333333333334103E-2</v>
      </c>
      <c r="E354" s="55">
        <f t="shared" si="122"/>
        <v>7.0429246561631492E-2</v>
      </c>
      <c r="F354" s="27" t="s">
        <v>367</v>
      </c>
      <c r="G354" s="27" t="s">
        <v>367</v>
      </c>
      <c r="H354" s="27" t="s">
        <v>367</v>
      </c>
      <c r="I354" s="27" t="s">
        <v>367</v>
      </c>
      <c r="J354" s="27" t="s">
        <v>367</v>
      </c>
      <c r="K354" s="27" t="s">
        <v>367</v>
      </c>
      <c r="L354" s="54">
        <f>'Расчет субсидий'!P354-1</f>
        <v>-0.58920187793427226</v>
      </c>
      <c r="M354" s="54">
        <f>L354*'Расчет субсидий'!Q354</f>
        <v>-11.784037558685444</v>
      </c>
      <c r="N354" s="55">
        <f t="shared" si="123"/>
        <v>-24.898226601364918</v>
      </c>
      <c r="O354" s="54">
        <f>'Расчет субсидий'!T354-1</f>
        <v>7.8947368421052655E-2</v>
      </c>
      <c r="P354" s="54">
        <f>O354*'Расчет субсидий'!U354</f>
        <v>0.78947368421052655</v>
      </c>
      <c r="Q354" s="55">
        <f t="shared" si="124"/>
        <v>1.6680611027754446</v>
      </c>
      <c r="R354" s="54">
        <f>'Расчет субсидий'!X354-1</f>
        <v>3.5714285714285809E-2</v>
      </c>
      <c r="S354" s="54">
        <f>R354*'Расчет субсидий'!Y354</f>
        <v>1.4285714285714324</v>
      </c>
      <c r="T354" s="55">
        <f t="shared" si="125"/>
        <v>3.0183962812127163</v>
      </c>
      <c r="U354" s="60">
        <f>'Расчет субсидий'!AB354-1</f>
        <v>-1.2499999999999734E-3</v>
      </c>
      <c r="V354" s="60">
        <f>U354*'Расчет субсидий'!AC354</f>
        <v>-6.2499999999998668E-3</v>
      </c>
      <c r="W354" s="55">
        <f t="shared" si="107"/>
        <v>-1.3205483730305318E-2</v>
      </c>
      <c r="X354" s="71">
        <f>'Расчет субсидий'!AF354-1</f>
        <v>0</v>
      </c>
      <c r="Y354" s="71">
        <f>X354*'Расчет субсидий'!AG354</f>
        <v>0</v>
      </c>
      <c r="Z354" s="55">
        <f t="shared" si="108"/>
        <v>0</v>
      </c>
      <c r="AA354" s="27" t="s">
        <v>367</v>
      </c>
      <c r="AB354" s="27" t="s">
        <v>367</v>
      </c>
      <c r="AC354" s="27" t="s">
        <v>367</v>
      </c>
      <c r="AD354" s="27" t="s">
        <v>367</v>
      </c>
      <c r="AE354" s="27" t="s">
        <v>367</v>
      </c>
      <c r="AF354" s="27" t="s">
        <v>367</v>
      </c>
      <c r="AG354" s="54">
        <f t="shared" si="109"/>
        <v>-9.5389091125701491</v>
      </c>
    </row>
    <row r="355" spans="1:33" ht="15" customHeight="1">
      <c r="A355" s="33" t="s">
        <v>346</v>
      </c>
      <c r="B355" s="52">
        <f>'Расчет субсидий'!AT355</f>
        <v>-18.899999999999977</v>
      </c>
      <c r="C355" s="54">
        <f>'Расчет субсидий'!D355-1</f>
        <v>-1.9953859230177673E-2</v>
      </c>
      <c r="D355" s="54">
        <f>C355*'Расчет субсидий'!E355</f>
        <v>-0.19953859230177673</v>
      </c>
      <c r="E355" s="55">
        <f t="shared" si="122"/>
        <v>-0.7928780261346865</v>
      </c>
      <c r="F355" s="27" t="s">
        <v>367</v>
      </c>
      <c r="G355" s="27" t="s">
        <v>367</v>
      </c>
      <c r="H355" s="27" t="s">
        <v>367</v>
      </c>
      <c r="I355" s="27" t="s">
        <v>367</v>
      </c>
      <c r="J355" s="27" t="s">
        <v>367</v>
      </c>
      <c r="K355" s="27" t="s">
        <v>367</v>
      </c>
      <c r="L355" s="54">
        <f>'Расчет субсидий'!P355-1</f>
        <v>-0.1969305416380992</v>
      </c>
      <c r="M355" s="54">
        <f>L355*'Расчет субсидий'!Q355</f>
        <v>-3.938610832761984</v>
      </c>
      <c r="N355" s="55">
        <f t="shared" si="123"/>
        <v>-15.650295748654576</v>
      </c>
      <c r="O355" s="54">
        <f>'Расчет субсидий'!T355-1</f>
        <v>0</v>
      </c>
      <c r="P355" s="54">
        <f>O355*'Расчет субсидий'!U355</f>
        <v>0</v>
      </c>
      <c r="Q355" s="55">
        <f t="shared" si="124"/>
        <v>0</v>
      </c>
      <c r="R355" s="54">
        <f>'Расчет субсидий'!X355-1</f>
        <v>0</v>
      </c>
      <c r="S355" s="54">
        <f>R355*'Расчет субсидий'!Y355</f>
        <v>0</v>
      </c>
      <c r="T355" s="55">
        <f t="shared" si="125"/>
        <v>0</v>
      </c>
      <c r="U355" s="60">
        <f>'Расчет субсидий'!AB355-1</f>
        <v>-0.12365877987526874</v>
      </c>
      <c r="V355" s="60">
        <f>U355*'Расчет субсидий'!AC355</f>
        <v>-0.61829389937634371</v>
      </c>
      <c r="W355" s="55">
        <f t="shared" si="107"/>
        <v>-2.4568262252107145</v>
      </c>
      <c r="X355" s="71">
        <f>'Расчет субсидий'!AF355-1</f>
        <v>0</v>
      </c>
      <c r="Y355" s="71">
        <f>X355*'Расчет субсидий'!AG355</f>
        <v>0</v>
      </c>
      <c r="Z355" s="55">
        <f t="shared" si="108"/>
        <v>0</v>
      </c>
      <c r="AA355" s="27" t="s">
        <v>367</v>
      </c>
      <c r="AB355" s="27" t="s">
        <v>367</v>
      </c>
      <c r="AC355" s="27" t="s">
        <v>367</v>
      </c>
      <c r="AD355" s="27" t="s">
        <v>367</v>
      </c>
      <c r="AE355" s="27" t="s">
        <v>367</v>
      </c>
      <c r="AF355" s="27" t="s">
        <v>367</v>
      </c>
      <c r="AG355" s="54">
        <f t="shared" si="109"/>
        <v>-4.7564433244401041</v>
      </c>
    </row>
    <row r="356" spans="1:33" ht="15" customHeight="1">
      <c r="A356" s="32" t="s">
        <v>347</v>
      </c>
      <c r="B356" s="56"/>
      <c r="C356" s="57"/>
      <c r="D356" s="57"/>
      <c r="E356" s="58"/>
      <c r="F356" s="57"/>
      <c r="G356" s="57"/>
      <c r="H356" s="58"/>
      <c r="I356" s="58"/>
      <c r="J356" s="58"/>
      <c r="K356" s="58"/>
      <c r="L356" s="57"/>
      <c r="M356" s="57"/>
      <c r="N356" s="58"/>
      <c r="O356" s="57"/>
      <c r="P356" s="57"/>
      <c r="Q356" s="58"/>
      <c r="R356" s="57"/>
      <c r="S356" s="57"/>
      <c r="T356" s="58"/>
      <c r="U356" s="58"/>
      <c r="V356" s="58"/>
      <c r="W356" s="58"/>
      <c r="X356" s="73"/>
      <c r="Y356" s="73"/>
      <c r="Z356" s="58"/>
      <c r="AA356" s="58"/>
      <c r="AB356" s="58"/>
      <c r="AC356" s="58"/>
      <c r="AD356" s="58"/>
      <c r="AE356" s="58"/>
      <c r="AF356" s="58"/>
      <c r="AG356" s="58"/>
    </row>
    <row r="357" spans="1:33" ht="15" customHeight="1">
      <c r="A357" s="33" t="s">
        <v>348</v>
      </c>
      <c r="B357" s="52">
        <f>'Расчет субсидий'!AT357</f>
        <v>3.4636363636363967</v>
      </c>
      <c r="C357" s="54">
        <f>'Расчет субсидий'!D357-1</f>
        <v>-0.1392592592592593</v>
      </c>
      <c r="D357" s="54">
        <f>C357*'Расчет субсидий'!E357</f>
        <v>-1.392592592592593</v>
      </c>
      <c r="E357" s="55">
        <f t="shared" ref="E357:E368" si="126">$B357*D357/$AG357</f>
        <v>-6.5715221520552927</v>
      </c>
      <c r="F357" s="27" t="s">
        <v>367</v>
      </c>
      <c r="G357" s="27" t="s">
        <v>367</v>
      </c>
      <c r="H357" s="27" t="s">
        <v>367</v>
      </c>
      <c r="I357" s="27" t="s">
        <v>367</v>
      </c>
      <c r="J357" s="27" t="s">
        <v>367</v>
      </c>
      <c r="K357" s="27" t="s">
        <v>367</v>
      </c>
      <c r="L357" s="54">
        <f>'Расчет субсидий'!P357-1</f>
        <v>-0.23222477064220182</v>
      </c>
      <c r="M357" s="54">
        <f>L357*'Расчет субсидий'!Q357</f>
        <v>-4.6444954128440363</v>
      </c>
      <c r="N357" s="55">
        <f t="shared" ref="N357:N368" si="127">$B357*M357/$AG357</f>
        <v>-21.916965990607494</v>
      </c>
      <c r="O357" s="54">
        <f>'Расчет субсидий'!T357-1</f>
        <v>0.21333333333333337</v>
      </c>
      <c r="P357" s="54">
        <f>O357*'Расчет субсидий'!U357</f>
        <v>3.2000000000000006</v>
      </c>
      <c r="Q357" s="55">
        <f t="shared" ref="Q357:Q368" si="128">$B357*P357/$AG357</f>
        <v>15.100518987701523</v>
      </c>
      <c r="R357" s="54">
        <f>'Расчет субсидий'!X357-1</f>
        <v>0</v>
      </c>
      <c r="S357" s="54">
        <f>R357*'Расчет субсидий'!Y357</f>
        <v>0</v>
      </c>
      <c r="T357" s="55">
        <f t="shared" ref="T357:T368" si="129">$B357*S357/$AG357</f>
        <v>0</v>
      </c>
      <c r="U357" s="60">
        <f>'Расчет субсидий'!AB357-1</f>
        <v>-0.12</v>
      </c>
      <c r="V357" s="60">
        <f>U357*'Расчет субсидий'!AC357</f>
        <v>-0.6</v>
      </c>
      <c r="W357" s="55">
        <f t="shared" si="107"/>
        <v>-2.831347310194035</v>
      </c>
      <c r="X357" s="71">
        <f>'Расчет субсидий'!AF357-1</f>
        <v>0.2085539215686274</v>
      </c>
      <c r="Y357" s="71">
        <f>X357*'Расчет субсидий'!AG357</f>
        <v>4.171078431372548</v>
      </c>
      <c r="Z357" s="55">
        <f t="shared" si="108"/>
        <v>19.682952828791699</v>
      </c>
      <c r="AA357" s="27" t="s">
        <v>367</v>
      </c>
      <c r="AB357" s="27" t="s">
        <v>367</v>
      </c>
      <c r="AC357" s="27" t="s">
        <v>367</v>
      </c>
      <c r="AD357" s="27" t="s">
        <v>367</v>
      </c>
      <c r="AE357" s="27" t="s">
        <v>367</v>
      </c>
      <c r="AF357" s="27" t="s">
        <v>367</v>
      </c>
      <c r="AG357" s="54">
        <f t="shared" si="109"/>
        <v>0.7339904259359189</v>
      </c>
    </row>
    <row r="358" spans="1:33" ht="15" customHeight="1">
      <c r="A358" s="33" t="s">
        <v>349</v>
      </c>
      <c r="B358" s="52">
        <f>'Расчет субсидий'!AT358</f>
        <v>-16.054545454545462</v>
      </c>
      <c r="C358" s="54">
        <f>'Расчет субсидий'!D358-1</f>
        <v>-1</v>
      </c>
      <c r="D358" s="54">
        <f>C358*'Расчет субсидий'!E358</f>
        <v>0</v>
      </c>
      <c r="E358" s="55">
        <f t="shared" si="126"/>
        <v>0</v>
      </c>
      <c r="F358" s="27" t="s">
        <v>367</v>
      </c>
      <c r="G358" s="27" t="s">
        <v>367</v>
      </c>
      <c r="H358" s="27" t="s">
        <v>367</v>
      </c>
      <c r="I358" s="27" t="s">
        <v>367</v>
      </c>
      <c r="J358" s="27" t="s">
        <v>367</v>
      </c>
      <c r="K358" s="27" t="s">
        <v>367</v>
      </c>
      <c r="L358" s="54">
        <f>'Расчет субсидий'!P358-1</f>
        <v>-0.32378725891291638</v>
      </c>
      <c r="M358" s="54">
        <f>L358*'Расчет субсидий'!Q358</f>
        <v>-6.4757451782583271</v>
      </c>
      <c r="N358" s="55">
        <f t="shared" si="127"/>
        <v>-27.114434876695256</v>
      </c>
      <c r="O358" s="54">
        <f>'Расчет субсидий'!T358-1</f>
        <v>0.10000000000000009</v>
      </c>
      <c r="P358" s="54">
        <f>O358*'Расчет субсидий'!U358</f>
        <v>2.5000000000000022</v>
      </c>
      <c r="Q358" s="55">
        <f t="shared" si="128"/>
        <v>10.467689096124918</v>
      </c>
      <c r="R358" s="54">
        <f>'Расчет субсидий'!X358-1</f>
        <v>0</v>
      </c>
      <c r="S358" s="54">
        <f>R358*'Расчет субсидий'!Y358</f>
        <v>0</v>
      </c>
      <c r="T358" s="55">
        <f t="shared" si="129"/>
        <v>0</v>
      </c>
      <c r="U358" s="60">
        <f>'Расчет субсидий'!AB358-1</f>
        <v>-0.26086956521739135</v>
      </c>
      <c r="V358" s="60">
        <f>U358*'Расчет субсидий'!AC358</f>
        <v>-1.3043478260869568</v>
      </c>
      <c r="W358" s="55">
        <f t="shared" si="107"/>
        <v>-5.4614030066738666</v>
      </c>
      <c r="X358" s="71">
        <f>'Расчет субсидий'!AF358-1</f>
        <v>7.2289156626506035E-2</v>
      </c>
      <c r="Y358" s="71">
        <f>X358*'Расчет субсидий'!AG358</f>
        <v>1.4457831325301207</v>
      </c>
      <c r="Z358" s="55">
        <f t="shared" si="108"/>
        <v>6.053603332698744</v>
      </c>
      <c r="AA358" s="27" t="s">
        <v>367</v>
      </c>
      <c r="AB358" s="27" t="s">
        <v>367</v>
      </c>
      <c r="AC358" s="27" t="s">
        <v>367</v>
      </c>
      <c r="AD358" s="27" t="s">
        <v>367</v>
      </c>
      <c r="AE358" s="27" t="s">
        <v>367</v>
      </c>
      <c r="AF358" s="27" t="s">
        <v>367</v>
      </c>
      <c r="AG358" s="54">
        <f t="shared" si="109"/>
        <v>-3.8343098718151607</v>
      </c>
    </row>
    <row r="359" spans="1:33" ht="15" customHeight="1">
      <c r="A359" s="33" t="s">
        <v>350</v>
      </c>
      <c r="B359" s="52">
        <f>'Расчет субсидий'!AT359</f>
        <v>-0.29090909090909101</v>
      </c>
      <c r="C359" s="54">
        <f>'Расчет субсидий'!D359-1</f>
        <v>-1.1458333333333348E-2</v>
      </c>
      <c r="D359" s="54">
        <f>C359*'Расчет субсидий'!E359</f>
        <v>-0.11458333333333348</v>
      </c>
      <c r="E359" s="55">
        <f t="shared" si="126"/>
        <v>-3.9599484670356918E-3</v>
      </c>
      <c r="F359" s="27" t="s">
        <v>367</v>
      </c>
      <c r="G359" s="27" t="s">
        <v>367</v>
      </c>
      <c r="H359" s="27" t="s">
        <v>367</v>
      </c>
      <c r="I359" s="27" t="s">
        <v>367</v>
      </c>
      <c r="J359" s="27" t="s">
        <v>367</v>
      </c>
      <c r="K359" s="27" t="s">
        <v>367</v>
      </c>
      <c r="L359" s="54">
        <f>'Расчет субсидий'!P359-1</f>
        <v>-0.46761876425666971</v>
      </c>
      <c r="M359" s="54">
        <f>L359*'Расчет субсидий'!Q359</f>
        <v>-9.3523752851333946</v>
      </c>
      <c r="N359" s="55">
        <f t="shared" si="127"/>
        <v>-0.32321388369605608</v>
      </c>
      <c r="O359" s="54">
        <f>'Расчет субсидий'!T359-1</f>
        <v>0</v>
      </c>
      <c r="P359" s="54">
        <f>O359*'Расчет субсидий'!U359</f>
        <v>0</v>
      </c>
      <c r="Q359" s="55">
        <f t="shared" si="128"/>
        <v>0</v>
      </c>
      <c r="R359" s="54">
        <f>'Расчет субсидий'!X359-1</f>
        <v>0</v>
      </c>
      <c r="S359" s="54">
        <f>R359*'Расчет субсидий'!Y359</f>
        <v>0</v>
      </c>
      <c r="T359" s="55">
        <f t="shared" si="129"/>
        <v>0</v>
      </c>
      <c r="U359" s="60">
        <f>'Расчет субсидий'!AB359-1</f>
        <v>-7.5846153846153896E-2</v>
      </c>
      <c r="V359" s="60">
        <f>U359*'Расчет субсидий'!AC359</f>
        <v>-0.37923076923076948</v>
      </c>
      <c r="W359" s="55">
        <f t="shared" si="107"/>
        <v>-1.3106044828522035E-2</v>
      </c>
      <c r="X359" s="71">
        <f>'Расчет субсидий'!AF359-1</f>
        <v>7.1428571428571397E-2</v>
      </c>
      <c r="Y359" s="71">
        <f>X359*'Расчет субсидий'!AG359</f>
        <v>1.4285714285714279</v>
      </c>
      <c r="Z359" s="55">
        <f t="shared" si="108"/>
        <v>4.9370786082522829E-2</v>
      </c>
      <c r="AA359" s="27" t="s">
        <v>367</v>
      </c>
      <c r="AB359" s="27" t="s">
        <v>367</v>
      </c>
      <c r="AC359" s="27" t="s">
        <v>367</v>
      </c>
      <c r="AD359" s="27" t="s">
        <v>367</v>
      </c>
      <c r="AE359" s="27" t="s">
        <v>367</v>
      </c>
      <c r="AF359" s="27" t="s">
        <v>367</v>
      </c>
      <c r="AG359" s="54">
        <f t="shared" si="109"/>
        <v>-8.4176179591260691</v>
      </c>
    </row>
    <row r="360" spans="1:33" ht="15" customHeight="1">
      <c r="A360" s="33" t="s">
        <v>351</v>
      </c>
      <c r="B360" s="52">
        <f>'Расчет субсидий'!AT360</f>
        <v>-9.3909090909090764</v>
      </c>
      <c r="C360" s="54">
        <f>'Расчет субсидий'!D360-1</f>
        <v>-1</v>
      </c>
      <c r="D360" s="54">
        <f>C360*'Расчет субсидий'!E360</f>
        <v>0</v>
      </c>
      <c r="E360" s="55">
        <f t="shared" si="126"/>
        <v>0</v>
      </c>
      <c r="F360" s="27" t="s">
        <v>367</v>
      </c>
      <c r="G360" s="27" t="s">
        <v>367</v>
      </c>
      <c r="H360" s="27" t="s">
        <v>367</v>
      </c>
      <c r="I360" s="27" t="s">
        <v>367</v>
      </c>
      <c r="J360" s="27" t="s">
        <v>367</v>
      </c>
      <c r="K360" s="27" t="s">
        <v>367</v>
      </c>
      <c r="L360" s="54">
        <f>'Расчет субсидий'!P360-1</f>
        <v>-0.18360071301247782</v>
      </c>
      <c r="M360" s="54">
        <f>L360*'Расчет субсидий'!Q360</f>
        <v>-3.6720142602495565</v>
      </c>
      <c r="N360" s="55">
        <f t="shared" si="127"/>
        <v>-10.063904185182606</v>
      </c>
      <c r="O360" s="54">
        <f>'Расчет субсидий'!T360-1</f>
        <v>0</v>
      </c>
      <c r="P360" s="54">
        <f>O360*'Расчет субсидий'!U360</f>
        <v>0</v>
      </c>
      <c r="Q360" s="55">
        <f t="shared" si="128"/>
        <v>0</v>
      </c>
      <c r="R360" s="54">
        <f>'Расчет субсидий'!X360-1</f>
        <v>0</v>
      </c>
      <c r="S360" s="54">
        <f>R360*'Расчет субсидий'!Y360</f>
        <v>0</v>
      </c>
      <c r="T360" s="55">
        <f t="shared" si="129"/>
        <v>0</v>
      </c>
      <c r="U360" s="60">
        <f>'Расчет субсидий'!AB360-1</f>
        <v>4.9111111111111105E-2</v>
      </c>
      <c r="V360" s="60">
        <f>U360*'Расчет субсидий'!AC360</f>
        <v>0.24555555555555553</v>
      </c>
      <c r="W360" s="55">
        <f t="shared" si="107"/>
        <v>0.67299509427352955</v>
      </c>
      <c r="X360" s="71">
        <f>'Расчет субсидий'!AF360-1</f>
        <v>0</v>
      </c>
      <c r="Y360" s="71">
        <f>X360*'Расчет субсидий'!AG360</f>
        <v>0</v>
      </c>
      <c r="Z360" s="55">
        <f t="shared" si="108"/>
        <v>0</v>
      </c>
      <c r="AA360" s="27" t="s">
        <v>367</v>
      </c>
      <c r="AB360" s="27" t="s">
        <v>367</v>
      </c>
      <c r="AC360" s="27" t="s">
        <v>367</v>
      </c>
      <c r="AD360" s="27" t="s">
        <v>367</v>
      </c>
      <c r="AE360" s="27" t="s">
        <v>367</v>
      </c>
      <c r="AF360" s="27" t="s">
        <v>367</v>
      </c>
      <c r="AG360" s="54">
        <f t="shared" si="109"/>
        <v>-3.4264587046940012</v>
      </c>
    </row>
    <row r="361" spans="1:33" ht="15" customHeight="1">
      <c r="A361" s="33" t="s">
        <v>352</v>
      </c>
      <c r="B361" s="52">
        <f>'Расчет субсидий'!AT361</f>
        <v>-22.872727272727275</v>
      </c>
      <c r="C361" s="54">
        <f>'Расчет субсидий'!D361-1</f>
        <v>-8.0471910112359546E-2</v>
      </c>
      <c r="D361" s="54">
        <f>C361*'Расчет субсидий'!E361</f>
        <v>-0.80471910112359546</v>
      </c>
      <c r="E361" s="55">
        <f t="shared" si="126"/>
        <v>-3.664054453713006</v>
      </c>
      <c r="F361" s="27" t="s">
        <v>367</v>
      </c>
      <c r="G361" s="27" t="s">
        <v>367</v>
      </c>
      <c r="H361" s="27" t="s">
        <v>367</v>
      </c>
      <c r="I361" s="27" t="s">
        <v>367</v>
      </c>
      <c r="J361" s="27" t="s">
        <v>367</v>
      </c>
      <c r="K361" s="27" t="s">
        <v>367</v>
      </c>
      <c r="L361" s="54">
        <f>'Расчет субсидий'!P361-1</f>
        <v>-0.3652754116978989</v>
      </c>
      <c r="M361" s="54">
        <f>L361*'Расчет субсидий'!Q361</f>
        <v>-7.305508233957978</v>
      </c>
      <c r="N361" s="55">
        <f t="shared" si="127"/>
        <v>-33.263507656144903</v>
      </c>
      <c r="O361" s="54">
        <f>'Расчет субсидий'!T361-1</f>
        <v>0.10000000000000009</v>
      </c>
      <c r="P361" s="54">
        <f>O361*'Расчет субсидий'!U361</f>
        <v>2.0000000000000018</v>
      </c>
      <c r="Q361" s="55">
        <f t="shared" si="128"/>
        <v>9.106418497080643</v>
      </c>
      <c r="R361" s="54">
        <f>'Расчет субсидий'!X361-1</f>
        <v>2.4999999999999911E-2</v>
      </c>
      <c r="S361" s="54">
        <f>R361*'Расчет субсидий'!Y361</f>
        <v>0.74999999999999734</v>
      </c>
      <c r="T361" s="55">
        <f t="shared" si="129"/>
        <v>3.414906936405226</v>
      </c>
      <c r="U361" s="60">
        <f>'Расчет субсидий'!AB361-1</f>
        <v>0.12937500000000002</v>
      </c>
      <c r="V361" s="60">
        <f>U361*'Расчет субсидий'!AC361</f>
        <v>0.64687500000000009</v>
      </c>
      <c r="W361" s="55">
        <f t="shared" si="107"/>
        <v>2.9453572326495183</v>
      </c>
      <c r="X361" s="71">
        <f>'Расчет субсидий'!AF361-1</f>
        <v>-1.5503875968992276E-2</v>
      </c>
      <c r="Y361" s="71">
        <f>X361*'Расчет субсидий'!AG361</f>
        <v>-0.31007751937984551</v>
      </c>
      <c r="Z361" s="55">
        <f t="shared" si="108"/>
        <v>-1.4118478290047523</v>
      </c>
      <c r="AA361" s="27" t="s">
        <v>367</v>
      </c>
      <c r="AB361" s="27" t="s">
        <v>367</v>
      </c>
      <c r="AC361" s="27" t="s">
        <v>367</v>
      </c>
      <c r="AD361" s="27" t="s">
        <v>367</v>
      </c>
      <c r="AE361" s="27" t="s">
        <v>367</v>
      </c>
      <c r="AF361" s="27" t="s">
        <v>367</v>
      </c>
      <c r="AG361" s="54">
        <f t="shared" si="109"/>
        <v>-5.0234298544614191</v>
      </c>
    </row>
    <row r="362" spans="1:33" ht="15" customHeight="1">
      <c r="A362" s="33" t="s">
        <v>353</v>
      </c>
      <c r="B362" s="52">
        <f>'Расчет субсидий'!AT362</f>
        <v>-29.81818181818187</v>
      </c>
      <c r="C362" s="54">
        <f>'Расчет субсидий'!D362-1</f>
        <v>0.20649999999999991</v>
      </c>
      <c r="D362" s="54">
        <f>C362*'Расчет субсидий'!E362</f>
        <v>2.0649999999999991</v>
      </c>
      <c r="E362" s="55">
        <f t="shared" si="126"/>
        <v>13.528101125799163</v>
      </c>
      <c r="F362" s="27" t="s">
        <v>367</v>
      </c>
      <c r="G362" s="27" t="s">
        <v>367</v>
      </c>
      <c r="H362" s="27" t="s">
        <v>367</v>
      </c>
      <c r="I362" s="27" t="s">
        <v>367</v>
      </c>
      <c r="J362" s="27" t="s">
        <v>367</v>
      </c>
      <c r="K362" s="27" t="s">
        <v>367</v>
      </c>
      <c r="L362" s="54">
        <f>'Расчет субсидий'!P362-1</f>
        <v>-0.48064653339004682</v>
      </c>
      <c r="M362" s="54">
        <f>L362*'Расчет субсидий'!Q362</f>
        <v>-9.6129306678009367</v>
      </c>
      <c r="N362" s="55">
        <f t="shared" si="127"/>
        <v>-62.975640769640286</v>
      </c>
      <c r="O362" s="54">
        <f>'Расчет субсидий'!T362-1</f>
        <v>0.1333333333333333</v>
      </c>
      <c r="P362" s="54">
        <f>O362*'Расчет субсидий'!U362</f>
        <v>2.6666666666666661</v>
      </c>
      <c r="Q362" s="55">
        <f t="shared" si="128"/>
        <v>17.469702825890767</v>
      </c>
      <c r="R362" s="54">
        <f>'Расчет субсидий'!X362-1</f>
        <v>0</v>
      </c>
      <c r="S362" s="54">
        <f>R362*'Расчет субсидий'!Y362</f>
        <v>0</v>
      </c>
      <c r="T362" s="55">
        <f t="shared" si="129"/>
        <v>0</v>
      </c>
      <c r="U362" s="60">
        <f>'Расчет субсидий'!AB362-1</f>
        <v>-0.29000000000000004</v>
      </c>
      <c r="V362" s="60">
        <f>U362*'Расчет субсидий'!AC362</f>
        <v>-1.4500000000000002</v>
      </c>
      <c r="W362" s="55">
        <f t="shared" si="107"/>
        <v>-9.4991509115781092</v>
      </c>
      <c r="X362" s="71">
        <f>'Расчет субсидий'!AF362-1</f>
        <v>8.8983050847457612E-2</v>
      </c>
      <c r="Y362" s="71">
        <f>X362*'Расчет субсидий'!AG362</f>
        <v>1.7796610169491522</v>
      </c>
      <c r="Z362" s="55">
        <f t="shared" si="108"/>
        <v>11.658805911346594</v>
      </c>
      <c r="AA362" s="27" t="s">
        <v>367</v>
      </c>
      <c r="AB362" s="27" t="s">
        <v>367</v>
      </c>
      <c r="AC362" s="27" t="s">
        <v>367</v>
      </c>
      <c r="AD362" s="27" t="s">
        <v>367</v>
      </c>
      <c r="AE362" s="27" t="s">
        <v>367</v>
      </c>
      <c r="AF362" s="27" t="s">
        <v>367</v>
      </c>
      <c r="AG362" s="54">
        <f t="shared" si="109"/>
        <v>-4.5516029841851191</v>
      </c>
    </row>
    <row r="363" spans="1:33" ht="15" customHeight="1">
      <c r="A363" s="33" t="s">
        <v>354</v>
      </c>
      <c r="B363" s="52">
        <f>'Расчет субсидий'!AT363</f>
        <v>6.9909090909090423</v>
      </c>
      <c r="C363" s="54">
        <f>'Расчет субсидий'!D363-1</f>
        <v>-0.49018518518518517</v>
      </c>
      <c r="D363" s="54">
        <f>C363*'Расчет субсидий'!E363</f>
        <v>-4.9018518518518519</v>
      </c>
      <c r="E363" s="55">
        <f t="shared" si="126"/>
        <v>-13.169399807582733</v>
      </c>
      <c r="F363" s="27" t="s">
        <v>367</v>
      </c>
      <c r="G363" s="27" t="s">
        <v>367</v>
      </c>
      <c r="H363" s="27" t="s">
        <v>367</v>
      </c>
      <c r="I363" s="27" t="s">
        <v>367</v>
      </c>
      <c r="J363" s="27" t="s">
        <v>367</v>
      </c>
      <c r="K363" s="27" t="s">
        <v>367</v>
      </c>
      <c r="L363" s="54">
        <f>'Расчет субсидий'!P363-1</f>
        <v>0.30000000000000004</v>
      </c>
      <c r="M363" s="54">
        <f>L363*'Расчет субсидий'!Q363</f>
        <v>6.0000000000000009</v>
      </c>
      <c r="N363" s="55">
        <f t="shared" si="127"/>
        <v>16.119703580116383</v>
      </c>
      <c r="O363" s="54">
        <f>'Расчет субсидий'!T363-1</f>
        <v>0</v>
      </c>
      <c r="P363" s="54">
        <f>O363*'Расчет субсидий'!U363</f>
        <v>0</v>
      </c>
      <c r="Q363" s="55">
        <f t="shared" si="128"/>
        <v>0</v>
      </c>
      <c r="R363" s="54">
        <f>'Расчет субсидий'!X363-1</f>
        <v>0</v>
      </c>
      <c r="S363" s="54">
        <f>R363*'Расчет субсидий'!Y363</f>
        <v>0</v>
      </c>
      <c r="T363" s="55">
        <f t="shared" si="129"/>
        <v>0</v>
      </c>
      <c r="U363" s="60">
        <f>'Расчет субсидий'!AB363-1</f>
        <v>0.22236363636363632</v>
      </c>
      <c r="V363" s="60">
        <f>U363*'Расчет субсидий'!AC363</f>
        <v>1.1118181818181816</v>
      </c>
      <c r="W363" s="55">
        <f t="shared" si="107"/>
        <v>2.9870299209821707</v>
      </c>
      <c r="X363" s="71">
        <f>'Расчет субсидий'!AF363-1</f>
        <v>1.9607843137254832E-2</v>
      </c>
      <c r="Y363" s="71">
        <f>X363*'Расчет субсидий'!AG363</f>
        <v>0.39215686274509665</v>
      </c>
      <c r="Z363" s="55">
        <f t="shared" si="108"/>
        <v>1.0535753973932238</v>
      </c>
      <c r="AA363" s="27" t="s">
        <v>367</v>
      </c>
      <c r="AB363" s="27" t="s">
        <v>367</v>
      </c>
      <c r="AC363" s="27" t="s">
        <v>367</v>
      </c>
      <c r="AD363" s="27" t="s">
        <v>367</v>
      </c>
      <c r="AE363" s="27" t="s">
        <v>367</v>
      </c>
      <c r="AF363" s="27" t="s">
        <v>367</v>
      </c>
      <c r="AG363" s="54">
        <f t="shared" si="109"/>
        <v>2.602123192711427</v>
      </c>
    </row>
    <row r="364" spans="1:33" ht="15" customHeight="1">
      <c r="A364" s="33" t="s">
        <v>355</v>
      </c>
      <c r="B364" s="52">
        <f>'Расчет субсидий'!AT364</f>
        <v>-84.027272727272759</v>
      </c>
      <c r="C364" s="54">
        <f>'Расчет субсидий'!D364-1</f>
        <v>-1</v>
      </c>
      <c r="D364" s="54">
        <f>C364*'Расчет субсидий'!E364</f>
        <v>0</v>
      </c>
      <c r="E364" s="55">
        <f t="shared" si="126"/>
        <v>0</v>
      </c>
      <c r="F364" s="27" t="s">
        <v>367</v>
      </c>
      <c r="G364" s="27" t="s">
        <v>367</v>
      </c>
      <c r="H364" s="27" t="s">
        <v>367</v>
      </c>
      <c r="I364" s="27" t="s">
        <v>367</v>
      </c>
      <c r="J364" s="27" t="s">
        <v>367</v>
      </c>
      <c r="K364" s="27" t="s">
        <v>367</v>
      </c>
      <c r="L364" s="54">
        <f>'Расчет субсидий'!P364-1</f>
        <v>0.22424083769633496</v>
      </c>
      <c r="M364" s="54">
        <f>L364*'Расчет субсидий'!Q364</f>
        <v>4.4848167539266992</v>
      </c>
      <c r="N364" s="55">
        <f t="shared" si="127"/>
        <v>16.27952785749093</v>
      </c>
      <c r="O364" s="54">
        <f>'Расчет субсидий'!T364-1</f>
        <v>0</v>
      </c>
      <c r="P364" s="54">
        <f>O364*'Расчет субсидий'!U364</f>
        <v>0</v>
      </c>
      <c r="Q364" s="55">
        <f t="shared" si="128"/>
        <v>0</v>
      </c>
      <c r="R364" s="54">
        <f>'Расчет субсидий'!X364-1</f>
        <v>-1</v>
      </c>
      <c r="S364" s="54">
        <f>R364*'Расчет субсидий'!Y364</f>
        <v>-25</v>
      </c>
      <c r="T364" s="55">
        <f t="shared" si="129"/>
        <v>-90.748010179219264</v>
      </c>
      <c r="U364" s="60">
        <f>'Расчет субсидий'!AB364-1</f>
        <v>-0.26</v>
      </c>
      <c r="V364" s="60">
        <f>U364*'Расчет субсидий'!AC364</f>
        <v>-1.3</v>
      </c>
      <c r="W364" s="55">
        <f t="shared" si="107"/>
        <v>-4.7188965293194016</v>
      </c>
      <c r="X364" s="71">
        <f>'Расчет субсидий'!AF364-1</f>
        <v>-6.6666666666666652E-2</v>
      </c>
      <c r="Y364" s="71">
        <f>X364*'Расчет субсидий'!AG364</f>
        <v>-1.333333333333333</v>
      </c>
      <c r="Z364" s="55">
        <f t="shared" si="108"/>
        <v>-4.8398938762250268</v>
      </c>
      <c r="AA364" s="27" t="s">
        <v>367</v>
      </c>
      <c r="AB364" s="27" t="s">
        <v>367</v>
      </c>
      <c r="AC364" s="27" t="s">
        <v>367</v>
      </c>
      <c r="AD364" s="27" t="s">
        <v>367</v>
      </c>
      <c r="AE364" s="27" t="s">
        <v>367</v>
      </c>
      <c r="AF364" s="27" t="s">
        <v>367</v>
      </c>
      <c r="AG364" s="54">
        <f t="shared" si="109"/>
        <v>-23.148516579406632</v>
      </c>
    </row>
    <row r="365" spans="1:33" ht="15" customHeight="1">
      <c r="A365" s="33" t="s">
        <v>356</v>
      </c>
      <c r="B365" s="52">
        <f>'Расчет субсидий'!AT365</f>
        <v>73.945454545454481</v>
      </c>
      <c r="C365" s="54">
        <f>'Расчет субсидий'!D365-1</f>
        <v>-1</v>
      </c>
      <c r="D365" s="54">
        <f>C365*'Расчет субсидий'!E365</f>
        <v>0</v>
      </c>
      <c r="E365" s="55">
        <f t="shared" si="126"/>
        <v>0</v>
      </c>
      <c r="F365" s="27" t="s">
        <v>367</v>
      </c>
      <c r="G365" s="27" t="s">
        <v>367</v>
      </c>
      <c r="H365" s="27" t="s">
        <v>367</v>
      </c>
      <c r="I365" s="27" t="s">
        <v>367</v>
      </c>
      <c r="J365" s="27" t="s">
        <v>367</v>
      </c>
      <c r="K365" s="27" t="s">
        <v>367</v>
      </c>
      <c r="L365" s="54">
        <f>'Расчет субсидий'!P365-1</f>
        <v>0.22409937888198761</v>
      </c>
      <c r="M365" s="54">
        <f>L365*'Расчет субсидий'!Q365</f>
        <v>4.4819875776397522</v>
      </c>
      <c r="N365" s="55">
        <f t="shared" si="127"/>
        <v>24.471208729412474</v>
      </c>
      <c r="O365" s="54">
        <f>'Расчет субсидий'!T365-1</f>
        <v>0</v>
      </c>
      <c r="P365" s="54">
        <f>O365*'Расчет субсидий'!U365</f>
        <v>0</v>
      </c>
      <c r="Q365" s="55">
        <f t="shared" si="128"/>
        <v>0</v>
      </c>
      <c r="R365" s="54">
        <f>'Расчет субсидий'!X365-1</f>
        <v>0.30000000000000004</v>
      </c>
      <c r="S365" s="54">
        <f>R365*'Расчет субсидий'!Y365</f>
        <v>9.0000000000000018</v>
      </c>
      <c r="T365" s="55">
        <f t="shared" si="129"/>
        <v>49.139109546727653</v>
      </c>
      <c r="U365" s="60">
        <f>'Расчет субсидий'!AB365-1</f>
        <v>-4.1777777777777803E-2</v>
      </c>
      <c r="V365" s="60">
        <f>U365*'Расчет субсидий'!AC365</f>
        <v>-0.20888888888888901</v>
      </c>
      <c r="W365" s="55">
        <f t="shared" si="107"/>
        <v>-1.1405126660228151</v>
      </c>
      <c r="X365" s="71">
        <f>'Расчет субсидий'!AF365-1</f>
        <v>1.3513513513513598E-2</v>
      </c>
      <c r="Y365" s="71">
        <f>X365*'Расчет субсидий'!AG365</f>
        <v>0.27027027027027195</v>
      </c>
      <c r="Z365" s="55">
        <f t="shared" si="108"/>
        <v>1.4756489353371756</v>
      </c>
      <c r="AA365" s="27" t="s">
        <v>367</v>
      </c>
      <c r="AB365" s="27" t="s">
        <v>367</v>
      </c>
      <c r="AC365" s="27" t="s">
        <v>367</v>
      </c>
      <c r="AD365" s="27" t="s">
        <v>367</v>
      </c>
      <c r="AE365" s="27" t="s">
        <v>367</v>
      </c>
      <c r="AF365" s="27" t="s">
        <v>367</v>
      </c>
      <c r="AG365" s="54">
        <f t="shared" si="109"/>
        <v>13.543368959021135</v>
      </c>
    </row>
    <row r="366" spans="1:33" ht="15" customHeight="1">
      <c r="A366" s="33" t="s">
        <v>357</v>
      </c>
      <c r="B366" s="52">
        <f>'Расчет субсидий'!AT366</f>
        <v>39.800000000000011</v>
      </c>
      <c r="C366" s="54">
        <f>'Расчет субсидий'!D366-1</f>
        <v>-1</v>
      </c>
      <c r="D366" s="54">
        <f>C366*'Расчет субсидий'!E366</f>
        <v>0</v>
      </c>
      <c r="E366" s="55">
        <f t="shared" si="126"/>
        <v>0</v>
      </c>
      <c r="F366" s="27" t="s">
        <v>367</v>
      </c>
      <c r="G366" s="27" t="s">
        <v>367</v>
      </c>
      <c r="H366" s="27" t="s">
        <v>367</v>
      </c>
      <c r="I366" s="27" t="s">
        <v>367</v>
      </c>
      <c r="J366" s="27" t="s">
        <v>367</v>
      </c>
      <c r="K366" s="27" t="s">
        <v>367</v>
      </c>
      <c r="L366" s="54">
        <f>'Расчет субсидий'!P366-1</f>
        <v>0.28397111913357387</v>
      </c>
      <c r="M366" s="54">
        <f>L366*'Расчет субсидий'!Q366</f>
        <v>5.6794223826714774</v>
      </c>
      <c r="N366" s="55">
        <f t="shared" si="127"/>
        <v>26.511289131404212</v>
      </c>
      <c r="O366" s="54">
        <f>'Расчет субсидий'!T366-1</f>
        <v>0.17500000000000004</v>
      </c>
      <c r="P366" s="54">
        <f>O366*'Расчет субсидий'!U366</f>
        <v>3.5000000000000009</v>
      </c>
      <c r="Q366" s="55">
        <f t="shared" si="128"/>
        <v>16.337843130496058</v>
      </c>
      <c r="R366" s="54">
        <f>'Расчет субсидий'!X366-1</f>
        <v>0</v>
      </c>
      <c r="S366" s="54">
        <f>R366*'Расчет субсидий'!Y366</f>
        <v>0</v>
      </c>
      <c r="T366" s="55">
        <f t="shared" si="129"/>
        <v>0</v>
      </c>
      <c r="U366" s="60">
        <f>'Расчет субсидий'!AB366-1</f>
        <v>-0.17230769230769227</v>
      </c>
      <c r="V366" s="60">
        <f>U366*'Расчет субсидий'!AC366</f>
        <v>-0.86153846153846136</v>
      </c>
      <c r="W366" s="55">
        <f t="shared" si="107"/>
        <v>-4.0216229244297974</v>
      </c>
      <c r="X366" s="71">
        <f>'Расчет субсидий'!AF366-1</f>
        <v>1.0416666666666741E-2</v>
      </c>
      <c r="Y366" s="71">
        <f>X366*'Расчет субсидий'!AG366</f>
        <v>0.20833333333333481</v>
      </c>
      <c r="Z366" s="55">
        <f t="shared" si="108"/>
        <v>0.97249066252953409</v>
      </c>
      <c r="AA366" s="27" t="s">
        <v>367</v>
      </c>
      <c r="AB366" s="27" t="s">
        <v>367</v>
      </c>
      <c r="AC366" s="27" t="s">
        <v>367</v>
      </c>
      <c r="AD366" s="27" t="s">
        <v>367</v>
      </c>
      <c r="AE366" s="27" t="s">
        <v>367</v>
      </c>
      <c r="AF366" s="27" t="s">
        <v>367</v>
      </c>
      <c r="AG366" s="54">
        <f t="shared" si="109"/>
        <v>8.5262172544663528</v>
      </c>
    </row>
    <row r="367" spans="1:33" ht="15" customHeight="1">
      <c r="A367" s="33" t="s">
        <v>358</v>
      </c>
      <c r="B367" s="52">
        <f>'Расчет субсидий'!AT367</f>
        <v>30.036363636363603</v>
      </c>
      <c r="C367" s="54">
        <f>'Расчет субсидий'!D367-1</f>
        <v>0.15754385964912276</v>
      </c>
      <c r="D367" s="54">
        <f>C367*'Расчет субсидий'!E367</f>
        <v>1.5754385964912276</v>
      </c>
      <c r="E367" s="55">
        <f t="shared" si="126"/>
        <v>5.1137635869138363</v>
      </c>
      <c r="F367" s="27" t="s">
        <v>367</v>
      </c>
      <c r="G367" s="27" t="s">
        <v>367</v>
      </c>
      <c r="H367" s="27" t="s">
        <v>367</v>
      </c>
      <c r="I367" s="27" t="s">
        <v>367</v>
      </c>
      <c r="J367" s="27" t="s">
        <v>367</v>
      </c>
      <c r="K367" s="27" t="s">
        <v>367</v>
      </c>
      <c r="L367" s="54">
        <f>'Расчет субсидий'!P367-1</f>
        <v>0.20278551532033418</v>
      </c>
      <c r="M367" s="54">
        <f>L367*'Расчет субсидий'!Q367</f>
        <v>4.0557103064066835</v>
      </c>
      <c r="N367" s="55">
        <f t="shared" si="127"/>
        <v>13.164552227021144</v>
      </c>
      <c r="O367" s="54">
        <f>'Расчет субсидий'!T367-1</f>
        <v>0.2649999999999999</v>
      </c>
      <c r="P367" s="54">
        <f>O367*'Расчет субсидий'!U367</f>
        <v>5.299999999999998</v>
      </c>
      <c r="Q367" s="55">
        <f t="shared" si="128"/>
        <v>17.203429617000776</v>
      </c>
      <c r="R367" s="54">
        <f>'Расчет субсидий'!X367-1</f>
        <v>0</v>
      </c>
      <c r="S367" s="54">
        <f>R367*'Расчет субсидий'!Y367</f>
        <v>0</v>
      </c>
      <c r="T367" s="55">
        <f t="shared" si="129"/>
        <v>0</v>
      </c>
      <c r="U367" s="60">
        <f>'Расчет субсидий'!AB367-1</f>
        <v>-0.10694915254237292</v>
      </c>
      <c r="V367" s="60">
        <f>U367*'Расчет субсидий'!AC367</f>
        <v>-0.53474576271186458</v>
      </c>
      <c r="W367" s="55">
        <f t="shared" ref="W367:W368" si="130">$B367*V367/$AG367</f>
        <v>-1.73574737581188</v>
      </c>
      <c r="X367" s="71">
        <f>'Расчет субсидий'!AF367-1</f>
        <v>-5.7142857142857162E-2</v>
      </c>
      <c r="Y367" s="71">
        <f>X367*'Расчет субсидий'!AG367</f>
        <v>-1.1428571428571432</v>
      </c>
      <c r="Z367" s="55">
        <f t="shared" si="108"/>
        <v>-3.7096344187602779</v>
      </c>
      <c r="AA367" s="27" t="s">
        <v>367</v>
      </c>
      <c r="AB367" s="27" t="s">
        <v>367</v>
      </c>
      <c r="AC367" s="27" t="s">
        <v>367</v>
      </c>
      <c r="AD367" s="27" t="s">
        <v>367</v>
      </c>
      <c r="AE367" s="27" t="s">
        <v>367</v>
      </c>
      <c r="AF367" s="27" t="s">
        <v>367</v>
      </c>
      <c r="AG367" s="54">
        <f t="shared" si="109"/>
        <v>9.2535459973289029</v>
      </c>
    </row>
    <row r="368" spans="1:33" ht="15" customHeight="1">
      <c r="A368" s="33" t="s">
        <v>359</v>
      </c>
      <c r="B368" s="52">
        <f>'Расчет субсидий'!AT368</f>
        <v>-78.081818181818164</v>
      </c>
      <c r="C368" s="54">
        <f>'Расчет субсидий'!D368-1</f>
        <v>-6.4261838440110575E-3</v>
      </c>
      <c r="D368" s="54">
        <f>C368*'Расчет субсидий'!E368</f>
        <v>-6.4261838440110575E-2</v>
      </c>
      <c r="E368" s="55">
        <f t="shared" si="126"/>
        <v>-0.21626216779016297</v>
      </c>
      <c r="F368" s="27" t="s">
        <v>367</v>
      </c>
      <c r="G368" s="27" t="s">
        <v>367</v>
      </c>
      <c r="H368" s="27" t="s">
        <v>367</v>
      </c>
      <c r="I368" s="27" t="s">
        <v>367</v>
      </c>
      <c r="J368" s="27" t="s">
        <v>367</v>
      </c>
      <c r="K368" s="27" t="s">
        <v>367</v>
      </c>
      <c r="L368" s="54">
        <f>'Расчет субсидий'!P368-1</f>
        <v>-0.1438249088066702</v>
      </c>
      <c r="M368" s="54">
        <f>L368*'Расчет субсидий'!Q368</f>
        <v>-2.8764981761334041</v>
      </c>
      <c r="N368" s="55">
        <f t="shared" si="127"/>
        <v>-9.6803600132730594</v>
      </c>
      <c r="O368" s="54">
        <f>'Расчет субсидий'!T368-1</f>
        <v>-1</v>
      </c>
      <c r="P368" s="54">
        <f>O368*'Расчет субсидий'!U368</f>
        <v>-20</v>
      </c>
      <c r="Q368" s="55">
        <f t="shared" si="128"/>
        <v>-67.306561106778958</v>
      </c>
      <c r="R368" s="54">
        <f>'Расчет субсидий'!X368-1</f>
        <v>0</v>
      </c>
      <c r="S368" s="54">
        <f>R368*'Расчет субсидий'!Y368</f>
        <v>0</v>
      </c>
      <c r="T368" s="55">
        <f t="shared" si="129"/>
        <v>0</v>
      </c>
      <c r="U368" s="60">
        <f>'Расчет субсидий'!AB368-1</f>
        <v>-5.221689413500552E-2</v>
      </c>
      <c r="V368" s="60">
        <f>U368*'Расчет субсидий'!AC368</f>
        <v>-0.2610844706750276</v>
      </c>
      <c r="W368" s="55">
        <f t="shared" si="130"/>
        <v>-0.87863489397598915</v>
      </c>
      <c r="X368" s="71">
        <f>'Расчет субсидий'!AF368-1</f>
        <v>0</v>
      </c>
      <c r="Y368" s="71">
        <f>X368*'Расчет субсидий'!AG368</f>
        <v>0</v>
      </c>
      <c r="Z368" s="55">
        <f t="shared" ref="Z368" si="131">$B368*Y368/$AG368</f>
        <v>0</v>
      </c>
      <c r="AA368" s="27" t="s">
        <v>367</v>
      </c>
      <c r="AB368" s="27" t="s">
        <v>367</v>
      </c>
      <c r="AC368" s="27" t="s">
        <v>367</v>
      </c>
      <c r="AD368" s="27" t="s">
        <v>367</v>
      </c>
      <c r="AE368" s="27" t="s">
        <v>367</v>
      </c>
      <c r="AF368" s="27" t="s">
        <v>367</v>
      </c>
      <c r="AG368" s="54">
        <f t="shared" ref="AG368" si="132">D368+M368+P368+S368+V368+Y368</f>
        <v>-23.201844485248539</v>
      </c>
    </row>
    <row r="369" spans="1:34" s="50" customFormat="1" ht="15" customHeight="1">
      <c r="A369" s="49" t="s">
        <v>369</v>
      </c>
      <c r="B369" s="53">
        <f>'Расчет субсидий'!AT369</f>
        <v>-22081.172727272726</v>
      </c>
      <c r="C369" s="53"/>
      <c r="D369" s="53"/>
      <c r="E369" s="53">
        <f>E6+E17+E45</f>
        <v>-7935.1041748586968</v>
      </c>
      <c r="F369" s="53"/>
      <c r="G369" s="53"/>
      <c r="H369" s="53">
        <f>H6+H17</f>
        <v>342.04321173423875</v>
      </c>
      <c r="I369" s="53"/>
      <c r="J369" s="53"/>
      <c r="K369" s="53">
        <f>K6+K17</f>
        <v>-10267.799528509729</v>
      </c>
      <c r="L369" s="53"/>
      <c r="M369" s="53"/>
      <c r="N369" s="53">
        <f>N6+N17+N45</f>
        <v>-3389.8919041935937</v>
      </c>
      <c r="O369" s="53"/>
      <c r="P369" s="53"/>
      <c r="Q369" s="53">
        <f>Q17+Q45</f>
        <v>2488.595722953884</v>
      </c>
      <c r="R369" s="53"/>
      <c r="S369" s="53"/>
      <c r="T369" s="53">
        <f>T17+T45</f>
        <v>4812.0594074108703</v>
      </c>
      <c r="U369" s="53"/>
      <c r="V369" s="53"/>
      <c r="W369" s="53">
        <f>W6+W17+W45</f>
        <v>-11174.680290604669</v>
      </c>
      <c r="X369" s="53"/>
      <c r="Y369" s="53"/>
      <c r="Z369" s="53">
        <f>Z17+Z45</f>
        <v>936.16374072555232</v>
      </c>
      <c r="AA369" s="53"/>
      <c r="AB369" s="53"/>
      <c r="AC369" s="53">
        <f>AC17</f>
        <v>733.40005623125489</v>
      </c>
      <c r="AD369" s="53"/>
      <c r="AE369" s="53"/>
      <c r="AF369" s="53">
        <f>AF17</f>
        <v>1374.0410318381705</v>
      </c>
      <c r="AG369" s="53"/>
      <c r="AH369" s="23"/>
    </row>
  </sheetData>
  <mergeCells count="14">
    <mergeCell ref="A1:AG1"/>
    <mergeCell ref="A3:A4"/>
    <mergeCell ref="B3:B4"/>
    <mergeCell ref="AG3:AG4"/>
    <mergeCell ref="C3:E3"/>
    <mergeCell ref="L3:N3"/>
    <mergeCell ref="I3:K3"/>
    <mergeCell ref="F3:H3"/>
    <mergeCell ref="O3:Q3"/>
    <mergeCell ref="R3:T3"/>
    <mergeCell ref="U3:W3"/>
    <mergeCell ref="X3:Z3"/>
    <mergeCell ref="AA3:AC3"/>
    <mergeCell ref="AD3:AF3"/>
  </mergeCells>
  <printOptions horizontalCentered="1"/>
  <pageMargins left="0.19685039370078741" right="0.19685039370078741" top="0.31496062992125984" bottom="0.15748031496062992" header="0.15748031496062992" footer="0.15748031496062992"/>
  <pageSetup paperSize="8" scale="47" fitToHeight="0" orientation="landscape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Расчет субсидий</vt:lpstr>
      <vt:lpstr>Плюсы и минусы</vt:lpstr>
      <vt:lpstr>'Плюсы и минусы'!Заголовки_для_печати</vt:lpstr>
      <vt:lpstr>'Расчет субсидий'!Заголовки_для_печати</vt:lpstr>
      <vt:lpstr>'Расчет субсидий'!Область_печати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kozlovaoi</dc:creator>
  <cp:lastModifiedBy>kuderovaog</cp:lastModifiedBy>
  <cp:lastPrinted>2016-04-22T06:48:27Z</cp:lastPrinted>
  <dcterms:created xsi:type="dcterms:W3CDTF">2010-02-05T14:48:49Z</dcterms:created>
  <dcterms:modified xsi:type="dcterms:W3CDTF">2016-05-31T12:05:47Z</dcterms:modified>
</cp:coreProperties>
</file>